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K:\Users\OUP\Dokument\06_СХЕМОТЕХНИКИ\05_ПАПКА_ОБМЕНА\Сандомирский\ЗЗИ на ПР06\Для разработчика (Сандомирский)\"/>
    </mc:Choice>
  </mc:AlternateContent>
  <workbookProtection workbookPassword="CF24" lockStructure="1"/>
  <bookViews>
    <workbookView xWindow="0" yWindow="0" windowWidth="21570" windowHeight="8085" tabRatio="652"/>
  </bookViews>
  <sheets>
    <sheet name="Бланк" sheetId="1" r:id="rId1"/>
    <sheet name="Габариты" sheetId="2" state="hidden" r:id="rId2"/>
    <sheet name="Проверки" sheetId="3" state="hidden" r:id="rId3"/>
    <sheet name="D" sheetId="4" state="hidden" r:id="rId4"/>
    <sheet name="Список кабелей" sheetId="16561" state="hidden" r:id="rId5"/>
    <sheet name="Справка" sheetId="16554" r:id="rId6"/>
    <sheet name="Список версий" sheetId="16552" state="hidden" r:id="rId7"/>
    <sheet name="Бланк LS" sheetId="16556" state="hidden" r:id="rId8"/>
    <sheet name="Бланк (вручную)" sheetId="16562" state="hidden" r:id="rId9"/>
    <sheet name="Замена SE на LS" sheetId="16560" state="hidden" r:id="rId10"/>
    <sheet name="Внешний вид" sheetId="16553" state="hidden" r:id="rId11"/>
    <sheet name="Климат. исполнение" sheetId="16559" state="hidden" r:id="rId12"/>
    <sheet name="Расположение сальников сверху" sheetId="16558" state="hidden" r:id="rId13"/>
  </sheets>
  <definedNames>
    <definedName name="_xlnm._FilterDatabase" localSheetId="4" hidden="1">'Список кабелей'!$A$1:$J$2</definedName>
    <definedName name="Id_0">OFFSET(D!$CG$2,D!$BW$56,0,D!$BY$56,1)</definedName>
    <definedName name="Id_1">OFFSET(D!$CG$2,D!$BW$57,0,D!$BY$57,1)</definedName>
    <definedName name="Id_10">OFFSET(D!$CG$2,D!$BW$66,0,D!$BY$66,1)</definedName>
    <definedName name="Id_11">OFFSET(D!$CG$2,D!$BW$67,0,D!$BY$67,1)</definedName>
    <definedName name="Id_12">OFFSET(D!$CG$2,D!$BW$68,0,D!$BY$68,1)</definedName>
    <definedName name="Id_13">OFFSET(D!$CG$2,D!$BW$69,0,D!$BY$69,1)</definedName>
    <definedName name="Id_14">OFFSET(D!$CG$2,D!$BW$70,0,D!$BY$70,1)</definedName>
    <definedName name="Id_15">OFFSET(D!$CG$2,D!$BW$71,0,D!$BY$71,1)</definedName>
    <definedName name="Id_16">OFFSET(D!$CG$2,D!$BW$72,0,D!$BY$72,1)</definedName>
    <definedName name="Id_17">OFFSET(D!$CG$2,D!$BW$73,0,D!$BY$73,1)</definedName>
    <definedName name="Id_18">OFFSET(D!$CG$2,D!$BW$74,0,D!$BY$74,1)</definedName>
    <definedName name="Id_19">OFFSET(D!$CG$2,D!$BW$75,0,D!$BY$75,1)</definedName>
    <definedName name="Id_2">OFFSET(D!$CG$2,D!$BW$58,0,D!$BY$58,1)</definedName>
    <definedName name="Id_20">OFFSET(D!$CG$2,D!$BW$76,0,D!$BY$76,1)</definedName>
    <definedName name="Id_3">OFFSET(D!$CG$2,D!$BW$59,0,D!$BY$59,1)</definedName>
    <definedName name="Id_4">OFFSET(D!$CG$2,D!$BW$60,0,D!$BY$60,1)</definedName>
    <definedName name="Id_5">OFFSET(D!$CG$2,D!$BW$61,0,D!$BY$61,1)</definedName>
    <definedName name="Id_6">OFFSET(D!$CG$2,D!$BW$62,0,D!$BY$62,1)</definedName>
    <definedName name="Id_7">OFFSET(D!$CG$2,D!$BW$63,0,D!$BY$63,1)</definedName>
    <definedName name="Id_8">OFFSET(D!$CG$2,D!$BW$64,0,D!$BY$64,1)</definedName>
    <definedName name="Id_9">OFFSET(D!$CG$2,D!$BW$65,0,D!$BY$65,1)</definedName>
    <definedName name="Im_0">IF(OR(Бланк!$F$11="-",Бланк!$F$11=""),D!$BA$3,IF(ISNUMBER(SEARCH("TM",Бланк!$E$11)),IF(OR(ISNUMBER(SEARCH("200D",Бланк!$E$11)),ISNUMBER(SEARCH("250D",Бланк!$E$11))),D!$AZ$4:$AZ$9,OFFSET(D!$AX$3,MATCH(Бланк!$E$11,D!$AX:$AX,0)-3,1,1,1)),D!$BA$4:$BA$12))</definedName>
    <definedName name="Im_1">IF(OR(Бланк!$F$13="-",Бланк!$F$13=""),D!$BA$3,IF(ISNUMBER(SEARCH("TM",Бланк!$E$13)),IF(OR(ISNUMBER(SEARCH("200D",Бланк!$E$13)),ISNUMBER(SEARCH("250D",Бланк!$E$13))),D!$AZ$14:$AZ$19,OFFSET(D!$AX$3,MATCH(Бланк!$E$13,D!$AX:$AX,0)-3,1,1)),D!$BA$14:$BA$22))</definedName>
    <definedName name="Im_10">IF(OR(Бланк!$F$22="-",Бланк!$F$22=""),D!$BA$3,IF(ISNUMBER(SEARCH("TM",Бланк!$E$22)),IF(OR(ISNUMBER(SEARCH("200D",Бланк!$E$22)),ISNUMBER(SEARCH("250D",Бланк!$E$22))),D!$AZ$104:$AZ$109,OFFSET(D!$AX$3,MATCH(Бланк!$E$22,D!$AX:$AX,0)-3,1,1,1)),D!$BA$104:$BA$112))</definedName>
    <definedName name="Im_11">IF(OR(Бланк!$F$23="-",Бланк!$F$23=""),D!$BA$3,IF(ISNUMBER(SEARCH("TM",Бланк!$E$23)),IF(OR(ISNUMBER(SEARCH("200D",Бланк!$E$23)),ISNUMBER(SEARCH("250D",Бланк!$E$23))),D!$AZ$114:$AZ$119,OFFSET(D!$AX$3,MATCH(Бланк!$E$23,D!$AX:$AX,0)-3,1,1,1)),D!$BA$114:$BA$122))</definedName>
    <definedName name="Im_12">IF(OR(Бланк!$F$24="-",Бланк!$F$24=""),D!$BA$3,IF(ISNUMBER(SEARCH("TM",Бланк!$E$24)),IF(OR(ISNUMBER(SEARCH("200D",Бланк!$E$24)),ISNUMBER(SEARCH("250D",Бланк!$E$24))),D!$AZ$124:$AZ$129,OFFSET(D!$AX$3,MATCH(Бланк!$E$24,D!$AX:$AX,0)-3,1,1,1)),D!$BA$124:$BA$132))</definedName>
    <definedName name="Im_13">IF(OR(Бланк!$F$25="-",Бланк!$F$25=""),D!$BA$3,IF(ISNUMBER(SEARCH("TM",Бланк!$E$25)),IF(OR(ISNUMBER(SEARCH("200D",Бланк!$E$25)),ISNUMBER(SEARCH("250D",Бланк!$E$25))),D!$AZ$134:$AZ$139,OFFSET(D!$AX$3,MATCH(Бланк!$E$25,D!$AX:$AX,0)-3,1,1,1)),D!$BA$134:$BA$142))</definedName>
    <definedName name="Im_14">IF(OR(Бланк!$F$26="-",Бланк!$F$26=""),D!$BA$3,IF(ISNUMBER(SEARCH("TM",Бланк!$E$26)),IF(OR(ISNUMBER(SEARCH("200D",Бланк!$E$26)),ISNUMBER(SEARCH("250D",Бланк!$E$26))),D!$AZ$144:$AZ$149,OFFSET(D!$AX$3,MATCH(Бланк!$E$26,D!$AX:$AX,0)-3,1,1,1)),D!$BA$144:$BA$152))</definedName>
    <definedName name="Im_15">IF(OR(Бланк!$F$27="-",Бланк!$F$27=""),D!$BA$3,IF(ISNUMBER(SEARCH("TM",Бланк!$E$27)),IF(OR(ISNUMBER(SEARCH("200D",Бланк!$E$27)),ISNUMBER(SEARCH("250D",Бланк!$E$27))),D!$AZ$154:$AZ$159,OFFSET(D!$AX$3,MATCH(Бланк!$E$27,D!$AX:$AX,0)-3,1,1,1)),D!$BA$154:$BA$162))</definedName>
    <definedName name="Im_2">IF(OR(Бланк!$F$14="-",Бланк!$F$14=""),D!$BA$3,IF(ISNUMBER(SEARCH("TM",Бланк!$E$14)),IF(OR(ISNUMBER(SEARCH("200D",Бланк!$E$14)),ISNUMBER(SEARCH("250D",Бланк!$E$14))),D!$AZ$24:$AZ$29,OFFSET(D!$AX$3,MATCH(Бланк!$E$14,D!$AX:$AX,0)-3,1,1)),D!$BA$24:$BA$32))</definedName>
    <definedName name="Im_3">IF(OR(Бланк!$F$15="-",Бланк!$F$15=""),D!$BA$3,IF(ISNUMBER(SEARCH("TM",Бланк!$E$15)),IF(OR(ISNUMBER(SEARCH("200D",Бланк!$E$15)),ISNUMBER(SEARCH("250D",Бланк!$E$15))),D!$AZ$34:$AZ$39,OFFSET(D!$AX$3,MATCH(Бланк!$E$15,D!$AX:$AX,0)-3,1,1,1)),D!$BA$34:$BA$42))</definedName>
    <definedName name="Im_4">IF(OR(Бланк!$F$16="-",Бланк!$F$16=""),D!$BA$3,IF(ISNUMBER(SEARCH("TM",Бланк!$E$16)),IF(OR(ISNUMBER(SEARCH("200D",Бланк!$E$16)),ISNUMBER(SEARCH("250D",Бланк!$E$16))),D!$AZ$44:$AZ$49,OFFSET(D!$AX$3,MATCH(Бланк!$E$16,D!$AX:$AX,0)-3,1,1,1)),D!$BA$44:$BA$52))</definedName>
    <definedName name="Im_5">IF(OR(Бланк!$F$17="-",Бланк!$F$17=""),D!$BA$3,IF(ISNUMBER(SEARCH("TM",Бланк!$E$17)),IF(OR(ISNUMBER(SEARCH("200D",Бланк!$E$17)),ISNUMBER(SEARCH("250D",Бланк!$E$17))),D!$AZ$54:$AZ$59,OFFSET(D!$AX$3,MATCH(Бланк!$E$17,D!$AX:$AX,0)-3,1,1,1)),D!$BA$54:$BA$62))</definedName>
    <definedName name="Im_6">IF(OR(Бланк!$F$18="-",Бланк!$F$18=""),D!$BA$3,IF(ISNUMBER(SEARCH("TM",Бланк!$E$18)),IF(OR(ISNUMBER(SEARCH("200D",Бланк!$E$18)),ISNUMBER(SEARCH("250D",Бланк!$E$18))),D!$AZ$64:$AZ$69,OFFSET(D!$AX$3,MATCH(Бланк!$E$18,D!$AX:$AX,0)-3,1,1,1)),D!$BA$64:$BA$72))</definedName>
    <definedName name="Im_7">IF(OR(Бланк!$F$19="-",Бланк!$F$19=""),D!$BA$3,IF(ISNUMBER(SEARCH("TM",Бланк!$E$19)),IF(OR(ISNUMBER(SEARCH("200D",Бланк!$E$19)),ISNUMBER(SEARCH("250D",Бланк!$E$19))),D!$AZ$74:$AZ$79,OFFSET(D!$AX$3,MATCH(Бланк!$E$19,D!$AX:$AX,0)-3,1,1,1)),D!$BA$74:$BA$82))</definedName>
    <definedName name="Im_8">IF(OR(Бланк!$F$20="-",Бланк!$F$20=""),D!$BA$3,IF(ISNUMBER(SEARCH("TM",Бланк!$E$20)),IF(OR(ISNUMBER(SEARCH("200D",Бланк!$E$20)),ISNUMBER(SEARCH("250D",Бланк!$E$20))),D!$AZ$84:$AZ$89,OFFSET(D!$AX$3,MATCH(Бланк!$E$20,D!$AX:$AX,0)-3,1,1,1)),D!$BA$84:$BA$92))</definedName>
    <definedName name="Im_9">IF(OR(Бланк!$F$21="-",Бланк!$F$21=""),D!$BA$3,IF(ISNUMBER(SEARCH("TM",Бланк!$E$21)),IF(OR(ISNUMBER(SEARCH("200D",Бланк!$E$21)),ISNUMBER(SEARCH("250D",Бланк!$E$21))),D!$AZ$94:$AZ$99,OFFSET(D!$AX$3,MATCH(Бланк!$E$21,D!$AX:$AX,0)-3,1,1,1)),D!$BA$94:$BA$102))</definedName>
    <definedName name="In_0">OFFSET(D!$AM$2,D!$BW$4,0,D!$BY$4,1)</definedName>
    <definedName name="In_1">OFFSET(D!$AM$2,D!$BV$5,0,D!$BY$5,1)</definedName>
    <definedName name="In_10">OFFSET(D!$AM$2,D!$BV$14,0,D!$BY$14,1)</definedName>
    <definedName name="In_11">OFFSET(D!$AM$2,D!$BV$15,0,D!$BY$15,1)</definedName>
    <definedName name="In_12">OFFSET(D!$AM$2,D!$BV$16,0,D!$BY$16,1)</definedName>
    <definedName name="In_13">OFFSET(D!$AM$2,D!$BV$17,0,D!$BY$17,1)</definedName>
    <definedName name="In_14">OFFSET(D!$AM$2,D!$BV$18,0,D!$BY$18,1)</definedName>
    <definedName name="In_15">OFFSET(D!$AM$2,D!$BV$19,0,D!$BY$19,1)</definedName>
    <definedName name="In_16">OFFSET(D!$AM$2,D!$BV$20,0,D!$BY$20,1)</definedName>
    <definedName name="In_17">OFFSET(D!$AM$2,D!$BV$21,0,D!$BY$21,1)</definedName>
    <definedName name="In_18">OFFSET(D!$AM$2,D!$BV$22,0,D!$BY$22,1)</definedName>
    <definedName name="In_19">OFFSET(D!$AM$2,D!$BV$23,0,D!$BY$23,1)</definedName>
    <definedName name="In_2">OFFSET(D!$AM$2,D!$BV$6,0,D!$BY$6,1)</definedName>
    <definedName name="In_20">OFFSET(D!$AM$2,D!$BV$24,0,D!$BY$24,1)</definedName>
    <definedName name="In_3">OFFSET(D!$AM$2,D!$BV$7,0,D!$BY$7,1)</definedName>
    <definedName name="In_4">OFFSET(D!$AM$2,D!$BV$8,0,D!$BY$8,1)</definedName>
    <definedName name="In_5">OFFSET(D!$AM$2,D!$BV$9,0,D!$BY$9,1)</definedName>
    <definedName name="In_6">OFFSET(D!$AM$2,D!$BV$10,0,D!$BY$10,1)</definedName>
    <definedName name="In_7">OFFSET(D!$AM$2,D!$BV$11,0,D!$BY$11,1)</definedName>
    <definedName name="In_8">OFFSET(D!$AM$2,D!$BV$12,0,D!$BY$12,1)</definedName>
    <definedName name="In_9">OFFSET(D!$AM$2,D!$BV$13,0,D!$BY$13,1)</definedName>
    <definedName name="Ir_0">OFFSET(D!$BB$3,MATCH(Бланк!$E$11,D!$BB:$BB,0)-3,1,COUNTIF(D!$BB:$BB,Бланк!$E$11),1)</definedName>
    <definedName name="Ir_1">OFFSET(D!$BB$3,MATCH(Бланк!$E$13,D!$BB:$BB,0)-3,1,COUNTIF(D!$BB:$BB,Бланк!$E$13),1)</definedName>
    <definedName name="Ir_10">OFFSET(D!$BB$3,MATCH(Бланк!$E$22,D!$BB:$BB,0)-3,1,COUNTIF(D!$BB:$BB,Бланк!$E$22),1)</definedName>
    <definedName name="Ir_11">OFFSET(D!$BB$3,MATCH(Бланк!$E$23,D!$BB:$BB,0)-3,1,COUNTIF(D!$BB:$BB,Бланк!$E$23),1)</definedName>
    <definedName name="Ir_12">OFFSET(D!$BB$3,MATCH(Бланк!$E$24,D!$BB:$BB,0)-3,1,COUNTIF(D!$BB:$BB,Бланк!$E$24),1)</definedName>
    <definedName name="Ir_13">OFFSET(D!$BB$3,MATCH(Бланк!$E$25,D!$BB:$BB,0)-3,1,COUNTIF(D!$BB:$BB,Бланк!$E$25),1)</definedName>
    <definedName name="Ir_14">OFFSET(D!$BB$3,MATCH(Бланк!$E$26,D!$BB:$BB,0)-3,1,COUNTIF(D!$BB:$BB,Бланк!$E$26),1)</definedName>
    <definedName name="Ir_15">OFFSET(D!$BB$3,MATCH(Бланк!$E$27,D!$BB:$BB,0)-3,1,COUNTIF(D!$BB:$BB,Бланк!$E$27),1)</definedName>
    <definedName name="Ir_2">OFFSET(D!$BB$3,MATCH(Бланк!$E$14,D!$BB:$BB,0)-3,1,COUNTIF(D!$BB:$BB,Бланк!$E$14),1)</definedName>
    <definedName name="Ir_3">OFFSET(D!$BB$3,MATCH(Бланк!$E$15,D!$BB:$BB,0)-3,1,COUNTIF(D!$BB:$BB,Бланк!$E$15),1)</definedName>
    <definedName name="Ir_4">OFFSET(D!$BB$3,MATCH(Бланк!$E$16,D!$BB:$BB,0)-3,1,COUNTIF(D!$BB:$BB,Бланк!$E$16),1)</definedName>
    <definedName name="Ir_5">OFFSET(D!$BB$3,MATCH(Бланк!$E$17,D!$BB:$BB,0)-3,1,COUNTIF(D!$BB:$BB,Бланк!$E$17),1)</definedName>
    <definedName name="Ir_6">OFFSET(D!$BB$3,MATCH(Бланк!$E$18,D!$BB:$BB,0)-3,1,COUNTIF(D!$BB:$BB,Бланк!$E$18),1)</definedName>
    <definedName name="Ir_7">OFFSET(D!$BB$3,MATCH(Бланк!$E$19,D!$BB:$BB,0)-3,1,COUNTIF(D!$BB:$BB,Бланк!$E$19),1)</definedName>
    <definedName name="Ir_8">OFFSET(D!$BB$3,MATCH(Бланк!$E$20,D!$BB:$BB,0)-3,1,COUNTIF(D!$BB:$BB,Бланк!$E$20),1)</definedName>
    <definedName name="Ir_9">OFFSET(D!$BB$3,MATCH(Бланк!$E$21,D!$BB:$BB,0)-3,1,COUNTIF(D!$BB:$BB,Бланк!$E$21),1)</definedName>
    <definedName name="Выбор_БС">IF(Бланк!$C$41="ЩР",D!$CK$4,D!$CK$3:$CK$4)</definedName>
    <definedName name="Выбор_да_нет">D!$CK$3:$CK$4</definedName>
    <definedName name="Выбор0">IF(Проверки!$N$4,D!$CK$4,D!$CK$3:$CK$4)</definedName>
    <definedName name="Выбор1">IF(Проверки!$N$5,D!$CK$4,D!$CK$3:$CK$4)</definedName>
    <definedName name="Выбор10">IF(Проверки!$N$14,D!$CK$4,D!$CK$3:$CK$4)</definedName>
    <definedName name="Выбор11">IF(Проверки!$N$15,D!$CK$4,D!$CK$3:$CK$4)</definedName>
    <definedName name="Выбор12">IF(Проверки!$N$16,D!$CK$4,D!$CK$3:$CK$4)</definedName>
    <definedName name="Выбор13">IF(Проверки!$N$17,D!$CK$4,D!$CK$3:$CK$4)</definedName>
    <definedName name="Выбор14">IF(Проверки!$N$18,D!$CK$4,D!$CK$3:$CK$4)</definedName>
    <definedName name="Выбор15">IF(Проверки!$N$19,D!$CK$4,D!$CK$3:$CK$4)</definedName>
    <definedName name="Выбор16">IF(Проверки!$N$20,D!$CK$4,D!$CK$3:$CK$4)</definedName>
    <definedName name="Выбор17">IF(Проверки!$N$21,D!$CK$4,D!$CK$3:$CK$4)</definedName>
    <definedName name="Выбор18">IF(Проверки!$N$22,D!$CK$4,D!$CK$3:$CK$4)</definedName>
    <definedName name="Выбор19">IF(Проверки!$N$23,D!$CK$4,D!$CK$3:$CK$4)</definedName>
    <definedName name="Выбор2">IF(Проверки!$N$6,D!$CK$4,D!$CK$3:$CK$4)</definedName>
    <definedName name="Выбор20">IF(Проверки!$N$24,D!$CK$4,D!$CK$3:$CK$4)</definedName>
    <definedName name="Выбор3">IF(Проверки!$N$7,D!$CK$4,D!$CK$3:$CK$4)</definedName>
    <definedName name="Выбор4">IF(Проверки!$N$8,D!$CK$4,D!$CK$3:$CK$4)</definedName>
    <definedName name="Выбор5">IF(Проверки!$N$9,D!$CK$4,D!$CK$3:$CK$4)</definedName>
    <definedName name="Выбор6">IF(Проверки!$N$10,D!$CK$4,D!$CK$3:$CK$4)</definedName>
    <definedName name="Выбор7">IF(Проверки!$N$11,D!$CK$4,D!$CK$3:$CK$4)</definedName>
    <definedName name="Выбор8">IF(Проверки!$N$12,D!$CK$4,D!$CK$3:$CK$4)</definedName>
    <definedName name="Выбор9">IF(Проверки!$N$13,D!$CK$4,D!$CK$3:$CK$4)</definedName>
    <definedName name="Выключатель_ввода">IF(Бланк!$C$41="ПР",Выключатель_ввода_ПР,Выключатель_ввода_ЩР)</definedName>
    <definedName name="Выключатель_ввода_ПР">OFFSET(D!$X$3,0,0,COUNTA(D!$X$3:$X$1000),1)</definedName>
    <definedName name="Выключатель_ввода_ЩР">OFFSET(D!$Y$3,0,0,COUNTA(D!$Y$3:$Y$1000),1)</definedName>
    <definedName name="Выключатель_отходящий">IF(Бланк!$C$41="ПР",D!$Z$3:$Z$32,D!$Z$3:$Z$17)</definedName>
    <definedName name="Высота_вручную">IF(Бланк!$C$44="Вручную",IF(Бланк!$C$46="-",D!$CP$3:$CP$13,IF(Бланк!$C$41="ПР",D!$CP$3:$CP$11,D!$CP$3:$CP$7)),Бланк!$I$45)</definedName>
    <definedName name="Глубина_вручную">IF(Бланк!$C$44="Вручную",IF(Бланк!$C$46="-",D!$CQ$3:$CQ$9,IF(Бланк!$C$41="ЩР",D!$CQ$3,IF(Бланк!$I$46&gt;1200,D!$CQ$5,D!$CQ$3:$CQ$5))),"")</definedName>
    <definedName name="Исполнение_главной_схемы">D!$CM$3:$CM$4</definedName>
    <definedName name="Климатическое_исполнение">IF(Бланк!$C$41="ЩР",D!$CS$3,D!$CS$3:$CS$10)</definedName>
    <definedName name="Количество_вводных_аппаратов">IF(OR(Бланк!$B$11="",Бланк!$B$11="-"),"",IF(ISERROR(FIND("АВР",Бланк!$B$11)),1,2))</definedName>
    <definedName name="Кривая0">OFFSET(D!$AS$2,D!$BW$30,0,D!$BY$30,1)</definedName>
    <definedName name="Кривая1">OFFSET(D!$AS$2,D!$BW$31,0,D!$BY$31,1)</definedName>
    <definedName name="Кривая10">OFFSET(D!$AS$2,D!$BW$40,0,D!$BY$40,1)</definedName>
    <definedName name="Кривая11">OFFSET(D!$AS$2,D!$BW$41,0,D!$BY$41,1)</definedName>
    <definedName name="Кривая12">OFFSET(D!$AS$2,D!$BW$42,0,D!$BY$42,1)</definedName>
    <definedName name="Кривая13">OFFSET(D!$AS$2,D!$BW$43,0,D!$BY$43,1)</definedName>
    <definedName name="Кривая14">OFFSET(D!$AS$2,D!$BW$44,0,D!$BY$44,1)</definedName>
    <definedName name="Кривая15">OFFSET(D!$AS$2,D!$BW$45,0,D!$BY$45,1)</definedName>
    <definedName name="Кривая16">OFFSET(D!$AS$2,D!$BW$46,0,D!$BY$46,1)</definedName>
    <definedName name="Кривая17">OFFSET(D!$AS$2,D!$BW$47,0,D!$BY$47,1)</definedName>
    <definedName name="Кривая18">OFFSET(D!$AS$2,D!$BW$48,0,D!$BY$48,1)</definedName>
    <definedName name="Кривая19">OFFSET(D!$AS$2,D!$BW$49,0,D!$BY$49,1)</definedName>
    <definedName name="Кривая2">OFFSET(D!$AS$2,D!$BW$32,0,D!$BY$32,1)</definedName>
    <definedName name="Кривая20">OFFSET(D!$AS$2,D!$BW$50,0,D!$BY$50,1)</definedName>
    <definedName name="Кривая3">OFFSET(D!$AS$2,D!$BW$33,0,D!$BY$33,1)</definedName>
    <definedName name="Кривая4">OFFSET(D!$AS$2,D!$BW$34,0,D!$BY$34,1)</definedName>
    <definedName name="Кривая5">OFFSET(D!$AS$2,D!$BW$35,0,D!$BY$35,1)</definedName>
    <definedName name="Кривая6">OFFSET(D!$AS$2,D!$BW$36,0,D!$BY$36,1)</definedName>
    <definedName name="Кривая7">OFFSET(D!$AS$2,D!$BW$37,0,D!$BY$37,1)</definedName>
    <definedName name="Кривая8">OFFSET(D!$AS$2,D!$BW$38,0,D!$BY$38,1)</definedName>
    <definedName name="Кривая9">OFFSET(D!$AS$2,D!$BW$39,0,D!$BY$39,1)</definedName>
    <definedName name="Маркировка">D!$O$3:$O$6</definedName>
    <definedName name="Место_ввода">D!$CL$3:$CL$5</definedName>
    <definedName name="_xlnm.Print_Area" localSheetId="0">Бланк!$B$1:$O$39</definedName>
    <definedName name="_xlnm.Print_Area" localSheetId="8">'Бланк (вручную)'!$B$1:$O$39</definedName>
    <definedName name="_xlnm.Print_Area" localSheetId="7">'Бланк LS'!$B$1:$O$39</definedName>
    <definedName name="Полюс0">OFFSET(D!$AA$3,MATCH(Бланк!$B$11,D!$AA:$AA,0)-3,1,COUNTIF(D!$AA:$AA,Бланк!$B$11),1)</definedName>
    <definedName name="Полюс1">OFFSET(D!$AC$3,MATCH(Бланк!$B$13,D!$AC:$AC,0)-3,1,COUNTIF(D!$AC:$AC,Бланк!$B$13),1)</definedName>
    <definedName name="Полюс10">OFFSET(D!$AC$3,MATCH(Бланк!$B$22,D!$AC:$AC,0)-3,1,COUNTIF(D!$AC:$AC,Бланк!$B$22),1)</definedName>
    <definedName name="Полюс11">OFFSET(D!$AC$3,MATCH(Бланк!$B$23,D!$AC:$AC,0)-3,1,COUNTIF(D!$AC:$AC,Бланк!$B$23),1)</definedName>
    <definedName name="Полюс12">OFFSET(D!$AC$3,MATCH(Бланк!$B$24,D!$AC:$AC,0)-3,1,COUNTIF(D!$AC:$AC,Бланк!$B$24),1)</definedName>
    <definedName name="Полюс13">OFFSET(D!$AC$3,MATCH(Бланк!$B$25,D!$AC:$AC,0)-3,1,COUNTIF(D!$AC:$AC,Бланк!$B$25),1)</definedName>
    <definedName name="Полюс14">OFFSET(D!$AC$3,MATCH(Бланк!$B$26,D!$AC:$AC,0)-3,1,COUNTIF(D!$AC:$AC,Бланк!$B$26),1)</definedName>
    <definedName name="Полюс15">OFFSET(D!$AC$3,MATCH(Бланк!$B$27,D!$AC:$AC,0)-3,1,COUNTIF(D!$AC:$AC,Бланк!$B$27),1)</definedName>
    <definedName name="Полюс16">OFFSET(D!$AC$3,MATCH(Бланк!$B$28,D!$AC:$AC,0)-3,1,COUNTIF(D!$AC:$AC,Бланк!$B$28),1)</definedName>
    <definedName name="Полюс17">OFFSET(D!$AC$3,MATCH(Бланк!$B$29,D!$AC:$AC,0)-3,1,COUNTIF(D!$AC:$AC,Бланк!$B$29),1)</definedName>
    <definedName name="Полюс18">OFFSET(D!$AC$3,MATCH(Бланк!$B$30,D!$AC:$AC,0)-3,1,COUNTIF(D!$AC:$AC,Бланк!$B$30),1)</definedName>
    <definedName name="Полюс19">OFFSET(D!$AC$3,MATCH(Бланк!$B$31,D!$AC:$AC,0)-3,1,COUNTIF(D!$AC:$AC,Бланк!$B$31),1)</definedName>
    <definedName name="Полюс2">OFFSET(D!$AC$3,MATCH(Бланк!$B$14,D!$AC:$AC,0)-3,1,COUNTIF(D!$AC:$AC,Бланк!$B$14),1)</definedName>
    <definedName name="Полюс20">OFFSET(D!$AC$3,MATCH(Бланк!$B$32,D!$AC:$AC,0)-3,1,COUNTIF(D!$AC:$AC,Бланк!$B$32),1)</definedName>
    <definedName name="Полюс3">OFFSET(D!$AC$3,MATCH(Бланк!$B$15,D!$AC:$AC,0)-3,1,COUNTIF(D!$AC:$AC,Бланк!$B$15),1)</definedName>
    <definedName name="Полюс4">OFFSET(D!$AC$3,MATCH(Бланк!$B$16,D!$AC:$AC,0)-3,1,COUNTIF(D!$AC:$AC,Бланк!$B$16),1)</definedName>
    <definedName name="Полюс5">OFFSET(D!$AC$3,MATCH(Бланк!$B$17,D!$AC:$AC,0)-3,1,COUNTIF(D!$AC:$AC,Бланк!$B$17),1)</definedName>
    <definedName name="Полюс6">OFFSET(D!$AC$3,MATCH(Бланк!$B$18,D!$AC:$AC,0)-3,1,COUNTIF(D!$AC:$AC,Бланк!$B$18),1)</definedName>
    <definedName name="Полюс7">OFFSET(D!$AC$3,MATCH(Бланк!$B$19,D!$AC:$AC,0)-3,1,COUNTIF(D!$AC:$AC,Бланк!$B$19),1)</definedName>
    <definedName name="Полюс8">OFFSET(D!$AC$3,MATCH(Бланк!$B$20,D!$AC:$AC,0)-3,1,COUNTIF(D!$AC:$AC,Бланк!$B$20),1)</definedName>
    <definedName name="Полюс9">OFFSET(D!$AC$3,MATCH(Бланк!$B$21,D!$AC:$AC,0)-3,1,COUNTIF(D!$AC:$AC,Бланк!$B$21),1)</definedName>
    <definedName name="Размер_кабеля">OFFSET('Список кабелей'!$A$3,MATCH(D!$EL$3,'Список кабелей'!$A:$A,0)-3,3,COUNTIF('Список кабелей'!$A:$A,D!$EL$3),1)</definedName>
    <definedName name="Размер_кабеля_0">OFFSET('Список кабелей'!$L$3,0,0,COUNTA('Список кабелей'!$L$3:$DI990),1)</definedName>
    <definedName name="Размер_кабеля_1">OFFSET('Список кабелей'!$L$3,0,IF(OR(Проверки!$G$5,Проверки!$H$5),1,IF(OR(Проверки!$L$5,Проверки!$M$5,Проверки!$N$5,Проверки!$O$5),2,3)),COUNTA(OFFSET('Список кабелей'!$L$3,0,IF(OR(Проверки!$G$5,Проверки!$H$5),1,IF(OR(Проверки!$L$5,Проверки!$M$5,Проверки!$N$5,Проверки!$O$5),2,3)),1000,1)),1)</definedName>
    <definedName name="Размер_кабеля_10">OFFSET('Список кабелей'!$L$3,0,IF(OR(Проверки!$G$14,Проверки!$H$14),1,IF(OR(Проверки!$L$14,Проверки!$M$14,Проверки!$N$14,Проверки!$O$14),2,3)),COUNTA(OFFSET('Список кабелей'!$L$3,0,IF(OR(Проверки!$G$14,Проверки!$H$14),1,IF(OR(Проверки!$L$14,Проверки!$M$14,Проверки!$N$14,Проверки!$O$14),2,3)),1000,1)),1)</definedName>
    <definedName name="Размер_кабеля_11">OFFSET('Список кабелей'!$L$3,0,IF(OR(Проверки!$G$15,Проверки!$H$15),1,IF(OR(Проверки!$L$15,Проверки!$M$15,Проверки!$N$15,Проверки!$O$15),2,3)),COUNTA(OFFSET('Список кабелей'!$L$3,0,IF(OR(Проверки!$G$15,Проверки!$H$15),1,IF(OR(Проверки!$L$15,Проверки!$M$15,Проверки!$N$15,Проверки!$O$15),2,3)),1000,1)),1)</definedName>
    <definedName name="Размер_кабеля_12">OFFSET('Список кабелей'!$L$3,0,IF(OR(Проверки!$G$16,Проверки!$H$16),1,IF(OR(Проверки!$L$16,Проверки!$M$16,Проверки!$N$16,Проверки!$O$16),2,3)),COUNTA(OFFSET('Список кабелей'!$L$3,0,IF(OR(Проверки!$G$16,Проверки!$H$16),1,IF(OR(Проверки!$L$16,Проверки!$M$16,Проверки!$N$16,Проверки!$O$16),2,3)),1000,1)),1)</definedName>
    <definedName name="Размер_кабеля_13">OFFSET('Список кабелей'!$L$3,0,IF(OR(Проверки!$G$17,Проверки!$H$17),1,IF(OR(Проверки!$L$17,Проверки!$M$17,Проверки!$N$17,Проверки!$O$17),2,3)),COUNTA(OFFSET('Список кабелей'!$L$3,0,IF(OR(Проверки!$G$17,Проверки!$H$17),1,IF(OR(Проверки!$L$17,Проверки!$M$17,Проверки!$N$17,Проверки!$O$17),2,3)),1000,1)),1)</definedName>
    <definedName name="Размер_кабеля_14">OFFSET('Список кабелей'!$L$3,0,IF(OR(Проверки!$G$18,Проверки!$H$18),1,IF(OR(Проверки!$L$18,Проверки!$M$18,Проверки!$N$18,Проверки!$O$18),2,3)),COUNTA(OFFSET('Список кабелей'!$L$3,0,IF(OR(Проверки!$G$18,Проверки!$H$18),1,IF(OR(Проверки!$L$18,Проверки!$M$18,Проверки!$N$18,Проверки!$O$18),2,3)),1000,1)),1)</definedName>
    <definedName name="Размер_кабеля_15">OFFSET('Список кабелей'!$L$3,0,IF(OR(Проверки!$G$19,Проверки!$H$19),1,IF(OR(Проверки!$L$19,Проверки!$M$19,Проверки!$N$19,Проверки!$O$19),2,3)),COUNTA(OFFSET('Список кабелей'!$L$3,0,IF(OR(Проверки!$G$19,Проверки!$H$19),1,IF(OR(Проверки!$L$19,Проверки!$M$19,Проверки!$N$19,Проверки!$O$19),2,3)),1000,1)),1)</definedName>
    <definedName name="Размер_кабеля_2">OFFSET('Список кабелей'!$L$3,0,IF(OR(Проверки!$G$6,Проверки!$H$6),1,IF(OR(Проверки!$L$6,Проверки!$M$6,Проверки!$N$6,Проверки!$O$6),2,3)),COUNTA(OFFSET('Список кабелей'!$L$3,0,IF(OR(Проверки!$G$6,Проверки!$H$6),1,IF(OR(Проверки!$L$6,Проверки!$M$6,Проверки!$N$6,Проверки!$O$6),2,3)),1000,1)),1)</definedName>
    <definedName name="Размер_кабеля_3">OFFSET('Список кабелей'!$L$3,0,IF(OR(Проверки!$G$7,Проверки!$H$7),1,IF(OR(Проверки!$L$7,Проверки!$M$7,Проверки!$N$7,Проверки!$O$7),2,3)),COUNTA(OFFSET('Список кабелей'!$L$3,0,IF(OR(Проверки!$G$7,Проверки!$H$7),1,IF(OR(Проверки!$L$7,Проверки!$M$7,Проверки!$N$7,Проверки!$O$7),2,3)),1000,1)),1)</definedName>
    <definedName name="Размер_кабеля_4">OFFSET('Список кабелей'!$L$3,0,IF(OR(Проверки!$G$8,Проверки!$H$8),1,IF(OR(Проверки!$L$8,Проверки!$M$8,Проверки!$N$8,Проверки!$O$8),2,3)),COUNTA(OFFSET('Список кабелей'!$L$3,0,IF(OR(Проверки!$G$8,Проверки!$H$8),1,IF(OR(Проверки!$L$8,Проверки!$M$8,Проверки!$N$8,Проверки!$O$8),2,3)),1000,1)),1)</definedName>
    <definedName name="Размер_кабеля_5">OFFSET('Список кабелей'!$L$3,0,IF(OR(Проверки!$G$9,Проверки!$H$9),1,IF(OR(Проверки!$L$9,Проверки!$M$9,Проверки!$N$9,Проверки!$O$9),2,3)),COUNTA(OFFSET('Список кабелей'!$L$3,0,IF(OR(Проверки!$G$9,Проверки!$H$9),1,IF(OR(Проверки!$L$9,Проверки!$M$9,Проверки!$N$9,Проверки!$O$9),2,3)),1000,1)),1)</definedName>
    <definedName name="Размер_кабеля_6">OFFSET('Список кабелей'!$L$3,0,IF(OR(Проверки!$G$10,Проверки!$H$10),1,IF(OR(Проверки!$L$10,Проверки!$M$10,Проверки!$N$10,Проверки!$O$10),2,3)),COUNTA(OFFSET('Список кабелей'!$L$3,0,IF(OR(Проверки!$G$10,Проверки!$H$10),1,IF(OR(Проверки!$L$10,Проверки!$M$10,Проверки!$N$10,Проверки!$O$10),2,3)),1000,1)),1)</definedName>
    <definedName name="Размер_кабеля_7">OFFSET('Список кабелей'!$L$3,0,IF(OR(Проверки!$G$11,Проверки!$H$11),1,IF(OR(Проверки!$L$11,Проверки!$M$11,Проверки!$N$11,Проверки!$O$11),2,3)),COUNTA(OFFSET('Список кабелей'!$L$3,0,IF(OR(Проверки!$G$11,Проверки!$H$11),1,IF(OR(Проверки!$L$11,Проверки!$M$11,Проверки!$N$11,Проверки!$O$11),2,3)),1000,1)),1)</definedName>
    <definedName name="Размер_кабеля_8">OFFSET('Список кабелей'!$L$3,0,IF(OR(Проверки!$G$12,Проверки!$H$12),1,IF(OR(Проверки!$L$12,Проверки!$M$12,Проверки!$N$12,Проверки!$O$12),2,3)),COUNTA(OFFSET('Список кабелей'!$L$3,0,IF(OR(Проверки!$G$12,Проверки!$H$12),1,IF(OR(Проверки!$L$12,Проверки!$M$12,Проверки!$N$12,Проверки!$O$12),2,3)),1000,1)),1)</definedName>
    <definedName name="Размер_кабеля_9">OFFSET('Список кабелей'!$L$3,0,IF(OR(Проверки!$G$13,Проверки!$H$13),1,IF(OR(Проверки!$L$13,Проверки!$M$13,Проверки!$N$13,Проверки!$O$13),2,3)),COUNTA(OFFSET('Список кабелей'!$L$3,0,IF(OR(Проверки!$G$13,Проверки!$H$13),1,IF(OR(Проверки!$L$13,Проверки!$M$13,Проверки!$N$13,Проверки!$O$13),2,3)),1000,1)),1)</definedName>
    <definedName name="Система_заземления">D!$N$3:$N$7</definedName>
    <definedName name="Способ_определения_габаритных_размеров">D!$CN$3:$CN$4</definedName>
    <definedName name="Степень_защиты">D!$CV$3:$CV$5</definedName>
    <definedName name="Тип_кабеля" localSheetId="8">OFFSET(D!#REF!,0,0,COUNTA(D!#REF!),1)</definedName>
    <definedName name="Тип_кабеля">OFFSET(D!#REF!,0,0,COUNTA(D!#REF!),1)</definedName>
    <definedName name="Тип_НКУ">D!$CR$3:$CR$4</definedName>
    <definedName name="Ширина">IF(Бланк!$C$46="-",D!$CO$3:$CO$7,IF(Бланк!$C$41="ЩР",D!$CO$3:$CO$4,IF(AND(Проверки!$B$27,Габариты!$B$6="NSX",OR(Бланк!$C$11=4,D!$BT$56)),D!$CO$5,D!$CO$4:$CO$5)))</definedName>
  </definedNames>
  <calcPr calcId="162913"/>
</workbook>
</file>

<file path=xl/calcChain.xml><?xml version="1.0" encoding="utf-8"?>
<calcChain xmlns="http://schemas.openxmlformats.org/spreadsheetml/2006/main">
  <c r="J459" i="16561" l="1"/>
  <c r="I459" i="16561"/>
  <c r="G459" i="16561"/>
  <c r="G458" i="16561" s="1"/>
  <c r="F459" i="16561"/>
  <c r="F458" i="16561" s="1"/>
  <c r="H458" i="16561" s="1"/>
  <c r="J458" i="16561"/>
  <c r="I458" i="16561"/>
  <c r="J452" i="16561"/>
  <c r="I452" i="16561"/>
  <c r="G452" i="16561"/>
  <c r="F452" i="16561"/>
  <c r="H452" i="16561" s="1"/>
  <c r="J446" i="16561"/>
  <c r="I446" i="16561"/>
  <c r="H446" i="16561"/>
  <c r="G446" i="16561"/>
  <c r="F446" i="16561"/>
  <c r="J422" i="16561"/>
  <c r="I422" i="16561"/>
  <c r="H422" i="16561"/>
  <c r="G422" i="16561"/>
  <c r="F422" i="16561"/>
  <c r="J412" i="16561"/>
  <c r="I412" i="16561"/>
  <c r="H412" i="16561"/>
  <c r="G412" i="16561"/>
  <c r="F412" i="16561"/>
  <c r="J404" i="16561"/>
  <c r="I404" i="16561"/>
  <c r="H404" i="16561"/>
  <c r="G404" i="16561"/>
  <c r="F404" i="16561"/>
  <c r="J395" i="16561"/>
  <c r="I395" i="16561"/>
  <c r="H395" i="16561"/>
  <c r="G395" i="16561"/>
  <c r="F395" i="16561"/>
  <c r="J383" i="16561"/>
  <c r="I383" i="16561"/>
  <c r="G383" i="16561"/>
  <c r="F383" i="16561"/>
  <c r="H383" i="16561" s="1"/>
  <c r="J373" i="16561"/>
  <c r="I373" i="16561"/>
  <c r="H373" i="16561"/>
  <c r="G373" i="16561"/>
  <c r="F373" i="16561"/>
  <c r="J355" i="16561"/>
  <c r="I355" i="16561"/>
  <c r="H355" i="16561"/>
  <c r="G355" i="16561"/>
  <c r="F355" i="16561"/>
  <c r="J364" i="16561"/>
  <c r="I364" i="16561"/>
  <c r="G364" i="16561"/>
  <c r="F364" i="16561"/>
  <c r="H364" i="16561" s="1"/>
  <c r="J345" i="16561"/>
  <c r="I345" i="16561"/>
  <c r="G345" i="16561"/>
  <c r="F345" i="16561"/>
  <c r="H345" i="16561" s="1"/>
  <c r="J336" i="16561"/>
  <c r="I336" i="16561"/>
  <c r="H336" i="16561"/>
  <c r="G336" i="16561"/>
  <c r="F336" i="16561"/>
  <c r="J323" i="16561"/>
  <c r="I323" i="16561"/>
  <c r="H323" i="16561"/>
  <c r="G323" i="16561"/>
  <c r="F323" i="16561"/>
  <c r="J321" i="16561"/>
  <c r="I321" i="16561"/>
  <c r="H321" i="16561"/>
  <c r="G321" i="16561"/>
  <c r="F321" i="16561"/>
  <c r="J320" i="16561"/>
  <c r="I320" i="16561"/>
  <c r="H320" i="16561"/>
  <c r="G320" i="16561"/>
  <c r="F320" i="16561"/>
  <c r="F319" i="16561" s="1"/>
  <c r="H319" i="16561" s="1"/>
  <c r="J319" i="16561"/>
  <c r="I319" i="16561"/>
  <c r="G319" i="16561"/>
  <c r="J317" i="16561"/>
  <c r="J316" i="16561" s="1"/>
  <c r="I317" i="16561"/>
  <c r="H317" i="16561"/>
  <c r="G317" i="16561"/>
  <c r="G316" i="16561" s="1"/>
  <c r="F317" i="16561"/>
  <c r="I316" i="16561"/>
  <c r="F316" i="16561"/>
  <c r="H316" i="16561" s="1"/>
  <c r="J311" i="16561"/>
  <c r="I311" i="16561"/>
  <c r="G311" i="16561"/>
  <c r="F311" i="16561"/>
  <c r="H311" i="16561" s="1"/>
  <c r="J304" i="16561"/>
  <c r="I304" i="16561"/>
  <c r="H304" i="16561"/>
  <c r="G304" i="16561"/>
  <c r="F304" i="16561"/>
  <c r="J294" i="16561"/>
  <c r="I294" i="16561"/>
  <c r="G294" i="16561"/>
  <c r="F294" i="16561"/>
  <c r="H294" i="16561" s="1"/>
  <c r="J284" i="16561"/>
  <c r="I284" i="16561"/>
  <c r="H284" i="16561"/>
  <c r="G284" i="16561"/>
  <c r="F284" i="16561"/>
  <c r="J272" i="16561"/>
  <c r="J271" i="16561" s="1"/>
  <c r="I272" i="16561"/>
  <c r="H272" i="16561"/>
  <c r="G272" i="16561"/>
  <c r="F272" i="16561"/>
  <c r="I271" i="16561"/>
  <c r="G271" i="16561"/>
  <c r="F271" i="16561"/>
  <c r="H271" i="16561" s="1"/>
  <c r="J249" i="16561"/>
  <c r="I249" i="16561"/>
  <c r="H249" i="16561"/>
  <c r="G249" i="16561"/>
  <c r="F249" i="16561"/>
  <c r="J238" i="16561"/>
  <c r="I238" i="16561"/>
  <c r="H238" i="16561"/>
  <c r="G238" i="16561"/>
  <c r="F238" i="16561"/>
  <c r="J227" i="16561"/>
  <c r="I227" i="16561"/>
  <c r="H227" i="16561"/>
  <c r="G227" i="16561"/>
  <c r="F227" i="16561"/>
  <c r="J216" i="16561"/>
  <c r="I216" i="16561"/>
  <c r="H216" i="16561"/>
  <c r="G216" i="16561"/>
  <c r="F216" i="16561"/>
  <c r="J202" i="16561"/>
  <c r="I202" i="16561"/>
  <c r="H202" i="16561"/>
  <c r="G202" i="16561"/>
  <c r="F202" i="16561"/>
  <c r="J188" i="16561"/>
  <c r="I188" i="16561"/>
  <c r="H188" i="16561"/>
  <c r="G188" i="16561"/>
  <c r="F188" i="16561"/>
  <c r="J176" i="16561"/>
  <c r="I176" i="16561"/>
  <c r="G176" i="16561"/>
  <c r="F176" i="16561"/>
  <c r="H176" i="16561" s="1"/>
  <c r="J166" i="16561"/>
  <c r="I166" i="16561"/>
  <c r="H166" i="16561"/>
  <c r="G166" i="16561"/>
  <c r="F166" i="16561"/>
  <c r="J162" i="16561"/>
  <c r="I162" i="16561"/>
  <c r="H162" i="16561"/>
  <c r="G162" i="16561"/>
  <c r="F162" i="16561"/>
  <c r="J160" i="16561"/>
  <c r="I160" i="16561"/>
  <c r="H160" i="16561"/>
  <c r="G160" i="16561"/>
  <c r="F160" i="16561"/>
  <c r="J157" i="16561"/>
  <c r="I157" i="16561"/>
  <c r="G157" i="16561"/>
  <c r="G156" i="16561" s="1"/>
  <c r="G155" i="16561" s="1"/>
  <c r="G154" i="16561" s="1"/>
  <c r="F157" i="16561"/>
  <c r="F156" i="16561" s="1"/>
  <c r="J156" i="16561"/>
  <c r="J155" i="16561" s="1"/>
  <c r="J154" i="16561" s="1"/>
  <c r="I156" i="16561"/>
  <c r="I155" i="16561"/>
  <c r="I154" i="16561"/>
  <c r="J150" i="16561"/>
  <c r="I150" i="16561"/>
  <c r="H150" i="16561"/>
  <c r="G150" i="16561"/>
  <c r="F150" i="16561"/>
  <c r="J145" i="16561"/>
  <c r="I145" i="16561"/>
  <c r="H145" i="16561"/>
  <c r="G145" i="16561"/>
  <c r="F145" i="16561"/>
  <c r="J140" i="16561"/>
  <c r="I140" i="16561"/>
  <c r="G140" i="16561"/>
  <c r="F140" i="16561"/>
  <c r="H140" i="16561" s="1"/>
  <c r="J135" i="16561"/>
  <c r="I135" i="16561"/>
  <c r="H135" i="16561"/>
  <c r="G135" i="16561"/>
  <c r="F135" i="16561"/>
  <c r="J130" i="16561"/>
  <c r="I130" i="16561"/>
  <c r="H130" i="16561"/>
  <c r="G130" i="16561"/>
  <c r="F130" i="16561"/>
  <c r="J125" i="16561"/>
  <c r="I125" i="16561"/>
  <c r="G125" i="16561"/>
  <c r="F125" i="16561"/>
  <c r="H125" i="16561" s="1"/>
  <c r="J118" i="16561"/>
  <c r="I118" i="16561"/>
  <c r="G118" i="16561"/>
  <c r="F118" i="16561"/>
  <c r="H118" i="16561" s="1"/>
  <c r="J104" i="16561"/>
  <c r="I104" i="16561"/>
  <c r="H104" i="16561"/>
  <c r="G104" i="16561"/>
  <c r="F104" i="16561"/>
  <c r="J111" i="16561"/>
  <c r="I111" i="16561"/>
  <c r="G111" i="16561"/>
  <c r="F111" i="16561"/>
  <c r="H111" i="16561" s="1"/>
  <c r="J3" i="16561"/>
  <c r="I3" i="16561"/>
  <c r="H3" i="16561"/>
  <c r="G3" i="16561"/>
  <c r="F3" i="16561"/>
  <c r="J7" i="16561"/>
  <c r="J6" i="16561" s="1"/>
  <c r="J5" i="16561" s="1"/>
  <c r="I7" i="16561"/>
  <c r="H7" i="16561"/>
  <c r="G7" i="16561"/>
  <c r="F7" i="16561"/>
  <c r="I6" i="16561"/>
  <c r="G6" i="16561"/>
  <c r="F6" i="16561"/>
  <c r="F5" i="16561" s="1"/>
  <c r="H5" i="16561" s="1"/>
  <c r="I5" i="16561"/>
  <c r="G5" i="16561"/>
  <c r="J10" i="16561"/>
  <c r="I10" i="16561"/>
  <c r="H10" i="16561"/>
  <c r="G10" i="16561"/>
  <c r="F10" i="16561"/>
  <c r="J14" i="16561"/>
  <c r="I14" i="16561"/>
  <c r="G14" i="16561"/>
  <c r="F14" i="16561"/>
  <c r="H14" i="16561" s="1"/>
  <c r="J17" i="16561"/>
  <c r="I17" i="16561"/>
  <c r="H17" i="16561"/>
  <c r="G17" i="16561"/>
  <c r="F17" i="16561"/>
  <c r="J21" i="16561"/>
  <c r="I21" i="16561"/>
  <c r="H21" i="16561"/>
  <c r="G21" i="16561"/>
  <c r="F21" i="16561"/>
  <c r="J27" i="16561"/>
  <c r="I27" i="16561"/>
  <c r="H27" i="16561"/>
  <c r="G27" i="16561"/>
  <c r="F27" i="16561"/>
  <c r="J31" i="16561"/>
  <c r="I31" i="16561"/>
  <c r="H31" i="16561"/>
  <c r="G31" i="16561"/>
  <c r="F31" i="16561"/>
  <c r="J34" i="16561"/>
  <c r="I34" i="16561"/>
  <c r="H34" i="16561"/>
  <c r="G34" i="16561"/>
  <c r="F34" i="16561"/>
  <c r="J38" i="16561"/>
  <c r="I38" i="16561"/>
  <c r="H38" i="16561"/>
  <c r="G38" i="16561"/>
  <c r="F38" i="16561"/>
  <c r="J42" i="16561"/>
  <c r="I42" i="16561"/>
  <c r="H42" i="16561"/>
  <c r="G42" i="16561"/>
  <c r="F42" i="16561"/>
  <c r="J45" i="16561"/>
  <c r="I45" i="16561"/>
  <c r="H45" i="16561"/>
  <c r="G45" i="16561"/>
  <c r="F45" i="16561"/>
  <c r="J47" i="16561"/>
  <c r="I47" i="16561"/>
  <c r="H47" i="16561"/>
  <c r="G47" i="16561"/>
  <c r="F47" i="16561"/>
  <c r="J51" i="16561"/>
  <c r="I51" i="16561"/>
  <c r="G51" i="16561"/>
  <c r="G50" i="16561" s="1"/>
  <c r="F51" i="16561"/>
  <c r="F50" i="16561" s="1"/>
  <c r="H50" i="16561" s="1"/>
  <c r="J50" i="16561"/>
  <c r="I50" i="16561"/>
  <c r="J54" i="16561"/>
  <c r="I54" i="16561"/>
  <c r="H54" i="16561"/>
  <c r="G54" i="16561"/>
  <c r="F54" i="16561"/>
  <c r="J62" i="16561"/>
  <c r="J61" i="16561" s="1"/>
  <c r="J60" i="16561" s="1"/>
  <c r="J59" i="16561" s="1"/>
  <c r="J58" i="16561" s="1"/>
  <c r="J57" i="16561" s="1"/>
  <c r="I62" i="16561"/>
  <c r="H62" i="16561"/>
  <c r="G62" i="16561"/>
  <c r="G61" i="16561" s="1"/>
  <c r="G60" i="16561" s="1"/>
  <c r="G59" i="16561" s="1"/>
  <c r="G58" i="16561" s="1"/>
  <c r="G57" i="16561" s="1"/>
  <c r="F62" i="16561"/>
  <c r="I61" i="16561"/>
  <c r="F61" i="16561"/>
  <c r="F60" i="16561" s="1"/>
  <c r="I60" i="16561"/>
  <c r="I59" i="16561"/>
  <c r="I58" i="16561"/>
  <c r="I57" i="16561"/>
  <c r="J69" i="16561"/>
  <c r="I69" i="16561"/>
  <c r="H69" i="16561"/>
  <c r="G69" i="16561"/>
  <c r="F69" i="16561"/>
  <c r="J82" i="16561"/>
  <c r="I82" i="16561"/>
  <c r="G82" i="16561"/>
  <c r="F82" i="16561"/>
  <c r="H82" i="16561" s="1"/>
  <c r="J90" i="16561"/>
  <c r="I90" i="16561"/>
  <c r="G90" i="16561"/>
  <c r="F90" i="16561"/>
  <c r="H90" i="16561" s="1"/>
  <c r="H97" i="16561"/>
  <c r="I97" i="16561"/>
  <c r="J97" i="16561"/>
  <c r="G97" i="16561"/>
  <c r="F97" i="16561"/>
  <c r="I436" i="16561"/>
  <c r="H436" i="16561"/>
  <c r="G436" i="16561"/>
  <c r="J436" i="16561" s="1"/>
  <c r="H459" i="16561" l="1"/>
  <c r="F155" i="16561"/>
  <c r="H156" i="16561"/>
  <c r="H157" i="16561"/>
  <c r="H6" i="16561"/>
  <c r="H51" i="16561"/>
  <c r="F59" i="16561"/>
  <c r="H60" i="16561"/>
  <c r="H61" i="16561"/>
  <c r="D11" i="16556"/>
  <c r="F154" i="16561" l="1"/>
  <c r="H154" i="16561" s="1"/>
  <c r="H155" i="16561"/>
  <c r="F58" i="16561"/>
  <c r="H59" i="16561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4" i="3"/>
  <c r="F57" i="16561" l="1"/>
  <c r="H57" i="16561" s="1"/>
  <c r="H58" i="16561"/>
  <c r="AO360" i="4"/>
  <c r="AO350" i="4"/>
  <c r="AO342" i="4"/>
  <c r="AO334" i="4"/>
  <c r="AO316" i="4"/>
  <c r="AO310" i="4"/>
  <c r="AO300" i="4"/>
  <c r="AO326" i="4"/>
  <c r="AO292" i="4"/>
  <c r="AO286" i="4"/>
  <c r="AO302" i="4"/>
  <c r="AO303" i="4"/>
  <c r="AO304" i="4"/>
  <c r="AO305" i="4"/>
  <c r="AO306" i="4"/>
  <c r="AO307" i="4"/>
  <c r="AO308" i="4"/>
  <c r="AO309" i="4"/>
  <c r="AO311" i="4"/>
  <c r="AO312" i="4"/>
  <c r="AO313" i="4"/>
  <c r="AO314" i="4"/>
  <c r="AO315" i="4"/>
  <c r="AO317" i="4"/>
  <c r="AO318" i="4"/>
  <c r="AO319" i="4"/>
  <c r="AO320" i="4"/>
  <c r="AO321" i="4"/>
  <c r="AO322" i="4"/>
  <c r="AO323" i="4"/>
  <c r="AO324" i="4"/>
  <c r="AO325" i="4"/>
  <c r="AO327" i="4"/>
  <c r="AO328" i="4"/>
  <c r="AO329" i="4"/>
  <c r="AO330" i="4"/>
  <c r="AO331" i="4"/>
  <c r="AO332" i="4"/>
  <c r="AO333" i="4"/>
  <c r="AO335" i="4"/>
  <c r="AO336" i="4"/>
  <c r="AO337" i="4"/>
  <c r="AO338" i="4"/>
  <c r="AO339" i="4"/>
  <c r="AO340" i="4"/>
  <c r="AO341" i="4"/>
  <c r="AO343" i="4"/>
  <c r="AO344" i="4"/>
  <c r="AO345" i="4"/>
  <c r="AO346" i="4"/>
  <c r="AO347" i="4"/>
  <c r="AO348" i="4"/>
  <c r="AO349" i="4"/>
  <c r="AO351" i="4"/>
  <c r="AO352" i="4"/>
  <c r="AO353" i="4"/>
  <c r="AO354" i="4"/>
  <c r="AO355" i="4"/>
  <c r="AO356" i="4"/>
  <c r="AO357" i="4"/>
  <c r="AO358" i="4"/>
  <c r="AO359" i="4"/>
  <c r="AO361" i="4"/>
  <c r="AO362" i="4"/>
  <c r="AO363" i="4"/>
  <c r="AO364" i="4"/>
  <c r="AO365" i="4"/>
  <c r="AO366" i="4"/>
  <c r="AO367" i="4"/>
  <c r="AO368" i="4"/>
  <c r="AO369" i="4"/>
  <c r="AO370" i="4"/>
  <c r="AO371" i="4"/>
  <c r="AO372" i="4"/>
  <c r="AO373" i="4"/>
  <c r="AO374" i="4"/>
  <c r="AO375" i="4"/>
  <c r="AO376" i="4"/>
  <c r="AO377" i="4"/>
  <c r="AO378" i="4"/>
  <c r="AO379" i="4"/>
  <c r="AO380" i="4"/>
  <c r="AO381" i="4"/>
  <c r="AO382" i="4"/>
  <c r="AO383" i="4"/>
  <c r="AO384" i="4"/>
  <c r="AO385" i="4"/>
  <c r="AO386" i="4"/>
  <c r="AO387" i="4"/>
  <c r="AO265" i="4"/>
  <c r="AO266" i="4"/>
  <c r="AO267" i="4"/>
  <c r="AO268" i="4"/>
  <c r="AO269" i="4"/>
  <c r="AO270" i="4"/>
  <c r="AO271" i="4"/>
  <c r="AO272" i="4"/>
  <c r="AO273" i="4"/>
  <c r="AO274" i="4"/>
  <c r="AO275" i="4"/>
  <c r="AO276" i="4"/>
  <c r="AO277" i="4"/>
  <c r="AO278" i="4"/>
  <c r="AO279" i="4"/>
  <c r="AO280" i="4"/>
  <c r="AO281" i="4"/>
  <c r="AO282" i="4"/>
  <c r="AO283" i="4"/>
  <c r="AO284" i="4"/>
  <c r="AO285" i="4"/>
  <c r="AO287" i="4"/>
  <c r="AO288" i="4"/>
  <c r="AO289" i="4"/>
  <c r="AO290" i="4"/>
  <c r="AO291" i="4"/>
  <c r="AO293" i="4"/>
  <c r="AO294" i="4"/>
  <c r="AO295" i="4"/>
  <c r="AO296" i="4"/>
  <c r="AO297" i="4"/>
  <c r="AO298" i="4"/>
  <c r="AO299" i="4"/>
  <c r="AO301" i="4"/>
  <c r="B13" i="16556" l="1"/>
  <c r="C13" i="16556"/>
  <c r="D13" i="16556"/>
  <c r="E13" i="16556"/>
  <c r="H13" i="16556"/>
  <c r="I13" i="16556"/>
  <c r="J13" i="16556"/>
  <c r="K13" i="16556"/>
  <c r="L13" i="16556"/>
  <c r="M13" i="16556"/>
  <c r="N13" i="16556"/>
  <c r="O13" i="16556"/>
  <c r="C11" i="16556" l="1"/>
  <c r="O32" i="16562" l="1"/>
  <c r="N32" i="16562"/>
  <c r="M32" i="16562"/>
  <c r="L32" i="16562"/>
  <c r="K32" i="16562"/>
  <c r="J32" i="16562"/>
  <c r="I32" i="16562"/>
  <c r="H32" i="16562"/>
  <c r="G32" i="16562"/>
  <c r="F32" i="16562"/>
  <c r="E32" i="16562"/>
  <c r="D32" i="16562"/>
  <c r="C32" i="16562"/>
  <c r="B32" i="16562"/>
  <c r="O31" i="16562"/>
  <c r="N31" i="16562"/>
  <c r="M31" i="16562"/>
  <c r="L31" i="16562"/>
  <c r="K31" i="16562"/>
  <c r="J31" i="16562"/>
  <c r="I31" i="16562"/>
  <c r="H31" i="16562"/>
  <c r="G31" i="16562"/>
  <c r="F31" i="16562"/>
  <c r="E31" i="16562"/>
  <c r="D31" i="16562"/>
  <c r="C31" i="16562"/>
  <c r="B31" i="16562"/>
  <c r="O30" i="16562"/>
  <c r="N30" i="16562"/>
  <c r="M30" i="16562"/>
  <c r="L30" i="16562"/>
  <c r="K30" i="16562"/>
  <c r="J30" i="16562"/>
  <c r="I30" i="16562"/>
  <c r="H30" i="16562"/>
  <c r="G30" i="16562"/>
  <c r="F30" i="16562"/>
  <c r="E30" i="16562"/>
  <c r="D30" i="16562"/>
  <c r="C30" i="16562"/>
  <c r="B30" i="16562"/>
  <c r="O29" i="16562"/>
  <c r="N29" i="16562"/>
  <c r="M29" i="16562"/>
  <c r="L29" i="16562"/>
  <c r="K29" i="16562"/>
  <c r="J29" i="16562"/>
  <c r="I29" i="16562"/>
  <c r="H29" i="16562"/>
  <c r="G29" i="16562"/>
  <c r="F29" i="16562"/>
  <c r="E29" i="16562"/>
  <c r="D29" i="16562"/>
  <c r="C29" i="16562"/>
  <c r="B29" i="16562"/>
  <c r="O28" i="16562"/>
  <c r="N28" i="16562"/>
  <c r="M28" i="16562"/>
  <c r="L28" i="16562"/>
  <c r="K28" i="16562"/>
  <c r="J28" i="16562"/>
  <c r="I28" i="16562"/>
  <c r="H28" i="16562"/>
  <c r="G28" i="16562"/>
  <c r="F28" i="16562"/>
  <c r="E28" i="16562"/>
  <c r="D28" i="16562"/>
  <c r="C28" i="16562"/>
  <c r="O27" i="16562"/>
  <c r="N27" i="16562"/>
  <c r="M27" i="16562"/>
  <c r="L27" i="16562"/>
  <c r="K27" i="16562"/>
  <c r="J27" i="16562"/>
  <c r="I27" i="16562"/>
  <c r="H27" i="16562"/>
  <c r="G27" i="16562"/>
  <c r="F27" i="16562"/>
  <c r="E27" i="16562"/>
  <c r="D27" i="16562"/>
  <c r="C27" i="16562"/>
  <c r="O26" i="16562"/>
  <c r="N26" i="16562"/>
  <c r="M26" i="16562"/>
  <c r="L26" i="16562"/>
  <c r="K26" i="16562"/>
  <c r="J26" i="16562"/>
  <c r="I26" i="16562"/>
  <c r="H26" i="16562"/>
  <c r="G26" i="16562"/>
  <c r="F26" i="16562"/>
  <c r="E26" i="16562"/>
  <c r="D26" i="16562"/>
  <c r="C26" i="16562"/>
  <c r="O25" i="16562"/>
  <c r="N25" i="16562"/>
  <c r="M25" i="16562"/>
  <c r="L25" i="16562"/>
  <c r="K25" i="16562"/>
  <c r="J25" i="16562"/>
  <c r="I25" i="16562"/>
  <c r="H25" i="16562"/>
  <c r="G25" i="16562"/>
  <c r="F25" i="16562"/>
  <c r="E25" i="16562"/>
  <c r="D25" i="16562"/>
  <c r="C25" i="16562"/>
  <c r="O24" i="16562"/>
  <c r="N24" i="16562"/>
  <c r="M24" i="16562"/>
  <c r="L24" i="16562"/>
  <c r="K24" i="16562"/>
  <c r="J24" i="16562"/>
  <c r="I24" i="16562"/>
  <c r="H24" i="16562"/>
  <c r="G24" i="16562"/>
  <c r="F24" i="16562"/>
  <c r="E24" i="16562"/>
  <c r="D24" i="16562"/>
  <c r="C24" i="16562"/>
  <c r="O23" i="16562"/>
  <c r="N23" i="16562"/>
  <c r="M23" i="16562"/>
  <c r="L23" i="16562"/>
  <c r="K23" i="16562"/>
  <c r="J23" i="16562"/>
  <c r="I23" i="16562"/>
  <c r="H23" i="16562"/>
  <c r="G23" i="16562"/>
  <c r="F23" i="16562"/>
  <c r="E23" i="16562"/>
  <c r="D23" i="16562"/>
  <c r="C23" i="16562"/>
  <c r="O22" i="16562"/>
  <c r="N22" i="16562"/>
  <c r="M22" i="16562"/>
  <c r="L22" i="16562"/>
  <c r="K22" i="16562"/>
  <c r="J22" i="16562"/>
  <c r="I22" i="16562"/>
  <c r="H22" i="16562"/>
  <c r="G22" i="16562"/>
  <c r="F22" i="16562"/>
  <c r="E22" i="16562"/>
  <c r="D22" i="16562"/>
  <c r="C22" i="16562"/>
  <c r="B22" i="16562"/>
  <c r="O21" i="16562"/>
  <c r="N21" i="16562"/>
  <c r="M21" i="16562"/>
  <c r="L21" i="16562"/>
  <c r="K21" i="16562"/>
  <c r="J21" i="16562"/>
  <c r="I21" i="16562"/>
  <c r="H21" i="16562"/>
  <c r="G21" i="16562"/>
  <c r="F21" i="16562"/>
  <c r="E21" i="16562"/>
  <c r="D21" i="16562"/>
  <c r="C21" i="16562"/>
  <c r="B21" i="16562"/>
  <c r="O20" i="16562"/>
  <c r="N20" i="16562"/>
  <c r="M20" i="16562"/>
  <c r="L20" i="16562"/>
  <c r="K20" i="16562"/>
  <c r="J20" i="16562"/>
  <c r="I20" i="16562"/>
  <c r="H20" i="16562"/>
  <c r="G20" i="16562"/>
  <c r="F20" i="16562"/>
  <c r="E20" i="16562"/>
  <c r="D20" i="16562"/>
  <c r="C20" i="16562"/>
  <c r="B20" i="16562"/>
  <c r="O19" i="16562"/>
  <c r="N19" i="16562"/>
  <c r="M19" i="16562"/>
  <c r="L19" i="16562"/>
  <c r="K19" i="16562"/>
  <c r="J19" i="16562"/>
  <c r="I19" i="16562"/>
  <c r="H19" i="16562"/>
  <c r="G19" i="16562"/>
  <c r="F19" i="16562"/>
  <c r="E19" i="16562"/>
  <c r="D19" i="16562"/>
  <c r="C19" i="16562"/>
  <c r="B19" i="16562"/>
  <c r="O18" i="16562"/>
  <c r="N18" i="16562"/>
  <c r="M18" i="16562"/>
  <c r="L18" i="16562"/>
  <c r="K18" i="16562"/>
  <c r="J18" i="16562"/>
  <c r="I18" i="16562"/>
  <c r="H18" i="16562"/>
  <c r="G18" i="16562"/>
  <c r="F18" i="16562"/>
  <c r="E18" i="16562"/>
  <c r="D18" i="16562"/>
  <c r="C18" i="16562"/>
  <c r="B18" i="16562"/>
  <c r="O17" i="16562"/>
  <c r="N17" i="16562"/>
  <c r="M17" i="16562"/>
  <c r="L17" i="16562"/>
  <c r="K17" i="16562"/>
  <c r="J17" i="16562"/>
  <c r="I17" i="16562"/>
  <c r="H17" i="16562"/>
  <c r="G17" i="16562"/>
  <c r="F17" i="16562"/>
  <c r="E17" i="16562"/>
  <c r="D17" i="16562"/>
  <c r="C17" i="16562"/>
  <c r="B17" i="16562"/>
  <c r="O16" i="16562"/>
  <c r="N16" i="16562"/>
  <c r="M16" i="16562"/>
  <c r="L16" i="16562"/>
  <c r="K16" i="16562"/>
  <c r="J16" i="16562"/>
  <c r="I16" i="16562"/>
  <c r="H16" i="16562"/>
  <c r="G16" i="16562"/>
  <c r="F16" i="16562"/>
  <c r="E16" i="16562"/>
  <c r="D16" i="16562"/>
  <c r="C16" i="16562"/>
  <c r="B16" i="16562"/>
  <c r="O15" i="16562"/>
  <c r="N15" i="16562"/>
  <c r="M15" i="16562"/>
  <c r="L15" i="16562"/>
  <c r="K15" i="16562"/>
  <c r="J15" i="16562"/>
  <c r="I15" i="16562"/>
  <c r="H15" i="16562"/>
  <c r="G15" i="16562"/>
  <c r="F15" i="16562"/>
  <c r="E15" i="16562"/>
  <c r="D15" i="16562"/>
  <c r="C15" i="16562"/>
  <c r="B15" i="16562"/>
  <c r="O14" i="16562"/>
  <c r="N14" i="16562"/>
  <c r="M14" i="16562"/>
  <c r="L14" i="16562"/>
  <c r="K14" i="16562"/>
  <c r="J14" i="16562"/>
  <c r="I14" i="16562"/>
  <c r="H14" i="16562"/>
  <c r="G14" i="16562"/>
  <c r="F14" i="16562"/>
  <c r="E14" i="16562"/>
  <c r="D14" i="16562"/>
  <c r="C14" i="16562"/>
  <c r="B14" i="16562"/>
  <c r="O13" i="16562"/>
  <c r="N13" i="16562"/>
  <c r="M13" i="16562"/>
  <c r="L13" i="16562"/>
  <c r="K13" i="16562"/>
  <c r="J13" i="16562"/>
  <c r="I13" i="16562"/>
  <c r="H13" i="16562"/>
  <c r="G13" i="16562"/>
  <c r="F13" i="16562"/>
  <c r="E13" i="16562"/>
  <c r="D13" i="16562"/>
  <c r="C13" i="16562"/>
  <c r="B13" i="16562"/>
  <c r="B27" i="16556"/>
  <c r="C27" i="16556"/>
  <c r="S27" i="16556" s="1"/>
  <c r="D27" i="16556"/>
  <c r="E27" i="16556"/>
  <c r="F27" i="16556"/>
  <c r="G27" i="16556"/>
  <c r="H27" i="16556"/>
  <c r="I27" i="16556"/>
  <c r="J27" i="16556"/>
  <c r="K27" i="16556"/>
  <c r="L27" i="16556"/>
  <c r="M27" i="16556"/>
  <c r="N27" i="16556"/>
  <c r="O27" i="16556"/>
  <c r="CK27" i="16556"/>
  <c r="B28" i="16556"/>
  <c r="C28" i="16556"/>
  <c r="S28" i="16556" s="1"/>
  <c r="D28" i="16556"/>
  <c r="E28" i="16556"/>
  <c r="F28" i="16556"/>
  <c r="G28" i="16556"/>
  <c r="H28" i="16556"/>
  <c r="I28" i="16556"/>
  <c r="J28" i="16556"/>
  <c r="K28" i="16556"/>
  <c r="L28" i="16556"/>
  <c r="M28" i="16556"/>
  <c r="N28" i="16556"/>
  <c r="O28" i="16556"/>
  <c r="R28" i="16556"/>
  <c r="Q28" i="16556" s="1"/>
  <c r="CK28" i="16556"/>
  <c r="B29" i="16556"/>
  <c r="C29" i="16556"/>
  <c r="S29" i="16556" s="1"/>
  <c r="D29" i="16556"/>
  <c r="E29" i="16556"/>
  <c r="F29" i="16556"/>
  <c r="G29" i="16556"/>
  <c r="H29" i="16556"/>
  <c r="I29" i="16556"/>
  <c r="J29" i="16556"/>
  <c r="K29" i="16556"/>
  <c r="L29" i="16556"/>
  <c r="M29" i="16556"/>
  <c r="N29" i="16556"/>
  <c r="O29" i="16556"/>
  <c r="R29" i="16556"/>
  <c r="Q29" i="16556" s="1"/>
  <c r="CK29" i="16556"/>
  <c r="B30" i="16556"/>
  <c r="C30" i="16556"/>
  <c r="S30" i="16556" s="1"/>
  <c r="D30" i="16556"/>
  <c r="E30" i="16556"/>
  <c r="F30" i="16556"/>
  <c r="G30" i="16556"/>
  <c r="H30" i="16556"/>
  <c r="I30" i="16556"/>
  <c r="J30" i="16556"/>
  <c r="K30" i="16556"/>
  <c r="L30" i="16556"/>
  <c r="M30" i="16556"/>
  <c r="N30" i="16556"/>
  <c r="O30" i="16556"/>
  <c r="R30" i="16556"/>
  <c r="Q30" i="16556" s="1"/>
  <c r="CK30" i="16556"/>
  <c r="B31" i="16556"/>
  <c r="C31" i="16556"/>
  <c r="S31" i="16556" s="1"/>
  <c r="D31" i="16556"/>
  <c r="E31" i="16556"/>
  <c r="F31" i="16556"/>
  <c r="G31" i="16556"/>
  <c r="H31" i="16556"/>
  <c r="I31" i="16556"/>
  <c r="J31" i="16556"/>
  <c r="K31" i="16556"/>
  <c r="L31" i="16556"/>
  <c r="M31" i="16556"/>
  <c r="N31" i="16556"/>
  <c r="O31" i="16556"/>
  <c r="R31" i="16556"/>
  <c r="Q31" i="16556" s="1"/>
  <c r="CK31" i="16556"/>
  <c r="B32" i="16556"/>
  <c r="C32" i="16556"/>
  <c r="S32" i="16556" s="1"/>
  <c r="D32" i="16556"/>
  <c r="E32" i="16556"/>
  <c r="F32" i="16556"/>
  <c r="G32" i="16556"/>
  <c r="H32" i="16556"/>
  <c r="I32" i="16556"/>
  <c r="J32" i="16556"/>
  <c r="K32" i="16556"/>
  <c r="L32" i="16556"/>
  <c r="M32" i="16556"/>
  <c r="N32" i="16556"/>
  <c r="O32" i="16556"/>
  <c r="R32" i="16556"/>
  <c r="Q32" i="16556" s="1"/>
  <c r="CK32" i="16556"/>
  <c r="U32" i="16556" l="1"/>
  <c r="T32" i="16556"/>
  <c r="U31" i="16556"/>
  <c r="T31" i="16556"/>
  <c r="U30" i="16556"/>
  <c r="T30" i="16556"/>
  <c r="U29" i="16556"/>
  <c r="T29" i="16556"/>
  <c r="T28" i="16556"/>
  <c r="U27" i="16556"/>
  <c r="T27" i="16556"/>
  <c r="U28" i="16556"/>
  <c r="AU28" i="1"/>
  <c r="AW28" i="1"/>
  <c r="AY28" i="1"/>
  <c r="BA28" i="1"/>
  <c r="BC28" i="1"/>
  <c r="BE28" i="1"/>
  <c r="BG28" i="1"/>
  <c r="BI28" i="1"/>
  <c r="BK28" i="1"/>
  <c r="BM28" i="1"/>
  <c r="BQ28" i="1"/>
  <c r="BS28" i="1"/>
  <c r="BU28" i="1"/>
  <c r="BW28" i="1"/>
  <c r="BY28" i="1"/>
  <c r="CA28" i="1"/>
  <c r="CC28" i="1"/>
  <c r="CE28" i="1"/>
  <c r="CG28" i="1"/>
  <c r="CI28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Y30" i="1"/>
  <c r="AA30" i="1"/>
  <c r="AC30" i="1"/>
  <c r="AE30" i="1"/>
  <c r="AG30" i="1"/>
  <c r="AI30" i="1"/>
  <c r="AK30" i="1"/>
  <c r="AM30" i="1"/>
  <c r="AO30" i="1"/>
  <c r="AQ30" i="1"/>
  <c r="Y31" i="1"/>
  <c r="AA31" i="1"/>
  <c r="AC31" i="1"/>
  <c r="AE31" i="1"/>
  <c r="AG31" i="1"/>
  <c r="AI31" i="1"/>
  <c r="AK31" i="1"/>
  <c r="AM31" i="1"/>
  <c r="AO31" i="1"/>
  <c r="AQ31" i="1"/>
  <c r="GB20" i="2"/>
  <c r="GE20" i="2" s="1"/>
  <c r="GC20" i="2"/>
  <c r="GD20" i="2" s="1"/>
  <c r="GB21" i="2"/>
  <c r="GE21" i="2" s="1"/>
  <c r="GC21" i="2"/>
  <c r="GD21" i="2" s="1"/>
  <c r="GB22" i="2"/>
  <c r="GE22" i="2" s="1"/>
  <c r="GC22" i="2"/>
  <c r="GD22" i="2"/>
  <c r="GB23" i="2"/>
  <c r="GE23" i="2" s="1"/>
  <c r="GC23" i="2"/>
  <c r="GD23" i="2" s="1"/>
  <c r="GB24" i="2"/>
  <c r="GE24" i="2" s="1"/>
  <c r="GC24" i="2"/>
  <c r="GD24" i="2" s="1"/>
  <c r="EJ21" i="2"/>
  <c r="EK21" i="2" s="1"/>
  <c r="EM21" i="2"/>
  <c r="EP21" i="2"/>
  <c r="EJ22" i="2"/>
  <c r="EK22" i="2"/>
  <c r="EM22" i="2"/>
  <c r="EP22" i="2"/>
  <c r="EJ23" i="2"/>
  <c r="EK23" i="2" s="1"/>
  <c r="EM23" i="2"/>
  <c r="EP23" i="2"/>
  <c r="EJ24" i="2"/>
  <c r="EK24" i="2" s="1"/>
  <c r="EM24" i="2"/>
  <c r="EP24" i="2"/>
  <c r="EJ25" i="2"/>
  <c r="EM25" i="2"/>
  <c r="EP25" i="2"/>
  <c r="AQ22" i="2"/>
  <c r="AR22" i="2"/>
  <c r="AS22" i="2"/>
  <c r="AQ23" i="2"/>
  <c r="AR23" i="2"/>
  <c r="AS23" i="2"/>
  <c r="AQ24" i="2"/>
  <c r="AR24" i="2"/>
  <c r="AS24" i="2"/>
  <c r="AQ25" i="2"/>
  <c r="AR25" i="2"/>
  <c r="AS25" i="2"/>
  <c r="AQ26" i="2"/>
  <c r="AR26" i="2"/>
  <c r="AS26" i="2"/>
  <c r="B22" i="2"/>
  <c r="X22" i="2" s="1"/>
  <c r="C22" i="2"/>
  <c r="D22" i="2"/>
  <c r="E22" i="2"/>
  <c r="F22" i="2"/>
  <c r="B23" i="2"/>
  <c r="AH23" i="2" s="1"/>
  <c r="C23" i="2"/>
  <c r="D23" i="2"/>
  <c r="E23" i="2"/>
  <c r="F23" i="2"/>
  <c r="B24" i="2"/>
  <c r="C24" i="2"/>
  <c r="D24" i="2"/>
  <c r="E24" i="2"/>
  <c r="F24" i="2"/>
  <c r="B25" i="2"/>
  <c r="AI25" i="2" s="1"/>
  <c r="C25" i="2"/>
  <c r="D25" i="2"/>
  <c r="E25" i="2"/>
  <c r="F25" i="2"/>
  <c r="B26" i="2"/>
  <c r="AA26" i="2" s="1"/>
  <c r="C26" i="2"/>
  <c r="D26" i="2"/>
  <c r="E26" i="2"/>
  <c r="F26" i="2"/>
  <c r="BV20" i="3"/>
  <c r="BW20" i="3"/>
  <c r="BX20" i="3"/>
  <c r="BY20" i="3"/>
  <c r="BZ20" i="3"/>
  <c r="CA20" i="3"/>
  <c r="BV21" i="3"/>
  <c r="BW21" i="3"/>
  <c r="BX21" i="3"/>
  <c r="BY21" i="3"/>
  <c r="BZ21" i="3"/>
  <c r="CA21" i="3"/>
  <c r="BV22" i="3"/>
  <c r="BW22" i="3"/>
  <c r="BX22" i="3"/>
  <c r="BY22" i="3"/>
  <c r="BZ22" i="3"/>
  <c r="CA22" i="3"/>
  <c r="BV23" i="3"/>
  <c r="BW23" i="3"/>
  <c r="BX23" i="3"/>
  <c r="BY23" i="3"/>
  <c r="BZ23" i="3"/>
  <c r="CA23" i="3"/>
  <c r="BV24" i="3"/>
  <c r="BW24" i="3"/>
  <c r="BX24" i="3"/>
  <c r="BY24" i="3"/>
  <c r="BZ24" i="3"/>
  <c r="CA24" i="3"/>
  <c r="BH24" i="3"/>
  <c r="BI24" i="3" s="1"/>
  <c r="BH23" i="3"/>
  <c r="BI23" i="3" s="1"/>
  <c r="BH22" i="3"/>
  <c r="BI22" i="3" s="1"/>
  <c r="BH21" i="3"/>
  <c r="BI21" i="3" s="1"/>
  <c r="BH20" i="3"/>
  <c r="BI20" i="3" s="1"/>
  <c r="B20" i="3"/>
  <c r="N20" i="3" s="1"/>
  <c r="C20" i="3"/>
  <c r="D20" i="3"/>
  <c r="E20" i="3"/>
  <c r="F20" i="3"/>
  <c r="B21" i="3"/>
  <c r="N21" i="3" s="1"/>
  <c r="AT21" i="3" s="1"/>
  <c r="AU21" i="3" s="1"/>
  <c r="C21" i="3"/>
  <c r="D21" i="3"/>
  <c r="E21" i="3"/>
  <c r="F21" i="3"/>
  <c r="B22" i="3"/>
  <c r="J22" i="3" s="1"/>
  <c r="C22" i="3"/>
  <c r="BS74" i="4" s="1"/>
  <c r="D22" i="3"/>
  <c r="AP22" i="3" s="1"/>
  <c r="AQ22" i="3" s="1"/>
  <c r="E22" i="3"/>
  <c r="F22" i="3"/>
  <c r="B23" i="3"/>
  <c r="AX23" i="3" s="1"/>
  <c r="AY23" i="3" s="1"/>
  <c r="C23" i="3"/>
  <c r="BS75" i="4" s="1"/>
  <c r="D23" i="3"/>
  <c r="AP23" i="3" s="1"/>
  <c r="AQ23" i="3" s="1"/>
  <c r="E23" i="3"/>
  <c r="F23" i="3"/>
  <c r="B24" i="3"/>
  <c r="L24" i="3" s="1"/>
  <c r="C24" i="3"/>
  <c r="BS76" i="4" s="1"/>
  <c r="D24" i="3"/>
  <c r="AN24" i="3" s="1"/>
  <c r="AO24" i="3" s="1"/>
  <c r="E24" i="3"/>
  <c r="F24" i="3"/>
  <c r="AK25" i="2" l="1"/>
  <c r="CD22" i="3"/>
  <c r="CB21" i="3"/>
  <c r="AX24" i="3"/>
  <c r="AY24" i="3" s="1"/>
  <c r="GF22" i="2"/>
  <c r="AI26" i="2"/>
  <c r="AB24" i="3"/>
  <c r="AC24" i="3" s="1"/>
  <c r="N24" i="3"/>
  <c r="AR24" i="3" s="1"/>
  <c r="AS24" i="3" s="1"/>
  <c r="AG26" i="2"/>
  <c r="AL26" i="2"/>
  <c r="AJ26" i="2"/>
  <c r="CB24" i="3"/>
  <c r="X26" i="2"/>
  <c r="K24" i="3"/>
  <c r="BU76" i="4" s="1"/>
  <c r="O20" i="3"/>
  <c r="AJ23" i="2"/>
  <c r="Z24" i="3"/>
  <c r="AA24" i="3" s="1"/>
  <c r="AD24" i="3"/>
  <c r="AE24" i="3" s="1"/>
  <c r="CD23" i="3"/>
  <c r="AE26" i="2"/>
  <c r="J23" i="3"/>
  <c r="AN22" i="3"/>
  <c r="AO22" i="3" s="1"/>
  <c r="BF24" i="3"/>
  <c r="BG24" i="3" s="1"/>
  <c r="AP24" i="3"/>
  <c r="AQ24" i="3" s="1"/>
  <c r="M21" i="3"/>
  <c r="U23" i="2" s="1"/>
  <c r="AR21" i="3"/>
  <c r="AS21" i="3" s="1"/>
  <c r="Y26" i="2"/>
  <c r="AN26" i="2"/>
  <c r="N26" i="2"/>
  <c r="J24" i="3"/>
  <c r="AX21" i="3"/>
  <c r="AY21" i="3" s="1"/>
  <c r="I24" i="3"/>
  <c r="O21" i="3"/>
  <c r="O24" i="3"/>
  <c r="H21" i="3"/>
  <c r="G21" i="3" s="1"/>
  <c r="AM26" i="2"/>
  <c r="Z23" i="3"/>
  <c r="AA23" i="3" s="1"/>
  <c r="K21" i="3"/>
  <c r="BU73" i="4" s="1"/>
  <c r="AD22" i="3"/>
  <c r="AE22" i="3" s="1"/>
  <c r="AX22" i="3"/>
  <c r="AY22" i="3" s="1"/>
  <c r="O22" i="3"/>
  <c r="AJ25" i="2"/>
  <c r="I22" i="3"/>
  <c r="K24" i="2" s="1"/>
  <c r="L24" i="2" s="1"/>
  <c r="AH25" i="2"/>
  <c r="AE25" i="2"/>
  <c r="L21" i="3"/>
  <c r="AB21" i="3"/>
  <c r="AC21" i="3" s="1"/>
  <c r="J21" i="3"/>
  <c r="X21" i="3"/>
  <c r="Y21" i="3" s="1"/>
  <c r="BF21" i="3"/>
  <c r="BG21" i="3" s="1"/>
  <c r="CC21" i="3"/>
  <c r="AM25" i="2"/>
  <c r="J20" i="3"/>
  <c r="EK25" i="2"/>
  <c r="CB20" i="3"/>
  <c r="K20" i="3"/>
  <c r="BU72" i="4" s="1"/>
  <c r="AB20" i="3"/>
  <c r="AC20" i="3" s="1"/>
  <c r="AL22" i="2"/>
  <c r="GF20" i="2"/>
  <c r="H20" i="3"/>
  <c r="G20" i="3" s="1"/>
  <c r="AH22" i="2"/>
  <c r="X20" i="3"/>
  <c r="Y20" i="3" s="1"/>
  <c r="AF22" i="2"/>
  <c r="AP22" i="2"/>
  <c r="Z20" i="3"/>
  <c r="AA20" i="3" s="1"/>
  <c r="CC20" i="3"/>
  <c r="M20" i="3"/>
  <c r="O22" i="2" s="1"/>
  <c r="L20" i="3"/>
  <c r="AX20" i="3"/>
  <c r="AY20" i="3" s="1"/>
  <c r="BS72" i="4"/>
  <c r="ET23" i="2"/>
  <c r="EU23" i="2" s="1"/>
  <c r="AH24" i="2"/>
  <c r="AI24" i="2"/>
  <c r="AJ24" i="2"/>
  <c r="AL24" i="2"/>
  <c r="AO22" i="2"/>
  <c r="K22" i="3"/>
  <c r="BU74" i="4" s="1"/>
  <c r="CD21" i="3"/>
  <c r="AK24" i="2"/>
  <c r="Z22" i="2"/>
  <c r="AB24" i="2"/>
  <c r="AT20" i="3"/>
  <c r="AU20" i="3" s="1"/>
  <c r="AR20" i="3"/>
  <c r="AS20" i="3" s="1"/>
  <c r="I23" i="3"/>
  <c r="K25" i="2" s="1"/>
  <c r="L25" i="2" s="1"/>
  <c r="X22" i="3"/>
  <c r="Y22" i="3" s="1"/>
  <c r="L22" i="3"/>
  <c r="N24" i="2" s="1"/>
  <c r="N22" i="3"/>
  <c r="BF22" i="3"/>
  <c r="BG22" i="3" s="1"/>
  <c r="Z22" i="3"/>
  <c r="AA22" i="3" s="1"/>
  <c r="M22" i="3"/>
  <c r="O24" i="2" s="1"/>
  <c r="AB22" i="3"/>
  <c r="AC22" i="3" s="1"/>
  <c r="H22" i="3"/>
  <c r="G22" i="3" s="1"/>
  <c r="AN20" i="3"/>
  <c r="AO20" i="3" s="1"/>
  <c r="AP20" i="3"/>
  <c r="AQ20" i="3" s="1"/>
  <c r="O23" i="3"/>
  <c r="AO26" i="2"/>
  <c r="AD26" i="2"/>
  <c r="AC22" i="2"/>
  <c r="L23" i="3"/>
  <c r="M25" i="2" s="1"/>
  <c r="N23" i="3"/>
  <c r="M23" i="3"/>
  <c r="P25" i="2" s="1"/>
  <c r="Q25" i="2" s="1"/>
  <c r="BF23" i="3"/>
  <c r="BG23" i="3" s="1"/>
  <c r="H23" i="3"/>
  <c r="G23" i="3" s="1"/>
  <c r="X23" i="3"/>
  <c r="Y23" i="3" s="1"/>
  <c r="AN23" i="3"/>
  <c r="AO23" i="3" s="1"/>
  <c r="K23" i="3"/>
  <c r="BU75" i="4" s="1"/>
  <c r="AB23" i="3"/>
  <c r="AC23" i="3" s="1"/>
  <c r="Y22" i="2"/>
  <c r="AC26" i="2"/>
  <c r="M26" i="2"/>
  <c r="AL23" i="2"/>
  <c r="AN22" i="2"/>
  <c r="AE22" i="2"/>
  <c r="GF24" i="2"/>
  <c r="H24" i="3"/>
  <c r="G24" i="3" s="1"/>
  <c r="I21" i="3"/>
  <c r="I20" i="3"/>
  <c r="Z21" i="3"/>
  <c r="AA21" i="3" s="1"/>
  <c r="AD20" i="3"/>
  <c r="AE20" i="3" s="1"/>
  <c r="BF20" i="3"/>
  <c r="BG20" i="3" s="1"/>
  <c r="CD20" i="3"/>
  <c r="AK26" i="2"/>
  <c r="AB26" i="2"/>
  <c r="AL25" i="2"/>
  <c r="AK23" i="2"/>
  <c r="AM22" i="2"/>
  <c r="AD22" i="2"/>
  <c r="AI23" i="2"/>
  <c r="AK22" i="2"/>
  <c r="AB22" i="2"/>
  <c r="EL23" i="2"/>
  <c r="M24" i="3"/>
  <c r="P26" i="2" s="1"/>
  <c r="Q26" i="2" s="1"/>
  <c r="X24" i="3"/>
  <c r="Y24" i="3" s="1"/>
  <c r="CD24" i="3"/>
  <c r="CC23" i="3"/>
  <c r="AG22" i="2"/>
  <c r="AP26" i="2"/>
  <c r="AH26" i="2"/>
  <c r="AJ22" i="2"/>
  <c r="AA22" i="2"/>
  <c r="EL21" i="2"/>
  <c r="CC22" i="3"/>
  <c r="Z26" i="2"/>
  <c r="CC24" i="3"/>
  <c r="AF26" i="2"/>
  <c r="AI22" i="2"/>
  <c r="GF23" i="2"/>
  <c r="EL22" i="2"/>
  <c r="ET21" i="2"/>
  <c r="EU21" i="2" s="1"/>
  <c r="AP21" i="3"/>
  <c r="AQ21" i="3" s="1"/>
  <c r="AN21" i="3"/>
  <c r="AO21" i="3" s="1"/>
  <c r="ET22" i="2"/>
  <c r="EU22" i="2" s="1"/>
  <c r="G26" i="2"/>
  <c r="AB25" i="2"/>
  <c r="AA25" i="2"/>
  <c r="AP25" i="2"/>
  <c r="Z25" i="2"/>
  <c r="AO25" i="2"/>
  <c r="AG25" i="2"/>
  <c r="Y25" i="2"/>
  <c r="AN25" i="2"/>
  <c r="AF25" i="2"/>
  <c r="X25" i="2"/>
  <c r="AD25" i="2"/>
  <c r="AC25" i="2"/>
  <c r="AP24" i="2"/>
  <c r="Z24" i="2"/>
  <c r="AO24" i="2"/>
  <c r="AG24" i="2"/>
  <c r="Y24" i="2"/>
  <c r="AN24" i="2"/>
  <c r="AF24" i="2"/>
  <c r="X24" i="2"/>
  <c r="AM24" i="2"/>
  <c r="AE24" i="2"/>
  <c r="AD24" i="2"/>
  <c r="AC24" i="2"/>
  <c r="AA24" i="2"/>
  <c r="AN23" i="2"/>
  <c r="AF23" i="2"/>
  <c r="X23" i="2"/>
  <c r="AC23" i="2"/>
  <c r="AB23" i="2"/>
  <c r="AA23" i="2"/>
  <c r="GF21" i="2"/>
  <c r="AO23" i="2"/>
  <c r="Y23" i="2"/>
  <c r="AM23" i="2"/>
  <c r="AE23" i="2"/>
  <c r="AP23" i="2"/>
  <c r="Z23" i="2"/>
  <c r="AG23" i="2"/>
  <c r="AD23" i="2"/>
  <c r="ET24" i="2"/>
  <c r="EU24" i="2" s="1"/>
  <c r="EL24" i="2"/>
  <c r="AD21" i="3"/>
  <c r="AE21" i="3" s="1"/>
  <c r="BS73" i="4"/>
  <c r="CB23" i="3"/>
  <c r="CB22" i="3"/>
  <c r="AD23" i="3"/>
  <c r="AE23" i="3" s="1"/>
  <c r="B39" i="16562"/>
  <c r="B39" i="16556"/>
  <c r="C77" i="2"/>
  <c r="M24" i="2" l="1"/>
  <c r="T26" i="2"/>
  <c r="AT24" i="3"/>
  <c r="AU24" i="3" s="1"/>
  <c r="BP101" i="4"/>
  <c r="BS21" i="4"/>
  <c r="N23" i="2"/>
  <c r="P21" i="3"/>
  <c r="Q21" i="3" s="1"/>
  <c r="BR21" i="4" s="1"/>
  <c r="O23" i="2"/>
  <c r="AL24" i="3"/>
  <c r="AM24" i="3" s="1"/>
  <c r="I24" i="2"/>
  <c r="J24" i="2" s="1"/>
  <c r="BS47" i="4"/>
  <c r="S26" i="2"/>
  <c r="M23" i="2"/>
  <c r="CE23" i="3"/>
  <c r="P23" i="2"/>
  <c r="Q23" i="2" s="1"/>
  <c r="BT46" i="4"/>
  <c r="BT73" i="4"/>
  <c r="K23" i="2"/>
  <c r="L23" i="2" s="1"/>
  <c r="P24" i="2"/>
  <c r="Q24" i="2" s="1"/>
  <c r="CE24" i="3"/>
  <c r="I23" i="2"/>
  <c r="J23" i="2" s="1"/>
  <c r="G23" i="2" s="1"/>
  <c r="T21" i="3"/>
  <c r="U21" i="3" s="1"/>
  <c r="BR73" i="4" s="1"/>
  <c r="K26" i="2"/>
  <c r="L26" i="2" s="1"/>
  <c r="CF24" i="3"/>
  <c r="I26" i="2"/>
  <c r="J26" i="2" s="1"/>
  <c r="R26" i="2"/>
  <c r="W23" i="2"/>
  <c r="V23" i="2"/>
  <c r="CF21" i="3"/>
  <c r="BP103" i="4"/>
  <c r="N25" i="2"/>
  <c r="O25" i="2"/>
  <c r="I25" i="2"/>
  <c r="J25" i="2" s="1"/>
  <c r="G25" i="2" s="1"/>
  <c r="CF22" i="3"/>
  <c r="AL22" i="3"/>
  <c r="AM22" i="3" s="1"/>
  <c r="AL21" i="3"/>
  <c r="AM21" i="3" s="1"/>
  <c r="ET25" i="2"/>
  <c r="EU25" i="2" s="1"/>
  <c r="CE20" i="3"/>
  <c r="P22" i="2"/>
  <c r="Q22" i="2" s="1"/>
  <c r="EL25" i="2"/>
  <c r="T20" i="3"/>
  <c r="U20" i="3" s="1"/>
  <c r="BR72" i="4" s="1"/>
  <c r="V22" i="2"/>
  <c r="BP100" i="4"/>
  <c r="P20" i="3"/>
  <c r="Q20" i="3" s="1"/>
  <c r="BR20" i="4" s="1"/>
  <c r="AL20" i="3"/>
  <c r="AM20" i="3" s="1"/>
  <c r="N22" i="2"/>
  <c r="U22" i="2"/>
  <c r="W22" i="2"/>
  <c r="BS46" i="4"/>
  <c r="BS20" i="4"/>
  <c r="M22" i="2"/>
  <c r="P23" i="3"/>
  <c r="Q23" i="3" s="1"/>
  <c r="BR23" i="4" s="1"/>
  <c r="BT75" i="4"/>
  <c r="R23" i="3"/>
  <c r="S23" i="3" s="1"/>
  <c r="BR49" i="4" s="1"/>
  <c r="T23" i="3"/>
  <c r="U23" i="3" s="1"/>
  <c r="BR75" i="4" s="1"/>
  <c r="AT22" i="3"/>
  <c r="AU22" i="3" s="1"/>
  <c r="AR22" i="3"/>
  <c r="AS22" i="3" s="1"/>
  <c r="BP102" i="4"/>
  <c r="CF20" i="3"/>
  <c r="BS50" i="4"/>
  <c r="U26" i="2"/>
  <c r="BS24" i="4"/>
  <c r="O26" i="2"/>
  <c r="BT50" i="4"/>
  <c r="V26" i="2"/>
  <c r="W26" i="2"/>
  <c r="CP55" i="2"/>
  <c r="CP82" i="2"/>
  <c r="CY55" i="2"/>
  <c r="CY82" i="2"/>
  <c r="CS55" i="2"/>
  <c r="CS82" i="2"/>
  <c r="CV55" i="2"/>
  <c r="CV82" i="2"/>
  <c r="DB55" i="2"/>
  <c r="DB82" i="2"/>
  <c r="DE55" i="2"/>
  <c r="DE82" i="2"/>
  <c r="DH55" i="2"/>
  <c r="CJ82" i="2"/>
  <c r="CK82" i="2" s="1"/>
  <c r="BP32" i="16556" s="1"/>
  <c r="DK55" i="2"/>
  <c r="CM82" i="2"/>
  <c r="DH82" i="2"/>
  <c r="CM55" i="2"/>
  <c r="DK82" i="2"/>
  <c r="CJ55" i="2"/>
  <c r="CK55" i="2" s="1"/>
  <c r="BT74" i="4"/>
  <c r="T22" i="3"/>
  <c r="U22" i="3" s="1"/>
  <c r="BR74" i="4" s="1"/>
  <c r="R22" i="3"/>
  <c r="S22" i="3" s="1"/>
  <c r="BR48" i="4" s="1"/>
  <c r="P22" i="3"/>
  <c r="Q22" i="3" s="1"/>
  <c r="BR22" i="4" s="1"/>
  <c r="R25" i="2"/>
  <c r="S25" i="2"/>
  <c r="T25" i="2"/>
  <c r="CE21" i="3"/>
  <c r="CE22" i="3"/>
  <c r="R22" i="2"/>
  <c r="S22" i="2"/>
  <c r="T22" i="2"/>
  <c r="K22" i="2"/>
  <c r="L22" i="2" s="1"/>
  <c r="BT49" i="4"/>
  <c r="U25" i="2"/>
  <c r="BS23" i="4"/>
  <c r="V25" i="2"/>
  <c r="W25" i="2"/>
  <c r="BS49" i="4"/>
  <c r="BT72" i="4"/>
  <c r="BT48" i="4"/>
  <c r="S23" i="2"/>
  <c r="T23" i="2"/>
  <c r="BT47" i="4"/>
  <c r="R23" i="2"/>
  <c r="R21" i="3"/>
  <c r="S21" i="3" s="1"/>
  <c r="BR47" i="4" s="1"/>
  <c r="S24" i="2"/>
  <c r="AT23" i="3"/>
  <c r="AU23" i="3" s="1"/>
  <c r="AR23" i="3"/>
  <c r="AS23" i="3" s="1"/>
  <c r="AL23" i="3"/>
  <c r="AM23" i="3" s="1"/>
  <c r="I22" i="2"/>
  <c r="BP104" i="4"/>
  <c r="BT76" i="4"/>
  <c r="R24" i="3"/>
  <c r="S24" i="3" s="1"/>
  <c r="BR50" i="4" s="1"/>
  <c r="T24" i="3"/>
  <c r="U24" i="3" s="1"/>
  <c r="BR76" i="4" s="1"/>
  <c r="P24" i="3"/>
  <c r="Q24" i="3" s="1"/>
  <c r="BR24" i="4" s="1"/>
  <c r="R24" i="2"/>
  <c r="BS22" i="4"/>
  <c r="U24" i="2"/>
  <c r="V24" i="2"/>
  <c r="BS48" i="4"/>
  <c r="W24" i="2"/>
  <c r="R20" i="3"/>
  <c r="S20" i="3" s="1"/>
  <c r="BR46" i="4" s="1"/>
  <c r="T24" i="2"/>
  <c r="G24" i="2"/>
  <c r="CF23" i="3"/>
  <c r="C43" i="16562"/>
  <c r="C42" i="16562"/>
  <c r="C41" i="16562"/>
  <c r="E36" i="16562"/>
  <c r="E34" i="16562"/>
  <c r="S28" i="16562"/>
  <c r="S26" i="16562"/>
  <c r="S25" i="16562"/>
  <c r="S21" i="16562"/>
  <c r="S20" i="16562"/>
  <c r="S19" i="16562"/>
  <c r="S18" i="16562"/>
  <c r="S17" i="16562"/>
  <c r="AQ12" i="16562"/>
  <c r="AP12" i="16562"/>
  <c r="AO12" i="16562"/>
  <c r="AN12" i="16562"/>
  <c r="AM12" i="16562"/>
  <c r="AL12" i="16562"/>
  <c r="AK12" i="16562"/>
  <c r="AJ12" i="16562"/>
  <c r="AI12" i="16562"/>
  <c r="AH12" i="16562"/>
  <c r="AG12" i="16562"/>
  <c r="AF12" i="16562"/>
  <c r="AE12" i="16562"/>
  <c r="AD12" i="16562"/>
  <c r="AC12" i="16562"/>
  <c r="AB12" i="16562"/>
  <c r="AA12" i="16562"/>
  <c r="Z12" i="16562"/>
  <c r="Y12" i="16562"/>
  <c r="X12" i="16562"/>
  <c r="AQ11" i="16562"/>
  <c r="AP11" i="16562"/>
  <c r="AO11" i="16562"/>
  <c r="AN11" i="16562"/>
  <c r="AM11" i="16562"/>
  <c r="AL11" i="16562"/>
  <c r="AK11" i="16562"/>
  <c r="AJ11" i="16562"/>
  <c r="AI11" i="16562"/>
  <c r="AH11" i="16562"/>
  <c r="AG11" i="16562"/>
  <c r="AF11" i="16562"/>
  <c r="AE11" i="16562"/>
  <c r="AD11" i="16562"/>
  <c r="AC11" i="16562"/>
  <c r="AB11" i="16562"/>
  <c r="AA11" i="16562"/>
  <c r="Z11" i="16562"/>
  <c r="O11" i="16562"/>
  <c r="N11" i="16562"/>
  <c r="M11" i="16562"/>
  <c r="L11" i="16562"/>
  <c r="K11" i="16562"/>
  <c r="J11" i="16562"/>
  <c r="I11" i="16562"/>
  <c r="H11" i="16562"/>
  <c r="G11" i="16562"/>
  <c r="F11" i="16562"/>
  <c r="E11" i="16562"/>
  <c r="D11" i="16562"/>
  <c r="C11" i="16562"/>
  <c r="B11" i="16562"/>
  <c r="K6" i="16562"/>
  <c r="K4" i="16562"/>
  <c r="K3" i="16562"/>
  <c r="K2" i="16562"/>
  <c r="BU21" i="4" l="1"/>
  <c r="AV24" i="3"/>
  <c r="AW24" i="3" s="1"/>
  <c r="AV20" i="3"/>
  <c r="AW20" i="3" s="1"/>
  <c r="BV73" i="4"/>
  <c r="BW73" i="4" s="1"/>
  <c r="BY73" i="4" s="1"/>
  <c r="AV23" i="3"/>
  <c r="AW23" i="3" s="1"/>
  <c r="AV22" i="3"/>
  <c r="AW22" i="3" s="1"/>
  <c r="AV21" i="3"/>
  <c r="AW21" i="3" s="1"/>
  <c r="BU22" i="4"/>
  <c r="BV47" i="4"/>
  <c r="BV75" i="4"/>
  <c r="BW75" i="4" s="1"/>
  <c r="BX75" i="4" s="1"/>
  <c r="BV72" i="4"/>
  <c r="BW72" i="4" s="1"/>
  <c r="BX72" i="4" s="1"/>
  <c r="BV46" i="4"/>
  <c r="BU20" i="4"/>
  <c r="CN82" i="2"/>
  <c r="BR32" i="16556" s="1"/>
  <c r="CL55" i="2"/>
  <c r="AU32" i="16556" s="1"/>
  <c r="AT32" i="16556"/>
  <c r="BV50" i="4"/>
  <c r="BU23" i="4"/>
  <c r="J22" i="2"/>
  <c r="CN55" i="2"/>
  <c r="AV32" i="16556" s="1"/>
  <c r="BV76" i="4"/>
  <c r="BW76" i="4" s="1"/>
  <c r="BV48" i="4"/>
  <c r="BV74" i="4"/>
  <c r="BW74" i="4" s="1"/>
  <c r="CL82" i="2"/>
  <c r="BQ32" i="1"/>
  <c r="CV54" i="2"/>
  <c r="CV81" i="2"/>
  <c r="DE54" i="2"/>
  <c r="DE81" i="2"/>
  <c r="CY54" i="2"/>
  <c r="CY81" i="2"/>
  <c r="DB54" i="2"/>
  <c r="DB81" i="2"/>
  <c r="CJ54" i="2"/>
  <c r="CK54" i="2" s="1"/>
  <c r="DH54" i="2"/>
  <c r="CJ81" i="2"/>
  <c r="CK81" i="2" s="1"/>
  <c r="BP31" i="16556" s="1"/>
  <c r="DH81" i="2"/>
  <c r="CM54" i="2"/>
  <c r="DK54" i="2"/>
  <c r="CM81" i="2"/>
  <c r="DK81" i="2"/>
  <c r="CS81" i="2"/>
  <c r="CP54" i="2"/>
  <c r="CS54" i="2"/>
  <c r="CP81" i="2"/>
  <c r="CJ52" i="2"/>
  <c r="CK52" i="2" s="1"/>
  <c r="AT29" i="16556" s="1"/>
  <c r="DH52" i="2"/>
  <c r="CJ79" i="2"/>
  <c r="CK79" i="2" s="1"/>
  <c r="BP29" i="16556" s="1"/>
  <c r="DH79" i="2"/>
  <c r="CS52" i="2"/>
  <c r="CS79" i="2"/>
  <c r="CM52" i="2"/>
  <c r="DK52" i="2"/>
  <c r="CM79" i="2"/>
  <c r="DK79" i="2"/>
  <c r="CP52" i="2"/>
  <c r="CP79" i="2"/>
  <c r="CV52" i="2"/>
  <c r="CV79" i="2"/>
  <c r="CY52" i="2"/>
  <c r="CY79" i="2"/>
  <c r="DB52" i="2"/>
  <c r="DE52" i="2"/>
  <c r="DB79" i="2"/>
  <c r="DE79" i="2"/>
  <c r="BU24" i="4"/>
  <c r="BV49" i="4"/>
  <c r="DB53" i="2"/>
  <c r="DB80" i="2"/>
  <c r="CM53" i="2"/>
  <c r="DK53" i="2"/>
  <c r="CM80" i="2"/>
  <c r="DK80" i="2"/>
  <c r="DE53" i="2"/>
  <c r="DE80" i="2"/>
  <c r="CJ53" i="2"/>
  <c r="CK53" i="2" s="1"/>
  <c r="DH53" i="2"/>
  <c r="CJ80" i="2"/>
  <c r="CK80" i="2" s="1"/>
  <c r="BP30" i="16556" s="1"/>
  <c r="DH80" i="2"/>
  <c r="CP53" i="2"/>
  <c r="CP80" i="2"/>
  <c r="CS53" i="2"/>
  <c r="CS80" i="2"/>
  <c r="CV53" i="2"/>
  <c r="CY53" i="2"/>
  <c r="CV80" i="2"/>
  <c r="CY80" i="2"/>
  <c r="T17" i="16562"/>
  <c r="T18" i="16562"/>
  <c r="T19" i="16562"/>
  <c r="T20" i="16562"/>
  <c r="T21" i="16562"/>
  <c r="U17" i="16562"/>
  <c r="U18" i="16562"/>
  <c r="U20" i="16562"/>
  <c r="T26" i="16562"/>
  <c r="T28" i="16562"/>
  <c r="U19" i="16562"/>
  <c r="U21" i="16562"/>
  <c r="U25" i="16562"/>
  <c r="U26" i="16562"/>
  <c r="U28" i="16562"/>
  <c r="T25" i="16562"/>
  <c r="CK26" i="16556"/>
  <c r="CK25" i="16556"/>
  <c r="CK24" i="16556"/>
  <c r="CK23" i="16556"/>
  <c r="CK22" i="16556"/>
  <c r="CK21" i="16556"/>
  <c r="CK20" i="16556"/>
  <c r="CK19" i="16556"/>
  <c r="CK18" i="16556"/>
  <c r="CK17" i="16556"/>
  <c r="CK16" i="16556"/>
  <c r="CK15" i="16556"/>
  <c r="CK14" i="16556"/>
  <c r="CK13" i="16556"/>
  <c r="CK11" i="16556"/>
  <c r="AO228" i="4"/>
  <c r="AO229" i="4"/>
  <c r="AO230" i="4"/>
  <c r="AO231" i="4"/>
  <c r="AO232" i="4"/>
  <c r="AO233" i="4"/>
  <c r="AO234" i="4"/>
  <c r="AO235" i="4"/>
  <c r="AO236" i="4"/>
  <c r="AO237" i="4"/>
  <c r="AO238" i="4"/>
  <c r="AO239" i="4"/>
  <c r="AO240" i="4"/>
  <c r="AO241" i="4"/>
  <c r="AO242" i="4"/>
  <c r="AO243" i="4"/>
  <c r="AO244" i="4"/>
  <c r="AO245" i="4"/>
  <c r="AO246" i="4"/>
  <c r="AO247" i="4"/>
  <c r="AO248" i="4"/>
  <c r="AO249" i="4"/>
  <c r="AO250" i="4"/>
  <c r="AO251" i="4"/>
  <c r="AO252" i="4"/>
  <c r="AO253" i="4"/>
  <c r="AO254" i="4"/>
  <c r="AO255" i="4"/>
  <c r="AO256" i="4"/>
  <c r="AO257" i="4"/>
  <c r="AO258" i="4"/>
  <c r="AO259" i="4"/>
  <c r="AO260" i="4"/>
  <c r="AO261" i="4"/>
  <c r="AO262" i="4"/>
  <c r="AO263" i="4"/>
  <c r="AO264" i="4"/>
  <c r="BX73" i="4" l="1"/>
  <c r="BY75" i="4"/>
  <c r="BY72" i="4"/>
  <c r="CO82" i="2"/>
  <c r="BT32" i="1" s="1"/>
  <c r="CQ82" i="2"/>
  <c r="BT32" i="16556" s="1"/>
  <c r="BS32" i="1"/>
  <c r="CL53" i="2"/>
  <c r="AU30" i="16556" s="1"/>
  <c r="AT30" i="16556"/>
  <c r="CL54" i="2"/>
  <c r="AU31" i="16556" s="1"/>
  <c r="AT31" i="16556"/>
  <c r="BR32" i="1"/>
  <c r="BQ32" i="16556"/>
  <c r="CN52" i="2"/>
  <c r="CO52" i="2" s="1"/>
  <c r="G22" i="2"/>
  <c r="CN79" i="2"/>
  <c r="BR29" i="16556" s="1"/>
  <c r="CL81" i="2"/>
  <c r="BQ31" i="1"/>
  <c r="CN80" i="2"/>
  <c r="BR30" i="16556" s="1"/>
  <c r="BQ29" i="1"/>
  <c r="CL79" i="2"/>
  <c r="CN81" i="2"/>
  <c r="BR31" i="16556" s="1"/>
  <c r="BQ30" i="1"/>
  <c r="CL80" i="2"/>
  <c r="CN53" i="2"/>
  <c r="AV30" i="16556" s="1"/>
  <c r="BX74" i="4"/>
  <c r="BY74" i="4"/>
  <c r="CO55" i="2"/>
  <c r="AW32" i="16556" s="1"/>
  <c r="CQ55" i="2"/>
  <c r="CL52" i="2"/>
  <c r="AU29" i="1"/>
  <c r="CN54" i="2"/>
  <c r="BX76" i="4"/>
  <c r="BY76" i="4"/>
  <c r="Q1" i="4"/>
  <c r="S3" i="4"/>
  <c r="R4" i="4"/>
  <c r="S4" i="4"/>
  <c r="T4" i="4"/>
  <c r="CT82" i="2" l="1"/>
  <c r="CW82" i="2" s="1"/>
  <c r="BX32" i="16556" s="1"/>
  <c r="BS32" i="16556"/>
  <c r="CR82" i="2"/>
  <c r="BV32" i="1" s="1"/>
  <c r="CO79" i="2"/>
  <c r="BT29" i="1" s="1"/>
  <c r="BU32" i="1"/>
  <c r="BS29" i="1"/>
  <c r="CQ54" i="2"/>
  <c r="AV31" i="16556"/>
  <c r="BR29" i="1"/>
  <c r="BQ29" i="16556"/>
  <c r="AW29" i="1"/>
  <c r="AV29" i="16556"/>
  <c r="AV29" i="1"/>
  <c r="AU29" i="16556"/>
  <c r="BR30" i="1"/>
  <c r="BQ30" i="16556"/>
  <c r="BR31" i="1"/>
  <c r="BQ31" i="16556"/>
  <c r="CQ79" i="2"/>
  <c r="BT29" i="16556" s="1"/>
  <c r="AX29" i="1"/>
  <c r="AW29" i="16556"/>
  <c r="CR55" i="2"/>
  <c r="AY32" i="16556" s="1"/>
  <c r="AX32" i="16556"/>
  <c r="CQ52" i="2"/>
  <c r="AX29" i="16556" s="1"/>
  <c r="DE51" i="2"/>
  <c r="CJ78" i="2"/>
  <c r="CK78" i="2" s="1"/>
  <c r="CM78" i="2"/>
  <c r="CS78" i="2"/>
  <c r="DH78" i="2"/>
  <c r="DK78" i="2"/>
  <c r="CJ51" i="2"/>
  <c r="CK51" i="2" s="1"/>
  <c r="CM51" i="2"/>
  <c r="DH51" i="2"/>
  <c r="DK51" i="2"/>
  <c r="CS51" i="2"/>
  <c r="CP51" i="2"/>
  <c r="DB51" i="2"/>
  <c r="DE78" i="2"/>
  <c r="DB78" i="2"/>
  <c r="CP78" i="2"/>
  <c r="CV51" i="2"/>
  <c r="CY51" i="2"/>
  <c r="CV78" i="2"/>
  <c r="CY78" i="2"/>
  <c r="CT55" i="2"/>
  <c r="AZ32" i="16556" s="1"/>
  <c r="CQ80" i="2"/>
  <c r="BT30" i="16556" s="1"/>
  <c r="CO80" i="2"/>
  <c r="BS30" i="1"/>
  <c r="CO81" i="2"/>
  <c r="BS31" i="1"/>
  <c r="CO54" i="2"/>
  <c r="AW31" i="16556" s="1"/>
  <c r="CQ81" i="2"/>
  <c r="CQ53" i="2"/>
  <c r="AX30" i="16556" s="1"/>
  <c r="CO53" i="2"/>
  <c r="AW30" i="16556" s="1"/>
  <c r="S1" i="4"/>
  <c r="AP25" i="3"/>
  <c r="AN25" i="3"/>
  <c r="BW32" i="1" l="1"/>
  <c r="BV32" i="16556"/>
  <c r="CU82" i="2"/>
  <c r="BX32" i="1" s="1"/>
  <c r="BU32" i="16556"/>
  <c r="CR52" i="2"/>
  <c r="AZ29" i="1" s="1"/>
  <c r="CT52" i="2"/>
  <c r="AZ29" i="16556" s="1"/>
  <c r="BS29" i="16556"/>
  <c r="CN78" i="2"/>
  <c r="CQ78" i="2" s="1"/>
  <c r="CT79" i="2"/>
  <c r="BV29" i="16556" s="1"/>
  <c r="CT81" i="2"/>
  <c r="BV31" i="16556" s="1"/>
  <c r="BT31" i="16556"/>
  <c r="BT30" i="1"/>
  <c r="BS30" i="16556"/>
  <c r="CX82" i="2"/>
  <c r="BY32" i="1"/>
  <c r="AY29" i="1"/>
  <c r="BU29" i="1"/>
  <c r="CL51" i="2"/>
  <c r="AU28" i="16556" s="1"/>
  <c r="AT28" i="16556"/>
  <c r="CZ82" i="2"/>
  <c r="BZ32" i="16556" s="1"/>
  <c r="CR79" i="2"/>
  <c r="BT31" i="1"/>
  <c r="BS31" i="16556"/>
  <c r="CL78" i="2"/>
  <c r="BQ28" i="16556" s="1"/>
  <c r="BP28" i="16556"/>
  <c r="CR54" i="2"/>
  <c r="AY31" i="16556" s="1"/>
  <c r="AX31" i="16556"/>
  <c r="CT54" i="2"/>
  <c r="CW54" i="2" s="1"/>
  <c r="BB31" i="16556" s="1"/>
  <c r="CN51" i="2"/>
  <c r="AV28" i="16556" s="1"/>
  <c r="CU55" i="2"/>
  <c r="BA32" i="16556" s="1"/>
  <c r="CW55" i="2"/>
  <c r="BB32" i="16556" s="1"/>
  <c r="CR80" i="2"/>
  <c r="BU30" i="1"/>
  <c r="CR81" i="2"/>
  <c r="BU31" i="1"/>
  <c r="CT80" i="2"/>
  <c r="BV30" i="16556" s="1"/>
  <c r="CR53" i="2"/>
  <c r="AY30" i="16556" s="1"/>
  <c r="CT53" i="2"/>
  <c r="AZ30" i="16556" s="1"/>
  <c r="E26" i="16556"/>
  <c r="E25" i="16556"/>
  <c r="E24" i="16556"/>
  <c r="E23" i="16556"/>
  <c r="E22" i="16556"/>
  <c r="E21" i="16556"/>
  <c r="E20" i="16556"/>
  <c r="E19" i="16556"/>
  <c r="E18" i="16556"/>
  <c r="E17" i="16556"/>
  <c r="E16" i="16556"/>
  <c r="E15" i="16556"/>
  <c r="E14" i="16556"/>
  <c r="AY29" i="16556" l="1"/>
  <c r="BA29" i="1"/>
  <c r="BW32" i="16556"/>
  <c r="CW52" i="2"/>
  <c r="CX52" i="2" s="1"/>
  <c r="CU52" i="2"/>
  <c r="BB29" i="1" s="1"/>
  <c r="CQ51" i="2"/>
  <c r="CT51" i="2" s="1"/>
  <c r="DC82" i="2"/>
  <c r="CB32" i="16556" s="1"/>
  <c r="BR28" i="16556"/>
  <c r="CW79" i="2"/>
  <c r="BX29" i="16556" s="1"/>
  <c r="CO78" i="2"/>
  <c r="BS28" i="16556" s="1"/>
  <c r="BW31" i="1"/>
  <c r="BW29" i="1"/>
  <c r="CU81" i="2"/>
  <c r="BX31" i="1" s="1"/>
  <c r="CU79" i="2"/>
  <c r="BX29" i="1" s="1"/>
  <c r="CW81" i="2"/>
  <c r="BX31" i="16556" s="1"/>
  <c r="BV29" i="1"/>
  <c r="BU29" i="16556"/>
  <c r="BZ32" i="1"/>
  <c r="BY32" i="16556"/>
  <c r="CR78" i="2"/>
  <c r="BU28" i="16556" s="1"/>
  <c r="BT28" i="16556"/>
  <c r="BV31" i="1"/>
  <c r="BU31" i="16556"/>
  <c r="CA32" i="1"/>
  <c r="DA82" i="2"/>
  <c r="BV30" i="1"/>
  <c r="BU30" i="16556"/>
  <c r="CU54" i="2"/>
  <c r="BA31" i="16556" s="1"/>
  <c r="AZ31" i="16556"/>
  <c r="CT78" i="2"/>
  <c r="CO51" i="2"/>
  <c r="AW28" i="16556" s="1"/>
  <c r="CZ54" i="2"/>
  <c r="CX54" i="2"/>
  <c r="BC31" i="16556" s="1"/>
  <c r="CZ55" i="2"/>
  <c r="BD32" i="16556" s="1"/>
  <c r="CX55" i="2"/>
  <c r="BC32" i="16556" s="1"/>
  <c r="CU53" i="2"/>
  <c r="BA30" i="16556" s="1"/>
  <c r="CW53" i="2"/>
  <c r="BB30" i="16556" s="1"/>
  <c r="CW80" i="2"/>
  <c r="BX30" i="16556" s="1"/>
  <c r="CU80" i="2"/>
  <c r="BW30" i="1"/>
  <c r="DS15" i="2"/>
  <c r="BA29" i="16556" l="1"/>
  <c r="BB29" i="16556"/>
  <c r="BC29" i="1"/>
  <c r="CZ52" i="2"/>
  <c r="BD29" i="16556" s="1"/>
  <c r="AX28" i="16556"/>
  <c r="CR51" i="2"/>
  <c r="AY28" i="16556" s="1"/>
  <c r="DF82" i="2"/>
  <c r="CD32" i="16556" s="1"/>
  <c r="DD82" i="2"/>
  <c r="CD32" i="1" s="1"/>
  <c r="CZ79" i="2"/>
  <c r="CA29" i="1" s="1"/>
  <c r="CU51" i="2"/>
  <c r="BA28" i="16556" s="1"/>
  <c r="CW51" i="2"/>
  <c r="CX51" i="2" s="1"/>
  <c r="BC28" i="16556" s="1"/>
  <c r="AZ28" i="16556"/>
  <c r="CZ81" i="2"/>
  <c r="BZ31" i="16556" s="1"/>
  <c r="CC32" i="1"/>
  <c r="BY29" i="1"/>
  <c r="CX79" i="2"/>
  <c r="BZ29" i="1" s="1"/>
  <c r="BY31" i="1"/>
  <c r="BW29" i="16556"/>
  <c r="BW31" i="16556"/>
  <c r="CX81" i="2"/>
  <c r="BY31" i="16556" s="1"/>
  <c r="DA54" i="2"/>
  <c r="BE31" i="16556" s="1"/>
  <c r="BD31" i="16556"/>
  <c r="CB32" i="1"/>
  <c r="CA32" i="16556"/>
  <c r="BD29" i="1"/>
  <c r="BC29" i="16556"/>
  <c r="CU78" i="2"/>
  <c r="BW28" i="16556" s="1"/>
  <c r="BV28" i="16556"/>
  <c r="BX30" i="1"/>
  <c r="BW30" i="16556"/>
  <c r="CW78" i="2"/>
  <c r="BX28" i="16556" s="1"/>
  <c r="DC54" i="2"/>
  <c r="BF31" i="16556" s="1"/>
  <c r="DA55" i="2"/>
  <c r="BE32" i="16556" s="1"/>
  <c r="DC55" i="2"/>
  <c r="CX53" i="2"/>
  <c r="BC30" i="16556" s="1"/>
  <c r="CZ53" i="2"/>
  <c r="DC53" i="2" s="1"/>
  <c r="CX80" i="2"/>
  <c r="BY30" i="1"/>
  <c r="CZ80" i="2"/>
  <c r="BZ30" i="16556" s="1"/>
  <c r="D417" i="16561"/>
  <c r="I417" i="16561" s="1"/>
  <c r="G417" i="16561"/>
  <c r="H417" i="16561"/>
  <c r="D459" i="16561"/>
  <c r="D458" i="16561"/>
  <c r="D452" i="16561"/>
  <c r="H457" i="16561"/>
  <c r="G457" i="16561"/>
  <c r="D457" i="16561"/>
  <c r="I457" i="16561" s="1"/>
  <c r="H456" i="16561"/>
  <c r="G456" i="16561"/>
  <c r="D456" i="16561"/>
  <c r="I456" i="16561" s="1"/>
  <c r="H455" i="16561"/>
  <c r="G455" i="16561"/>
  <c r="D455" i="16561"/>
  <c r="I455" i="16561" s="1"/>
  <c r="H454" i="16561"/>
  <c r="G454" i="16561"/>
  <c r="D454" i="16561"/>
  <c r="I454" i="16561" s="1"/>
  <c r="H453" i="16561"/>
  <c r="G453" i="16561"/>
  <c r="D453" i="16561"/>
  <c r="I453" i="16561" s="1"/>
  <c r="D446" i="16561"/>
  <c r="H451" i="16561"/>
  <c r="G451" i="16561"/>
  <c r="D451" i="16561"/>
  <c r="I451" i="16561" s="1"/>
  <c r="H450" i="16561"/>
  <c r="G450" i="16561"/>
  <c r="D450" i="16561"/>
  <c r="I450" i="16561" s="1"/>
  <c r="H449" i="16561"/>
  <c r="G449" i="16561"/>
  <c r="D449" i="16561"/>
  <c r="I449" i="16561" s="1"/>
  <c r="H448" i="16561"/>
  <c r="G448" i="16561"/>
  <c r="D448" i="16561"/>
  <c r="I448" i="16561" s="1"/>
  <c r="H447" i="16561"/>
  <c r="G447" i="16561"/>
  <c r="D447" i="16561"/>
  <c r="I447" i="16561" s="1"/>
  <c r="D436" i="16561"/>
  <c r="H445" i="16561"/>
  <c r="G445" i="16561"/>
  <c r="D445" i="16561"/>
  <c r="I445" i="16561" s="1"/>
  <c r="H444" i="16561"/>
  <c r="G444" i="16561"/>
  <c r="D444" i="16561"/>
  <c r="I444" i="16561" s="1"/>
  <c r="H443" i="16561"/>
  <c r="G443" i="16561"/>
  <c r="D443" i="16561"/>
  <c r="I443" i="16561" s="1"/>
  <c r="H442" i="16561"/>
  <c r="G442" i="16561"/>
  <c r="D442" i="16561"/>
  <c r="I442" i="16561" s="1"/>
  <c r="H441" i="16561"/>
  <c r="G441" i="16561"/>
  <c r="D441" i="16561"/>
  <c r="I441" i="16561" s="1"/>
  <c r="H440" i="16561"/>
  <c r="G440" i="16561"/>
  <c r="D440" i="16561"/>
  <c r="I440" i="16561" s="1"/>
  <c r="H439" i="16561"/>
  <c r="G439" i="16561"/>
  <c r="D439" i="16561"/>
  <c r="I439" i="16561" s="1"/>
  <c r="H438" i="16561"/>
  <c r="G438" i="16561"/>
  <c r="D438" i="16561"/>
  <c r="I438" i="16561" s="1"/>
  <c r="H437" i="16561"/>
  <c r="G437" i="16561"/>
  <c r="D437" i="16561"/>
  <c r="I437" i="16561" s="1"/>
  <c r="D422" i="16561"/>
  <c r="H435" i="16561"/>
  <c r="G435" i="16561"/>
  <c r="D435" i="16561"/>
  <c r="I435" i="16561" s="1"/>
  <c r="H434" i="16561"/>
  <c r="G434" i="16561"/>
  <c r="D434" i="16561"/>
  <c r="I434" i="16561" s="1"/>
  <c r="H433" i="16561"/>
  <c r="G433" i="16561"/>
  <c r="D433" i="16561"/>
  <c r="I433" i="16561" s="1"/>
  <c r="H432" i="16561"/>
  <c r="G432" i="16561"/>
  <c r="D432" i="16561"/>
  <c r="I432" i="16561" s="1"/>
  <c r="H431" i="16561"/>
  <c r="G431" i="16561"/>
  <c r="D431" i="16561"/>
  <c r="I431" i="16561" s="1"/>
  <c r="H430" i="16561"/>
  <c r="G430" i="16561"/>
  <c r="D430" i="16561"/>
  <c r="I430" i="16561" s="1"/>
  <c r="H429" i="16561"/>
  <c r="G429" i="16561"/>
  <c r="D429" i="16561"/>
  <c r="I429" i="16561" s="1"/>
  <c r="H428" i="16561"/>
  <c r="G428" i="16561"/>
  <c r="D428" i="16561"/>
  <c r="I428" i="16561" s="1"/>
  <c r="H427" i="16561"/>
  <c r="G427" i="16561"/>
  <c r="D427" i="16561"/>
  <c r="I427" i="16561" s="1"/>
  <c r="H426" i="16561"/>
  <c r="G426" i="16561"/>
  <c r="D426" i="16561"/>
  <c r="I426" i="16561" s="1"/>
  <c r="H425" i="16561"/>
  <c r="G425" i="16561"/>
  <c r="D425" i="16561"/>
  <c r="I425" i="16561" s="1"/>
  <c r="H424" i="16561"/>
  <c r="G424" i="16561"/>
  <c r="D424" i="16561"/>
  <c r="I424" i="16561" s="1"/>
  <c r="H423" i="16561"/>
  <c r="G423" i="16561"/>
  <c r="D423" i="16561"/>
  <c r="I423" i="16561" s="1"/>
  <c r="D412" i="16561"/>
  <c r="H421" i="16561"/>
  <c r="G421" i="16561"/>
  <c r="D421" i="16561"/>
  <c r="I421" i="16561" s="1"/>
  <c r="H420" i="16561"/>
  <c r="G420" i="16561"/>
  <c r="D420" i="16561"/>
  <c r="I420" i="16561" s="1"/>
  <c r="H419" i="16561"/>
  <c r="G419" i="16561"/>
  <c r="D419" i="16561"/>
  <c r="I419" i="16561" s="1"/>
  <c r="H418" i="16561"/>
  <c r="G418" i="16561"/>
  <c r="D418" i="16561"/>
  <c r="I418" i="16561" s="1"/>
  <c r="H416" i="16561"/>
  <c r="G416" i="16561"/>
  <c r="D416" i="16561"/>
  <c r="I416" i="16561" s="1"/>
  <c r="H415" i="16561"/>
  <c r="G415" i="16561"/>
  <c r="D415" i="16561"/>
  <c r="I415" i="16561" s="1"/>
  <c r="H414" i="16561"/>
  <c r="G414" i="16561"/>
  <c r="D414" i="16561"/>
  <c r="I414" i="16561" s="1"/>
  <c r="H413" i="16561"/>
  <c r="G413" i="16561"/>
  <c r="D413" i="16561"/>
  <c r="I413" i="16561" s="1"/>
  <c r="D404" i="16561"/>
  <c r="H411" i="16561"/>
  <c r="G411" i="16561"/>
  <c r="D411" i="16561"/>
  <c r="I411" i="16561" s="1"/>
  <c r="H410" i="16561"/>
  <c r="G410" i="16561"/>
  <c r="D410" i="16561"/>
  <c r="I410" i="16561" s="1"/>
  <c r="H409" i="16561"/>
  <c r="G409" i="16561"/>
  <c r="D409" i="16561"/>
  <c r="I409" i="16561" s="1"/>
  <c r="H408" i="16561"/>
  <c r="G408" i="16561"/>
  <c r="D408" i="16561"/>
  <c r="I408" i="16561" s="1"/>
  <c r="H407" i="16561"/>
  <c r="G407" i="16561"/>
  <c r="D407" i="16561"/>
  <c r="I407" i="16561" s="1"/>
  <c r="H406" i="16561"/>
  <c r="G406" i="16561"/>
  <c r="J406" i="16561" s="1"/>
  <c r="D406" i="16561"/>
  <c r="I406" i="16561" s="1"/>
  <c r="H405" i="16561"/>
  <c r="G405" i="16561"/>
  <c r="J405" i="16561" s="1"/>
  <c r="D405" i="16561"/>
  <c r="I405" i="16561" s="1"/>
  <c r="D395" i="16561"/>
  <c r="H403" i="16561"/>
  <c r="G403" i="16561"/>
  <c r="D403" i="16561"/>
  <c r="I403" i="16561" s="1"/>
  <c r="H402" i="16561"/>
  <c r="G402" i="16561"/>
  <c r="J402" i="16561" s="1"/>
  <c r="D402" i="16561"/>
  <c r="I402" i="16561" s="1"/>
  <c r="H401" i="16561"/>
  <c r="G401" i="16561"/>
  <c r="J401" i="16561" s="1"/>
  <c r="D401" i="16561"/>
  <c r="I401" i="16561" s="1"/>
  <c r="H400" i="16561"/>
  <c r="G400" i="16561"/>
  <c r="J400" i="16561" s="1"/>
  <c r="D400" i="16561"/>
  <c r="I400" i="16561" s="1"/>
  <c r="H399" i="16561"/>
  <c r="G399" i="16561"/>
  <c r="J399" i="16561" s="1"/>
  <c r="D399" i="16561"/>
  <c r="I399" i="16561" s="1"/>
  <c r="H398" i="16561"/>
  <c r="G398" i="16561"/>
  <c r="J398" i="16561" s="1"/>
  <c r="D398" i="16561"/>
  <c r="I398" i="16561" s="1"/>
  <c r="H397" i="16561"/>
  <c r="G397" i="16561"/>
  <c r="J397" i="16561" s="1"/>
  <c r="D397" i="16561"/>
  <c r="I397" i="16561" s="1"/>
  <c r="H396" i="16561"/>
  <c r="G396" i="16561"/>
  <c r="J396" i="16561" s="1"/>
  <c r="D396" i="16561"/>
  <c r="I396" i="16561" s="1"/>
  <c r="D383" i="16561"/>
  <c r="H394" i="16561"/>
  <c r="G394" i="16561"/>
  <c r="D394" i="16561"/>
  <c r="I394" i="16561" s="1"/>
  <c r="H393" i="16561"/>
  <c r="G393" i="16561"/>
  <c r="J393" i="16561" s="1"/>
  <c r="D393" i="16561"/>
  <c r="I393" i="16561" s="1"/>
  <c r="H392" i="16561"/>
  <c r="G392" i="16561"/>
  <c r="J392" i="16561" s="1"/>
  <c r="D392" i="16561"/>
  <c r="I392" i="16561" s="1"/>
  <c r="H391" i="16561"/>
  <c r="G391" i="16561"/>
  <c r="J391" i="16561" s="1"/>
  <c r="D391" i="16561"/>
  <c r="I391" i="16561" s="1"/>
  <c r="H390" i="16561"/>
  <c r="G390" i="16561"/>
  <c r="J390" i="16561" s="1"/>
  <c r="D390" i="16561"/>
  <c r="I390" i="16561" s="1"/>
  <c r="H389" i="16561"/>
  <c r="G389" i="16561"/>
  <c r="J389" i="16561" s="1"/>
  <c r="D389" i="16561"/>
  <c r="I389" i="16561" s="1"/>
  <c r="H388" i="16561"/>
  <c r="G388" i="16561"/>
  <c r="J388" i="16561" s="1"/>
  <c r="D388" i="16561"/>
  <c r="I388" i="16561" s="1"/>
  <c r="H387" i="16561"/>
  <c r="G387" i="16561"/>
  <c r="J387" i="16561" s="1"/>
  <c r="D387" i="16561"/>
  <c r="I387" i="16561" s="1"/>
  <c r="H386" i="16561"/>
  <c r="G386" i="16561"/>
  <c r="J386" i="16561" s="1"/>
  <c r="D386" i="16561"/>
  <c r="I386" i="16561" s="1"/>
  <c r="H385" i="16561"/>
  <c r="G385" i="16561"/>
  <c r="J385" i="16561" s="1"/>
  <c r="D385" i="16561"/>
  <c r="I385" i="16561" s="1"/>
  <c r="H384" i="16561"/>
  <c r="G384" i="16561"/>
  <c r="J384" i="16561" s="1"/>
  <c r="D384" i="16561"/>
  <c r="I384" i="16561" s="1"/>
  <c r="D373" i="16561"/>
  <c r="H382" i="16561"/>
  <c r="G382" i="16561"/>
  <c r="J382" i="16561" s="1"/>
  <c r="D382" i="16561"/>
  <c r="I382" i="16561" s="1"/>
  <c r="H381" i="16561"/>
  <c r="G381" i="16561"/>
  <c r="J381" i="16561" s="1"/>
  <c r="D381" i="16561"/>
  <c r="I381" i="16561" s="1"/>
  <c r="H380" i="16561"/>
  <c r="G380" i="16561"/>
  <c r="J380" i="16561" s="1"/>
  <c r="D380" i="16561"/>
  <c r="I380" i="16561" s="1"/>
  <c r="H379" i="16561"/>
  <c r="G379" i="16561"/>
  <c r="J379" i="16561" s="1"/>
  <c r="D379" i="16561"/>
  <c r="I379" i="16561" s="1"/>
  <c r="H378" i="16561"/>
  <c r="G378" i="16561"/>
  <c r="J378" i="16561" s="1"/>
  <c r="D378" i="16561"/>
  <c r="I378" i="16561" s="1"/>
  <c r="H377" i="16561"/>
  <c r="G377" i="16561"/>
  <c r="J377" i="16561" s="1"/>
  <c r="D377" i="16561"/>
  <c r="I377" i="16561" s="1"/>
  <c r="H376" i="16561"/>
  <c r="G376" i="16561"/>
  <c r="J376" i="16561" s="1"/>
  <c r="D376" i="16561"/>
  <c r="I376" i="16561" s="1"/>
  <c r="H375" i="16561"/>
  <c r="G375" i="16561"/>
  <c r="J375" i="16561" s="1"/>
  <c r="D375" i="16561"/>
  <c r="I375" i="16561" s="1"/>
  <c r="H374" i="16561"/>
  <c r="G374" i="16561"/>
  <c r="J374" i="16561" s="1"/>
  <c r="D374" i="16561"/>
  <c r="I374" i="16561" s="1"/>
  <c r="D364" i="16561"/>
  <c r="H372" i="16561"/>
  <c r="G372" i="16561"/>
  <c r="J372" i="16561" s="1"/>
  <c r="D372" i="16561"/>
  <c r="I372" i="16561" s="1"/>
  <c r="H371" i="16561"/>
  <c r="G371" i="16561"/>
  <c r="J371" i="16561" s="1"/>
  <c r="D371" i="16561"/>
  <c r="I371" i="16561" s="1"/>
  <c r="H370" i="16561"/>
  <c r="G370" i="16561"/>
  <c r="J370" i="16561" s="1"/>
  <c r="D370" i="16561"/>
  <c r="I370" i="16561" s="1"/>
  <c r="H369" i="16561"/>
  <c r="G369" i="16561"/>
  <c r="J369" i="16561" s="1"/>
  <c r="D369" i="16561"/>
  <c r="I369" i="16561" s="1"/>
  <c r="H368" i="16561"/>
  <c r="G368" i="16561"/>
  <c r="J368" i="16561" s="1"/>
  <c r="D368" i="16561"/>
  <c r="I368" i="16561" s="1"/>
  <c r="H367" i="16561"/>
  <c r="G367" i="16561"/>
  <c r="J367" i="16561" s="1"/>
  <c r="D367" i="16561"/>
  <c r="I367" i="16561" s="1"/>
  <c r="H366" i="16561"/>
  <c r="G366" i="16561"/>
  <c r="J366" i="16561" s="1"/>
  <c r="D366" i="16561"/>
  <c r="I366" i="16561" s="1"/>
  <c r="H365" i="16561"/>
  <c r="G365" i="16561"/>
  <c r="J365" i="16561" s="1"/>
  <c r="D365" i="16561"/>
  <c r="I365" i="16561" s="1"/>
  <c r="D355" i="16561"/>
  <c r="H363" i="16561"/>
  <c r="G363" i="16561"/>
  <c r="J363" i="16561" s="1"/>
  <c r="D363" i="16561"/>
  <c r="I363" i="16561" s="1"/>
  <c r="H362" i="16561"/>
  <c r="G362" i="16561"/>
  <c r="J362" i="16561" s="1"/>
  <c r="D362" i="16561"/>
  <c r="I362" i="16561" s="1"/>
  <c r="H361" i="16561"/>
  <c r="G361" i="16561"/>
  <c r="J361" i="16561" s="1"/>
  <c r="D361" i="16561"/>
  <c r="I361" i="16561" s="1"/>
  <c r="H360" i="16561"/>
  <c r="G360" i="16561"/>
  <c r="J360" i="16561" s="1"/>
  <c r="D360" i="16561"/>
  <c r="I360" i="16561" s="1"/>
  <c r="H359" i="16561"/>
  <c r="G359" i="16561"/>
  <c r="J359" i="16561" s="1"/>
  <c r="D359" i="16561"/>
  <c r="I359" i="16561" s="1"/>
  <c r="H358" i="16561"/>
  <c r="G358" i="16561"/>
  <c r="J358" i="16561" s="1"/>
  <c r="D358" i="16561"/>
  <c r="I358" i="16561" s="1"/>
  <c r="H357" i="16561"/>
  <c r="G357" i="16561"/>
  <c r="J357" i="16561" s="1"/>
  <c r="D357" i="16561"/>
  <c r="I357" i="16561" s="1"/>
  <c r="H356" i="16561"/>
  <c r="G356" i="16561"/>
  <c r="J356" i="16561" s="1"/>
  <c r="D356" i="16561"/>
  <c r="I356" i="16561" s="1"/>
  <c r="D345" i="16561"/>
  <c r="H354" i="16561"/>
  <c r="G354" i="16561"/>
  <c r="J354" i="16561" s="1"/>
  <c r="D354" i="16561"/>
  <c r="I354" i="16561" s="1"/>
  <c r="H353" i="16561"/>
  <c r="G353" i="16561"/>
  <c r="J353" i="16561" s="1"/>
  <c r="D353" i="16561"/>
  <c r="I353" i="16561" s="1"/>
  <c r="H352" i="16561"/>
  <c r="G352" i="16561"/>
  <c r="J352" i="16561" s="1"/>
  <c r="D352" i="16561"/>
  <c r="I352" i="16561" s="1"/>
  <c r="H351" i="16561"/>
  <c r="G351" i="16561"/>
  <c r="J351" i="16561" s="1"/>
  <c r="D351" i="16561"/>
  <c r="I351" i="16561" s="1"/>
  <c r="H350" i="16561"/>
  <c r="G350" i="16561"/>
  <c r="J350" i="16561" s="1"/>
  <c r="D350" i="16561"/>
  <c r="I350" i="16561" s="1"/>
  <c r="H349" i="16561"/>
  <c r="G349" i="16561"/>
  <c r="J349" i="16561" s="1"/>
  <c r="D349" i="16561"/>
  <c r="I349" i="16561" s="1"/>
  <c r="H348" i="16561"/>
  <c r="G348" i="16561"/>
  <c r="J348" i="16561" s="1"/>
  <c r="D348" i="16561"/>
  <c r="I348" i="16561" s="1"/>
  <c r="H347" i="16561"/>
  <c r="G347" i="16561"/>
  <c r="J347" i="16561" s="1"/>
  <c r="D347" i="16561"/>
  <c r="I347" i="16561" s="1"/>
  <c r="H346" i="16561"/>
  <c r="G346" i="16561"/>
  <c r="J346" i="16561" s="1"/>
  <c r="D346" i="16561"/>
  <c r="I346" i="16561" s="1"/>
  <c r="D336" i="16561"/>
  <c r="H344" i="16561"/>
  <c r="G344" i="16561"/>
  <c r="J344" i="16561" s="1"/>
  <c r="D344" i="16561"/>
  <c r="I344" i="16561" s="1"/>
  <c r="H343" i="16561"/>
  <c r="G343" i="16561"/>
  <c r="J343" i="16561" s="1"/>
  <c r="D343" i="16561"/>
  <c r="I343" i="16561" s="1"/>
  <c r="H342" i="16561"/>
  <c r="G342" i="16561"/>
  <c r="J342" i="16561" s="1"/>
  <c r="D342" i="16561"/>
  <c r="I342" i="16561" s="1"/>
  <c r="H341" i="16561"/>
  <c r="G341" i="16561"/>
  <c r="J341" i="16561" s="1"/>
  <c r="D341" i="16561"/>
  <c r="I341" i="16561" s="1"/>
  <c r="H340" i="16561"/>
  <c r="G340" i="16561"/>
  <c r="J340" i="16561" s="1"/>
  <c r="D340" i="16561"/>
  <c r="I340" i="16561" s="1"/>
  <c r="H339" i="16561"/>
  <c r="G339" i="16561"/>
  <c r="J339" i="16561" s="1"/>
  <c r="D339" i="16561"/>
  <c r="I339" i="16561" s="1"/>
  <c r="H338" i="16561"/>
  <c r="G338" i="16561"/>
  <c r="J338" i="16561" s="1"/>
  <c r="D338" i="16561"/>
  <c r="I338" i="16561" s="1"/>
  <c r="H337" i="16561"/>
  <c r="G337" i="16561"/>
  <c r="J337" i="16561" s="1"/>
  <c r="D337" i="16561"/>
  <c r="I337" i="16561" s="1"/>
  <c r="D323" i="16561"/>
  <c r="H335" i="16561"/>
  <c r="G335" i="16561"/>
  <c r="J335" i="16561" s="1"/>
  <c r="D335" i="16561"/>
  <c r="I335" i="16561" s="1"/>
  <c r="H334" i="16561"/>
  <c r="G334" i="16561"/>
  <c r="J334" i="16561" s="1"/>
  <c r="D334" i="16561"/>
  <c r="I334" i="16561" s="1"/>
  <c r="H333" i="16561"/>
  <c r="G333" i="16561"/>
  <c r="J333" i="16561" s="1"/>
  <c r="D333" i="16561"/>
  <c r="I333" i="16561" s="1"/>
  <c r="H332" i="16561"/>
  <c r="G332" i="16561"/>
  <c r="J332" i="16561" s="1"/>
  <c r="D332" i="16561"/>
  <c r="I332" i="16561" s="1"/>
  <c r="H331" i="16561"/>
  <c r="G331" i="16561"/>
  <c r="J331" i="16561" s="1"/>
  <c r="D331" i="16561"/>
  <c r="I331" i="16561" s="1"/>
  <c r="H330" i="16561"/>
  <c r="G330" i="16561"/>
  <c r="J330" i="16561" s="1"/>
  <c r="D330" i="16561"/>
  <c r="I330" i="16561" s="1"/>
  <c r="H329" i="16561"/>
  <c r="G329" i="16561"/>
  <c r="J329" i="16561" s="1"/>
  <c r="D329" i="16561"/>
  <c r="I329" i="16561" s="1"/>
  <c r="H328" i="16561"/>
  <c r="G328" i="16561"/>
  <c r="J328" i="16561" s="1"/>
  <c r="D328" i="16561"/>
  <c r="I328" i="16561" s="1"/>
  <c r="H327" i="16561"/>
  <c r="G327" i="16561"/>
  <c r="J327" i="16561" s="1"/>
  <c r="D327" i="16561"/>
  <c r="I327" i="16561" s="1"/>
  <c r="H326" i="16561"/>
  <c r="G326" i="16561"/>
  <c r="J326" i="16561" s="1"/>
  <c r="D326" i="16561"/>
  <c r="I326" i="16561" s="1"/>
  <c r="H325" i="16561"/>
  <c r="G325" i="16561"/>
  <c r="J325" i="16561" s="1"/>
  <c r="D325" i="16561"/>
  <c r="I325" i="16561" s="1"/>
  <c r="H324" i="16561"/>
  <c r="G324" i="16561"/>
  <c r="J324" i="16561" s="1"/>
  <c r="D324" i="16561"/>
  <c r="I324" i="16561" s="1"/>
  <c r="D321" i="16561"/>
  <c r="H322" i="16561"/>
  <c r="G322" i="16561"/>
  <c r="J322" i="16561" s="1"/>
  <c r="D322" i="16561"/>
  <c r="I322" i="16561" s="1"/>
  <c r="D320" i="16561"/>
  <c r="D319" i="16561"/>
  <c r="D317" i="16561"/>
  <c r="H318" i="16561"/>
  <c r="G318" i="16561"/>
  <c r="D318" i="16561"/>
  <c r="I318" i="16561" s="1"/>
  <c r="D316" i="16561"/>
  <c r="D311" i="16561"/>
  <c r="H315" i="16561"/>
  <c r="G315" i="16561"/>
  <c r="D315" i="16561"/>
  <c r="I315" i="16561" s="1"/>
  <c r="H314" i="16561"/>
  <c r="G314" i="16561"/>
  <c r="D314" i="16561"/>
  <c r="I314" i="16561" s="1"/>
  <c r="H313" i="16561"/>
  <c r="G313" i="16561"/>
  <c r="D313" i="16561"/>
  <c r="I313" i="16561" s="1"/>
  <c r="H312" i="16561"/>
  <c r="G312" i="16561"/>
  <c r="D312" i="16561"/>
  <c r="I312" i="16561" s="1"/>
  <c r="D304" i="16561"/>
  <c r="H310" i="16561"/>
  <c r="G310" i="16561"/>
  <c r="D310" i="16561"/>
  <c r="I310" i="16561" s="1"/>
  <c r="H309" i="16561"/>
  <c r="G309" i="16561"/>
  <c r="D309" i="16561"/>
  <c r="I309" i="16561" s="1"/>
  <c r="H308" i="16561"/>
  <c r="G308" i="16561"/>
  <c r="D308" i="16561"/>
  <c r="I308" i="16561" s="1"/>
  <c r="H307" i="16561"/>
  <c r="G307" i="16561"/>
  <c r="D307" i="16561"/>
  <c r="I307" i="16561" s="1"/>
  <c r="H306" i="16561"/>
  <c r="G306" i="16561"/>
  <c r="D306" i="16561"/>
  <c r="I306" i="16561" s="1"/>
  <c r="H305" i="16561"/>
  <c r="G305" i="16561"/>
  <c r="D305" i="16561"/>
  <c r="I305" i="16561" s="1"/>
  <c r="D294" i="16561"/>
  <c r="H303" i="16561"/>
  <c r="G303" i="16561"/>
  <c r="D303" i="16561"/>
  <c r="I303" i="16561" s="1"/>
  <c r="H302" i="16561"/>
  <c r="G302" i="16561"/>
  <c r="D302" i="16561"/>
  <c r="I302" i="16561" s="1"/>
  <c r="H301" i="16561"/>
  <c r="G301" i="16561"/>
  <c r="D301" i="16561"/>
  <c r="I301" i="16561" s="1"/>
  <c r="H300" i="16561"/>
  <c r="G300" i="16561"/>
  <c r="D300" i="16561"/>
  <c r="I300" i="16561" s="1"/>
  <c r="H299" i="16561"/>
  <c r="G299" i="16561"/>
  <c r="D299" i="16561"/>
  <c r="I299" i="16561" s="1"/>
  <c r="H298" i="16561"/>
  <c r="G298" i="16561"/>
  <c r="D298" i="16561"/>
  <c r="I298" i="16561" s="1"/>
  <c r="H297" i="16561"/>
  <c r="G297" i="16561"/>
  <c r="D297" i="16561"/>
  <c r="I297" i="16561" s="1"/>
  <c r="H296" i="16561"/>
  <c r="G296" i="16561"/>
  <c r="D296" i="16561"/>
  <c r="I296" i="16561" s="1"/>
  <c r="H295" i="16561"/>
  <c r="G295" i="16561"/>
  <c r="D295" i="16561"/>
  <c r="I295" i="16561" s="1"/>
  <c r="D284" i="16561"/>
  <c r="H293" i="16561"/>
  <c r="G293" i="16561"/>
  <c r="D293" i="16561"/>
  <c r="I293" i="16561" s="1"/>
  <c r="H292" i="16561"/>
  <c r="G292" i="16561"/>
  <c r="D292" i="16561"/>
  <c r="I292" i="16561" s="1"/>
  <c r="H291" i="16561"/>
  <c r="G291" i="16561"/>
  <c r="D291" i="16561"/>
  <c r="I291" i="16561" s="1"/>
  <c r="H290" i="16561"/>
  <c r="G290" i="16561"/>
  <c r="D290" i="16561"/>
  <c r="I290" i="16561" s="1"/>
  <c r="H289" i="16561"/>
  <c r="G289" i="16561"/>
  <c r="D289" i="16561"/>
  <c r="I289" i="16561" s="1"/>
  <c r="H288" i="16561"/>
  <c r="G288" i="16561"/>
  <c r="D288" i="16561"/>
  <c r="I288" i="16561" s="1"/>
  <c r="H287" i="16561"/>
  <c r="G287" i="16561"/>
  <c r="D287" i="16561"/>
  <c r="I287" i="16561" s="1"/>
  <c r="H286" i="16561"/>
  <c r="G286" i="16561"/>
  <c r="D286" i="16561"/>
  <c r="I286" i="16561" s="1"/>
  <c r="H285" i="16561"/>
  <c r="G285" i="16561"/>
  <c r="D285" i="16561"/>
  <c r="I285" i="16561" s="1"/>
  <c r="D272" i="16561"/>
  <c r="H283" i="16561"/>
  <c r="G283" i="16561"/>
  <c r="D283" i="16561"/>
  <c r="I283" i="16561" s="1"/>
  <c r="H282" i="16561"/>
  <c r="G282" i="16561"/>
  <c r="D282" i="16561"/>
  <c r="I282" i="16561" s="1"/>
  <c r="H281" i="16561"/>
  <c r="G281" i="16561"/>
  <c r="D281" i="16561"/>
  <c r="I281" i="16561" s="1"/>
  <c r="H280" i="16561"/>
  <c r="G280" i="16561"/>
  <c r="D280" i="16561"/>
  <c r="I280" i="16561" s="1"/>
  <c r="H279" i="16561"/>
  <c r="G279" i="16561"/>
  <c r="D279" i="16561"/>
  <c r="I279" i="16561" s="1"/>
  <c r="H278" i="16561"/>
  <c r="G278" i="16561"/>
  <c r="D278" i="16561"/>
  <c r="I278" i="16561" s="1"/>
  <c r="H277" i="16561"/>
  <c r="G277" i="16561"/>
  <c r="D277" i="16561"/>
  <c r="I277" i="16561" s="1"/>
  <c r="H276" i="16561"/>
  <c r="G276" i="16561"/>
  <c r="D276" i="16561"/>
  <c r="I276" i="16561" s="1"/>
  <c r="H275" i="16561"/>
  <c r="G275" i="16561"/>
  <c r="J275" i="16561" s="1"/>
  <c r="D275" i="16561"/>
  <c r="I275" i="16561" s="1"/>
  <c r="H274" i="16561"/>
  <c r="G274" i="16561"/>
  <c r="J274" i="16561" s="1"/>
  <c r="D274" i="16561"/>
  <c r="I274" i="16561" s="1"/>
  <c r="H273" i="16561"/>
  <c r="G273" i="16561"/>
  <c r="J273" i="16561" s="1"/>
  <c r="D273" i="16561"/>
  <c r="I273" i="16561" s="1"/>
  <c r="D271" i="16561"/>
  <c r="H270" i="16561"/>
  <c r="G270" i="16561"/>
  <c r="D270" i="16561"/>
  <c r="I270" i="16561" s="1"/>
  <c r="H269" i="16561"/>
  <c r="G269" i="16561"/>
  <c r="D269" i="16561"/>
  <c r="I269" i="16561" s="1"/>
  <c r="H268" i="16561"/>
  <c r="G268" i="16561"/>
  <c r="D268" i="16561"/>
  <c r="I268" i="16561" s="1"/>
  <c r="H267" i="16561"/>
  <c r="G267" i="16561"/>
  <c r="D267" i="16561"/>
  <c r="I267" i="16561" s="1"/>
  <c r="H266" i="16561"/>
  <c r="G266" i="16561"/>
  <c r="D266" i="16561"/>
  <c r="I266" i="16561" s="1"/>
  <c r="H265" i="16561"/>
  <c r="G265" i="16561"/>
  <c r="D265" i="16561"/>
  <c r="I265" i="16561" s="1"/>
  <c r="H264" i="16561"/>
  <c r="G264" i="16561"/>
  <c r="J264" i="16561" s="1"/>
  <c r="D264" i="16561"/>
  <c r="I264" i="16561" s="1"/>
  <c r="H263" i="16561"/>
  <c r="G263" i="16561"/>
  <c r="J263" i="16561" s="1"/>
  <c r="D263" i="16561"/>
  <c r="I263" i="16561" s="1"/>
  <c r="H262" i="16561"/>
  <c r="G262" i="16561"/>
  <c r="J262" i="16561" s="1"/>
  <c r="D262" i="16561"/>
  <c r="I262" i="16561" s="1"/>
  <c r="H261" i="16561"/>
  <c r="G261" i="16561"/>
  <c r="J261" i="16561" s="1"/>
  <c r="D261" i="16561"/>
  <c r="I261" i="16561" s="1"/>
  <c r="H260" i="16561"/>
  <c r="G260" i="16561"/>
  <c r="J260" i="16561" s="1"/>
  <c r="D260" i="16561"/>
  <c r="I260" i="16561" s="1"/>
  <c r="H259" i="16561"/>
  <c r="G259" i="16561"/>
  <c r="J259" i="16561" s="1"/>
  <c r="D259" i="16561"/>
  <c r="I259" i="16561" s="1"/>
  <c r="D249" i="16561"/>
  <c r="H258" i="16561"/>
  <c r="G258" i="16561"/>
  <c r="D258" i="16561"/>
  <c r="I258" i="16561" s="1"/>
  <c r="H257" i="16561"/>
  <c r="G257" i="16561"/>
  <c r="J257" i="16561" s="1"/>
  <c r="D257" i="16561"/>
  <c r="I257" i="16561" s="1"/>
  <c r="H256" i="16561"/>
  <c r="G256" i="16561"/>
  <c r="J256" i="16561" s="1"/>
  <c r="D256" i="16561"/>
  <c r="I256" i="16561" s="1"/>
  <c r="H255" i="16561"/>
  <c r="G255" i="16561"/>
  <c r="J255" i="16561" s="1"/>
  <c r="D255" i="16561"/>
  <c r="I255" i="16561" s="1"/>
  <c r="H254" i="16561"/>
  <c r="G254" i="16561"/>
  <c r="J254" i="16561" s="1"/>
  <c r="D254" i="16561"/>
  <c r="I254" i="16561" s="1"/>
  <c r="H253" i="16561"/>
  <c r="G253" i="16561"/>
  <c r="J253" i="16561" s="1"/>
  <c r="D253" i="16561"/>
  <c r="I253" i="16561" s="1"/>
  <c r="H252" i="16561"/>
  <c r="G252" i="16561"/>
  <c r="J252" i="16561" s="1"/>
  <c r="D252" i="16561"/>
  <c r="I252" i="16561" s="1"/>
  <c r="H251" i="16561"/>
  <c r="G251" i="16561"/>
  <c r="J251" i="16561" s="1"/>
  <c r="D251" i="16561"/>
  <c r="I251" i="16561" s="1"/>
  <c r="H250" i="16561"/>
  <c r="G250" i="16561"/>
  <c r="J250" i="16561" s="1"/>
  <c r="D250" i="16561"/>
  <c r="I250" i="16561" s="1"/>
  <c r="D238" i="16561"/>
  <c r="H248" i="16561"/>
  <c r="G248" i="16561"/>
  <c r="D248" i="16561"/>
  <c r="I248" i="16561" s="1"/>
  <c r="H247" i="16561"/>
  <c r="G247" i="16561"/>
  <c r="J247" i="16561" s="1"/>
  <c r="D247" i="16561"/>
  <c r="I247" i="16561" s="1"/>
  <c r="H246" i="16561"/>
  <c r="G246" i="16561"/>
  <c r="J246" i="16561" s="1"/>
  <c r="D246" i="16561"/>
  <c r="I246" i="16561" s="1"/>
  <c r="H245" i="16561"/>
  <c r="G245" i="16561"/>
  <c r="J245" i="16561" s="1"/>
  <c r="D245" i="16561"/>
  <c r="I245" i="16561" s="1"/>
  <c r="H244" i="16561"/>
  <c r="G244" i="16561"/>
  <c r="J244" i="16561" s="1"/>
  <c r="D244" i="16561"/>
  <c r="I244" i="16561" s="1"/>
  <c r="H243" i="16561"/>
  <c r="G243" i="16561"/>
  <c r="J243" i="16561" s="1"/>
  <c r="D243" i="16561"/>
  <c r="I243" i="16561" s="1"/>
  <c r="H242" i="16561"/>
  <c r="G242" i="16561"/>
  <c r="J242" i="16561" s="1"/>
  <c r="D242" i="16561"/>
  <c r="I242" i="16561" s="1"/>
  <c r="H241" i="16561"/>
  <c r="G241" i="16561"/>
  <c r="J241" i="16561" s="1"/>
  <c r="D241" i="16561"/>
  <c r="I241" i="16561" s="1"/>
  <c r="H240" i="16561"/>
  <c r="G240" i="16561"/>
  <c r="J240" i="16561" s="1"/>
  <c r="D240" i="16561"/>
  <c r="I240" i="16561" s="1"/>
  <c r="H239" i="16561"/>
  <c r="G239" i="16561"/>
  <c r="J239" i="16561" s="1"/>
  <c r="D239" i="16561"/>
  <c r="I239" i="16561" s="1"/>
  <c r="D227" i="16561"/>
  <c r="H237" i="16561"/>
  <c r="G237" i="16561"/>
  <c r="J237" i="16561" s="1"/>
  <c r="D237" i="16561"/>
  <c r="I237" i="16561" s="1"/>
  <c r="H236" i="16561"/>
  <c r="G236" i="16561"/>
  <c r="J236" i="16561" s="1"/>
  <c r="D236" i="16561"/>
  <c r="I236" i="16561" s="1"/>
  <c r="H235" i="16561"/>
  <c r="G235" i="16561"/>
  <c r="J235" i="16561" s="1"/>
  <c r="D235" i="16561"/>
  <c r="I235" i="16561" s="1"/>
  <c r="H234" i="16561"/>
  <c r="G234" i="16561"/>
  <c r="J234" i="16561" s="1"/>
  <c r="D234" i="16561"/>
  <c r="I234" i="16561" s="1"/>
  <c r="H233" i="16561"/>
  <c r="G233" i="16561"/>
  <c r="J233" i="16561" s="1"/>
  <c r="D233" i="16561"/>
  <c r="I233" i="16561" s="1"/>
  <c r="H232" i="16561"/>
  <c r="G232" i="16561"/>
  <c r="J232" i="16561" s="1"/>
  <c r="D232" i="16561"/>
  <c r="I232" i="16561" s="1"/>
  <c r="H231" i="16561"/>
  <c r="G231" i="16561"/>
  <c r="J231" i="16561" s="1"/>
  <c r="D231" i="16561"/>
  <c r="I231" i="16561" s="1"/>
  <c r="H230" i="16561"/>
  <c r="G230" i="16561"/>
  <c r="J230" i="16561" s="1"/>
  <c r="D230" i="16561"/>
  <c r="I230" i="16561" s="1"/>
  <c r="H229" i="16561"/>
  <c r="G229" i="16561"/>
  <c r="J229" i="16561" s="1"/>
  <c r="D229" i="16561"/>
  <c r="I229" i="16561" s="1"/>
  <c r="H228" i="16561"/>
  <c r="G228" i="16561"/>
  <c r="J228" i="16561" s="1"/>
  <c r="D228" i="16561"/>
  <c r="I228" i="16561" s="1"/>
  <c r="D216" i="16561"/>
  <c r="H226" i="16561"/>
  <c r="G226" i="16561"/>
  <c r="J226" i="16561" s="1"/>
  <c r="D226" i="16561"/>
  <c r="I226" i="16561" s="1"/>
  <c r="H225" i="16561"/>
  <c r="G225" i="16561"/>
  <c r="J225" i="16561" s="1"/>
  <c r="D225" i="16561"/>
  <c r="I225" i="16561" s="1"/>
  <c r="H224" i="16561"/>
  <c r="G224" i="16561"/>
  <c r="J224" i="16561" s="1"/>
  <c r="D224" i="16561"/>
  <c r="I224" i="16561" s="1"/>
  <c r="H223" i="16561"/>
  <c r="G223" i="16561"/>
  <c r="J223" i="16561" s="1"/>
  <c r="D223" i="16561"/>
  <c r="I223" i="16561" s="1"/>
  <c r="H222" i="16561"/>
  <c r="G222" i="16561"/>
  <c r="J222" i="16561" s="1"/>
  <c r="D222" i="16561"/>
  <c r="I222" i="16561" s="1"/>
  <c r="H221" i="16561"/>
  <c r="G221" i="16561"/>
  <c r="J221" i="16561" s="1"/>
  <c r="D221" i="16561"/>
  <c r="I221" i="16561" s="1"/>
  <c r="H220" i="16561"/>
  <c r="G220" i="16561"/>
  <c r="J220" i="16561" s="1"/>
  <c r="D220" i="16561"/>
  <c r="I220" i="16561" s="1"/>
  <c r="H219" i="16561"/>
  <c r="G219" i="16561"/>
  <c r="J219" i="16561" s="1"/>
  <c r="D219" i="16561"/>
  <c r="I219" i="16561" s="1"/>
  <c r="H218" i="16561"/>
  <c r="G218" i="16561"/>
  <c r="J218" i="16561" s="1"/>
  <c r="D218" i="16561"/>
  <c r="I218" i="16561" s="1"/>
  <c r="H217" i="16561"/>
  <c r="G217" i="16561"/>
  <c r="J217" i="16561" s="1"/>
  <c r="D217" i="16561"/>
  <c r="I217" i="16561" s="1"/>
  <c r="D202" i="16561"/>
  <c r="H215" i="16561"/>
  <c r="G215" i="16561"/>
  <c r="J215" i="16561" s="1"/>
  <c r="D215" i="16561"/>
  <c r="I215" i="16561" s="1"/>
  <c r="H214" i="16561"/>
  <c r="G214" i="16561"/>
  <c r="J214" i="16561" s="1"/>
  <c r="D214" i="16561"/>
  <c r="I214" i="16561" s="1"/>
  <c r="H213" i="16561"/>
  <c r="G213" i="16561"/>
  <c r="J213" i="16561" s="1"/>
  <c r="D213" i="16561"/>
  <c r="I213" i="16561" s="1"/>
  <c r="H212" i="16561"/>
  <c r="G212" i="16561"/>
  <c r="J212" i="16561" s="1"/>
  <c r="D212" i="16561"/>
  <c r="I212" i="16561" s="1"/>
  <c r="H211" i="16561"/>
  <c r="G211" i="16561"/>
  <c r="J211" i="16561" s="1"/>
  <c r="D211" i="16561"/>
  <c r="I211" i="16561" s="1"/>
  <c r="H210" i="16561"/>
  <c r="G210" i="16561"/>
  <c r="J210" i="16561" s="1"/>
  <c r="D210" i="16561"/>
  <c r="I210" i="16561" s="1"/>
  <c r="H209" i="16561"/>
  <c r="G209" i="16561"/>
  <c r="J209" i="16561" s="1"/>
  <c r="D209" i="16561"/>
  <c r="I209" i="16561" s="1"/>
  <c r="H208" i="16561"/>
  <c r="G208" i="16561"/>
  <c r="J208" i="16561" s="1"/>
  <c r="D208" i="16561"/>
  <c r="I208" i="16561" s="1"/>
  <c r="H207" i="16561"/>
  <c r="G207" i="16561"/>
  <c r="J207" i="16561" s="1"/>
  <c r="D207" i="16561"/>
  <c r="I207" i="16561" s="1"/>
  <c r="H206" i="16561"/>
  <c r="G206" i="16561"/>
  <c r="J206" i="16561" s="1"/>
  <c r="D206" i="16561"/>
  <c r="I206" i="16561" s="1"/>
  <c r="H205" i="16561"/>
  <c r="G205" i="16561"/>
  <c r="J205" i="16561" s="1"/>
  <c r="D205" i="16561"/>
  <c r="I205" i="16561" s="1"/>
  <c r="H204" i="16561"/>
  <c r="G204" i="16561"/>
  <c r="J204" i="16561" s="1"/>
  <c r="D204" i="16561"/>
  <c r="I204" i="16561" s="1"/>
  <c r="H203" i="16561"/>
  <c r="G203" i="16561"/>
  <c r="J203" i="16561" s="1"/>
  <c r="D203" i="16561"/>
  <c r="I203" i="16561" s="1"/>
  <c r="D188" i="16561"/>
  <c r="H201" i="16561"/>
  <c r="G201" i="16561"/>
  <c r="J201" i="16561" s="1"/>
  <c r="D201" i="16561"/>
  <c r="I201" i="16561" s="1"/>
  <c r="H200" i="16561"/>
  <c r="G200" i="16561"/>
  <c r="J200" i="16561" s="1"/>
  <c r="D200" i="16561"/>
  <c r="I200" i="16561" s="1"/>
  <c r="H199" i="16561"/>
  <c r="G199" i="16561"/>
  <c r="J199" i="16561" s="1"/>
  <c r="D199" i="16561"/>
  <c r="I199" i="16561" s="1"/>
  <c r="H198" i="16561"/>
  <c r="G198" i="16561"/>
  <c r="J198" i="16561" s="1"/>
  <c r="D198" i="16561"/>
  <c r="I198" i="16561" s="1"/>
  <c r="H197" i="16561"/>
  <c r="G197" i="16561"/>
  <c r="J197" i="16561" s="1"/>
  <c r="D197" i="16561"/>
  <c r="I197" i="16561" s="1"/>
  <c r="H196" i="16561"/>
  <c r="G196" i="16561"/>
  <c r="J196" i="16561" s="1"/>
  <c r="D196" i="16561"/>
  <c r="I196" i="16561" s="1"/>
  <c r="H195" i="16561"/>
  <c r="G195" i="16561"/>
  <c r="J195" i="16561" s="1"/>
  <c r="D195" i="16561"/>
  <c r="I195" i="16561" s="1"/>
  <c r="H194" i="16561"/>
  <c r="G194" i="16561"/>
  <c r="J194" i="16561" s="1"/>
  <c r="D194" i="16561"/>
  <c r="I194" i="16561" s="1"/>
  <c r="H193" i="16561"/>
  <c r="G193" i="16561"/>
  <c r="J193" i="16561" s="1"/>
  <c r="D193" i="16561"/>
  <c r="I193" i="16561" s="1"/>
  <c r="H192" i="16561"/>
  <c r="G192" i="16561"/>
  <c r="J192" i="16561" s="1"/>
  <c r="D192" i="16561"/>
  <c r="I192" i="16561" s="1"/>
  <c r="H191" i="16561"/>
  <c r="G191" i="16561"/>
  <c r="J191" i="16561" s="1"/>
  <c r="D191" i="16561"/>
  <c r="I191" i="16561" s="1"/>
  <c r="H190" i="16561"/>
  <c r="G190" i="16561"/>
  <c r="J190" i="16561" s="1"/>
  <c r="D190" i="16561"/>
  <c r="I190" i="16561" s="1"/>
  <c r="H189" i="16561"/>
  <c r="G189" i="16561"/>
  <c r="J189" i="16561" s="1"/>
  <c r="D189" i="16561"/>
  <c r="I189" i="16561" s="1"/>
  <c r="D176" i="16561"/>
  <c r="H187" i="16561"/>
  <c r="G187" i="16561"/>
  <c r="J187" i="16561" s="1"/>
  <c r="D187" i="16561"/>
  <c r="I187" i="16561" s="1"/>
  <c r="H186" i="16561"/>
  <c r="G186" i="16561"/>
  <c r="J186" i="16561" s="1"/>
  <c r="D186" i="16561"/>
  <c r="I186" i="16561" s="1"/>
  <c r="H185" i="16561"/>
  <c r="G185" i="16561"/>
  <c r="J185" i="16561" s="1"/>
  <c r="D185" i="16561"/>
  <c r="I185" i="16561" s="1"/>
  <c r="H184" i="16561"/>
  <c r="G184" i="16561"/>
  <c r="J184" i="16561" s="1"/>
  <c r="D184" i="16561"/>
  <c r="I184" i="16561" s="1"/>
  <c r="H183" i="16561"/>
  <c r="G183" i="16561"/>
  <c r="J183" i="16561" s="1"/>
  <c r="D183" i="16561"/>
  <c r="I183" i="16561" s="1"/>
  <c r="H182" i="16561"/>
  <c r="G182" i="16561"/>
  <c r="J182" i="16561" s="1"/>
  <c r="D182" i="16561"/>
  <c r="I182" i="16561" s="1"/>
  <c r="H181" i="16561"/>
  <c r="G181" i="16561"/>
  <c r="J181" i="16561" s="1"/>
  <c r="D181" i="16561"/>
  <c r="I181" i="16561" s="1"/>
  <c r="H180" i="16561"/>
  <c r="G180" i="16561"/>
  <c r="J180" i="16561" s="1"/>
  <c r="D180" i="16561"/>
  <c r="I180" i="16561" s="1"/>
  <c r="H179" i="16561"/>
  <c r="G179" i="16561"/>
  <c r="J179" i="16561" s="1"/>
  <c r="D179" i="16561"/>
  <c r="I179" i="16561" s="1"/>
  <c r="H178" i="16561"/>
  <c r="G178" i="16561"/>
  <c r="J178" i="16561" s="1"/>
  <c r="D178" i="16561"/>
  <c r="I178" i="16561" s="1"/>
  <c r="H177" i="16561"/>
  <c r="G177" i="16561"/>
  <c r="J177" i="16561" s="1"/>
  <c r="D177" i="16561"/>
  <c r="I177" i="16561" s="1"/>
  <c r="D166" i="16561"/>
  <c r="H175" i="16561"/>
  <c r="G175" i="16561"/>
  <c r="J175" i="16561" s="1"/>
  <c r="D175" i="16561"/>
  <c r="I175" i="16561" s="1"/>
  <c r="H174" i="16561"/>
  <c r="G174" i="16561"/>
  <c r="J174" i="16561" s="1"/>
  <c r="D174" i="16561"/>
  <c r="I174" i="16561" s="1"/>
  <c r="H173" i="16561"/>
  <c r="G173" i="16561"/>
  <c r="J173" i="16561" s="1"/>
  <c r="D173" i="16561"/>
  <c r="I173" i="16561" s="1"/>
  <c r="H172" i="16561"/>
  <c r="G172" i="16561"/>
  <c r="J172" i="16561" s="1"/>
  <c r="D172" i="16561"/>
  <c r="I172" i="16561" s="1"/>
  <c r="H171" i="16561"/>
  <c r="G171" i="16561"/>
  <c r="J171" i="16561" s="1"/>
  <c r="D171" i="16561"/>
  <c r="I171" i="16561" s="1"/>
  <c r="H170" i="16561"/>
  <c r="G170" i="16561"/>
  <c r="J170" i="16561" s="1"/>
  <c r="D170" i="16561"/>
  <c r="I170" i="16561" s="1"/>
  <c r="H169" i="16561"/>
  <c r="G169" i="16561"/>
  <c r="J169" i="16561" s="1"/>
  <c r="D169" i="16561"/>
  <c r="I169" i="16561" s="1"/>
  <c r="H168" i="16561"/>
  <c r="G168" i="16561"/>
  <c r="J168" i="16561" s="1"/>
  <c r="D168" i="16561"/>
  <c r="I168" i="16561" s="1"/>
  <c r="H167" i="16561"/>
  <c r="G167" i="16561"/>
  <c r="J167" i="16561" s="1"/>
  <c r="D167" i="16561"/>
  <c r="I167" i="16561" s="1"/>
  <c r="D162" i="16561"/>
  <c r="H165" i="16561"/>
  <c r="G165" i="16561"/>
  <c r="J165" i="16561" s="1"/>
  <c r="D165" i="16561"/>
  <c r="I165" i="16561" s="1"/>
  <c r="H164" i="16561"/>
  <c r="G164" i="16561"/>
  <c r="J164" i="16561" s="1"/>
  <c r="D164" i="16561"/>
  <c r="I164" i="16561" s="1"/>
  <c r="H163" i="16561"/>
  <c r="G163" i="16561"/>
  <c r="J163" i="16561" s="1"/>
  <c r="D163" i="16561"/>
  <c r="I163" i="16561" s="1"/>
  <c r="D160" i="16561"/>
  <c r="H161" i="16561"/>
  <c r="G161" i="16561"/>
  <c r="J161" i="16561" s="1"/>
  <c r="D161" i="16561"/>
  <c r="I161" i="16561" s="1"/>
  <c r="D157" i="16561"/>
  <c r="H159" i="16561"/>
  <c r="G159" i="16561"/>
  <c r="J159" i="16561" s="1"/>
  <c r="D159" i="16561"/>
  <c r="I159" i="16561" s="1"/>
  <c r="H158" i="16561"/>
  <c r="G158" i="16561"/>
  <c r="D158" i="16561"/>
  <c r="I158" i="16561" s="1"/>
  <c r="D156" i="16561"/>
  <c r="D154" i="16561"/>
  <c r="D155" i="16561"/>
  <c r="D150" i="16561"/>
  <c r="H153" i="16561"/>
  <c r="G153" i="16561"/>
  <c r="D153" i="16561"/>
  <c r="I153" i="16561" s="1"/>
  <c r="H152" i="16561"/>
  <c r="G152" i="16561"/>
  <c r="D152" i="16561"/>
  <c r="I152" i="16561" s="1"/>
  <c r="H151" i="16561"/>
  <c r="G151" i="16561"/>
  <c r="D151" i="16561"/>
  <c r="I151" i="16561" s="1"/>
  <c r="D145" i="16561"/>
  <c r="H149" i="16561"/>
  <c r="G149" i="16561"/>
  <c r="D149" i="16561"/>
  <c r="I149" i="16561" s="1"/>
  <c r="H148" i="16561"/>
  <c r="G148" i="16561"/>
  <c r="D148" i="16561"/>
  <c r="I148" i="16561" s="1"/>
  <c r="H147" i="16561"/>
  <c r="G147" i="16561"/>
  <c r="D147" i="16561"/>
  <c r="I147" i="16561" s="1"/>
  <c r="H146" i="16561"/>
  <c r="G146" i="16561"/>
  <c r="D146" i="16561"/>
  <c r="I146" i="16561" s="1"/>
  <c r="D140" i="16561"/>
  <c r="H144" i="16561"/>
  <c r="G144" i="16561"/>
  <c r="D144" i="16561"/>
  <c r="I144" i="16561" s="1"/>
  <c r="H143" i="16561"/>
  <c r="G143" i="16561"/>
  <c r="D143" i="16561"/>
  <c r="I143" i="16561" s="1"/>
  <c r="H142" i="16561"/>
  <c r="G142" i="16561"/>
  <c r="D142" i="16561"/>
  <c r="I142" i="16561" s="1"/>
  <c r="H141" i="16561"/>
  <c r="G141" i="16561"/>
  <c r="D141" i="16561"/>
  <c r="I141" i="16561" s="1"/>
  <c r="D135" i="16561"/>
  <c r="H139" i="16561"/>
  <c r="G139" i="16561"/>
  <c r="D139" i="16561"/>
  <c r="I139" i="16561" s="1"/>
  <c r="H138" i="16561"/>
  <c r="G138" i="16561"/>
  <c r="D138" i="16561"/>
  <c r="I138" i="16561" s="1"/>
  <c r="H137" i="16561"/>
  <c r="G137" i="16561"/>
  <c r="J137" i="16561" s="1"/>
  <c r="D137" i="16561"/>
  <c r="I137" i="16561" s="1"/>
  <c r="H136" i="16561"/>
  <c r="G136" i="16561"/>
  <c r="J136" i="16561" s="1"/>
  <c r="D136" i="16561"/>
  <c r="I136" i="16561" s="1"/>
  <c r="D130" i="16561"/>
  <c r="H134" i="16561"/>
  <c r="G134" i="16561"/>
  <c r="J134" i="16561" s="1"/>
  <c r="D134" i="16561"/>
  <c r="I134" i="16561" s="1"/>
  <c r="H133" i="16561"/>
  <c r="G133" i="16561"/>
  <c r="J133" i="16561" s="1"/>
  <c r="D133" i="16561"/>
  <c r="I133" i="16561" s="1"/>
  <c r="H132" i="16561"/>
  <c r="G132" i="16561"/>
  <c r="J132" i="16561" s="1"/>
  <c r="D132" i="16561"/>
  <c r="I132" i="16561" s="1"/>
  <c r="H131" i="16561"/>
  <c r="G131" i="16561"/>
  <c r="J131" i="16561" s="1"/>
  <c r="D131" i="16561"/>
  <c r="I131" i="16561" s="1"/>
  <c r="D125" i="16561"/>
  <c r="H129" i="16561"/>
  <c r="G129" i="16561"/>
  <c r="J129" i="16561" s="1"/>
  <c r="D129" i="16561"/>
  <c r="I129" i="16561" s="1"/>
  <c r="H128" i="16561"/>
  <c r="G128" i="16561"/>
  <c r="J128" i="16561" s="1"/>
  <c r="D128" i="16561"/>
  <c r="I128" i="16561" s="1"/>
  <c r="H127" i="16561"/>
  <c r="G127" i="16561"/>
  <c r="J127" i="16561" s="1"/>
  <c r="D127" i="16561"/>
  <c r="I127" i="16561" s="1"/>
  <c r="H126" i="16561"/>
  <c r="G126" i="16561"/>
  <c r="J126" i="16561" s="1"/>
  <c r="D126" i="16561"/>
  <c r="I126" i="16561" s="1"/>
  <c r="D118" i="16561"/>
  <c r="H124" i="16561"/>
  <c r="G124" i="16561"/>
  <c r="J124" i="16561" s="1"/>
  <c r="D124" i="16561"/>
  <c r="I124" i="16561" s="1"/>
  <c r="H123" i="16561"/>
  <c r="G123" i="16561"/>
  <c r="J123" i="16561" s="1"/>
  <c r="D123" i="16561"/>
  <c r="I123" i="16561" s="1"/>
  <c r="H122" i="16561"/>
  <c r="G122" i="16561"/>
  <c r="J122" i="16561" s="1"/>
  <c r="D122" i="16561"/>
  <c r="I122" i="16561" s="1"/>
  <c r="H121" i="16561"/>
  <c r="G121" i="16561"/>
  <c r="J121" i="16561" s="1"/>
  <c r="D121" i="16561"/>
  <c r="I121" i="16561" s="1"/>
  <c r="H120" i="16561"/>
  <c r="G120" i="16561"/>
  <c r="J120" i="16561" s="1"/>
  <c r="D120" i="16561"/>
  <c r="I120" i="16561" s="1"/>
  <c r="H119" i="16561"/>
  <c r="G119" i="16561"/>
  <c r="J119" i="16561" s="1"/>
  <c r="D119" i="16561"/>
  <c r="I119" i="16561" s="1"/>
  <c r="D111" i="16561"/>
  <c r="H117" i="16561"/>
  <c r="G117" i="16561"/>
  <c r="J117" i="16561" s="1"/>
  <c r="D117" i="16561"/>
  <c r="I117" i="16561" s="1"/>
  <c r="H116" i="16561"/>
  <c r="G116" i="16561"/>
  <c r="J116" i="16561" s="1"/>
  <c r="D116" i="16561"/>
  <c r="I116" i="16561" s="1"/>
  <c r="H115" i="16561"/>
  <c r="G115" i="16561"/>
  <c r="J115" i="16561" s="1"/>
  <c r="D115" i="16561"/>
  <c r="I115" i="16561" s="1"/>
  <c r="H114" i="16561"/>
  <c r="G114" i="16561"/>
  <c r="J114" i="16561" s="1"/>
  <c r="D114" i="16561"/>
  <c r="I114" i="16561" s="1"/>
  <c r="H113" i="16561"/>
  <c r="G113" i="16561"/>
  <c r="J113" i="16561" s="1"/>
  <c r="D113" i="16561"/>
  <c r="I113" i="16561" s="1"/>
  <c r="H112" i="16561"/>
  <c r="G112" i="16561"/>
  <c r="J112" i="16561" s="1"/>
  <c r="D112" i="16561"/>
  <c r="I112" i="16561" s="1"/>
  <c r="D104" i="16561"/>
  <c r="H110" i="16561"/>
  <c r="G110" i="16561"/>
  <c r="J110" i="16561" s="1"/>
  <c r="D110" i="16561"/>
  <c r="I110" i="16561" s="1"/>
  <c r="H109" i="16561"/>
  <c r="G109" i="16561"/>
  <c r="J109" i="16561" s="1"/>
  <c r="D109" i="16561"/>
  <c r="I109" i="16561" s="1"/>
  <c r="H108" i="16561"/>
  <c r="G108" i="16561"/>
  <c r="J108" i="16561" s="1"/>
  <c r="D108" i="16561"/>
  <c r="I108" i="16561" s="1"/>
  <c r="H107" i="16561"/>
  <c r="G107" i="16561"/>
  <c r="J107" i="16561" s="1"/>
  <c r="D107" i="16561"/>
  <c r="I107" i="16561" s="1"/>
  <c r="H106" i="16561"/>
  <c r="G106" i="16561"/>
  <c r="J106" i="16561" s="1"/>
  <c r="D106" i="16561"/>
  <c r="I106" i="16561" s="1"/>
  <c r="H105" i="16561"/>
  <c r="G105" i="16561"/>
  <c r="J105" i="16561" s="1"/>
  <c r="D105" i="16561"/>
  <c r="I105" i="16561" s="1"/>
  <c r="D97" i="16561"/>
  <c r="H103" i="16561"/>
  <c r="G103" i="16561"/>
  <c r="J103" i="16561" s="1"/>
  <c r="D103" i="16561"/>
  <c r="I103" i="16561" s="1"/>
  <c r="H102" i="16561"/>
  <c r="G102" i="16561"/>
  <c r="J102" i="16561" s="1"/>
  <c r="D102" i="16561"/>
  <c r="I102" i="16561" s="1"/>
  <c r="H101" i="16561"/>
  <c r="G101" i="16561"/>
  <c r="J101" i="16561" s="1"/>
  <c r="D101" i="16561"/>
  <c r="I101" i="16561" s="1"/>
  <c r="H100" i="16561"/>
  <c r="G100" i="16561"/>
  <c r="J100" i="16561" s="1"/>
  <c r="D100" i="16561"/>
  <c r="I100" i="16561" s="1"/>
  <c r="H99" i="16561"/>
  <c r="G99" i="16561"/>
  <c r="J99" i="16561" s="1"/>
  <c r="D99" i="16561"/>
  <c r="I99" i="16561" s="1"/>
  <c r="H98" i="16561"/>
  <c r="G98" i="16561"/>
  <c r="J98" i="16561" s="1"/>
  <c r="D98" i="16561"/>
  <c r="I98" i="16561" s="1"/>
  <c r="D90" i="16561"/>
  <c r="H96" i="16561"/>
  <c r="G96" i="16561"/>
  <c r="J96" i="16561" s="1"/>
  <c r="D96" i="16561"/>
  <c r="I96" i="16561" s="1"/>
  <c r="H95" i="16561"/>
  <c r="G95" i="16561"/>
  <c r="J95" i="16561" s="1"/>
  <c r="D95" i="16561"/>
  <c r="I95" i="16561" s="1"/>
  <c r="H94" i="16561"/>
  <c r="G94" i="16561"/>
  <c r="J94" i="16561" s="1"/>
  <c r="D94" i="16561"/>
  <c r="I94" i="16561" s="1"/>
  <c r="H93" i="16561"/>
  <c r="G93" i="16561"/>
  <c r="J93" i="16561" s="1"/>
  <c r="D93" i="16561"/>
  <c r="I93" i="16561" s="1"/>
  <c r="H92" i="16561"/>
  <c r="G92" i="16561"/>
  <c r="J92" i="16561" s="1"/>
  <c r="D92" i="16561"/>
  <c r="I92" i="16561" s="1"/>
  <c r="H91" i="16561"/>
  <c r="G91" i="16561"/>
  <c r="J91" i="16561" s="1"/>
  <c r="D91" i="16561"/>
  <c r="I91" i="16561" s="1"/>
  <c r="D82" i="16561"/>
  <c r="H89" i="16561"/>
  <c r="G89" i="16561"/>
  <c r="J89" i="16561" s="1"/>
  <c r="D89" i="16561"/>
  <c r="I89" i="16561" s="1"/>
  <c r="H88" i="16561"/>
  <c r="G88" i="16561"/>
  <c r="J88" i="16561" s="1"/>
  <c r="D88" i="16561"/>
  <c r="I88" i="16561" s="1"/>
  <c r="H87" i="16561"/>
  <c r="G87" i="16561"/>
  <c r="J87" i="16561" s="1"/>
  <c r="D87" i="16561"/>
  <c r="I87" i="16561" s="1"/>
  <c r="H86" i="16561"/>
  <c r="G86" i="16561"/>
  <c r="J86" i="16561" s="1"/>
  <c r="D86" i="16561"/>
  <c r="I86" i="16561" s="1"/>
  <c r="H85" i="16561"/>
  <c r="G85" i="16561"/>
  <c r="J85" i="16561" s="1"/>
  <c r="D85" i="16561"/>
  <c r="I85" i="16561" s="1"/>
  <c r="H84" i="16561"/>
  <c r="G84" i="16561"/>
  <c r="J84" i="16561" s="1"/>
  <c r="D84" i="16561"/>
  <c r="I84" i="16561" s="1"/>
  <c r="H83" i="16561"/>
  <c r="G83" i="16561"/>
  <c r="J83" i="16561" s="1"/>
  <c r="D83" i="16561"/>
  <c r="I83" i="16561" s="1"/>
  <c r="D69" i="16561"/>
  <c r="H81" i="16561"/>
  <c r="G81" i="16561"/>
  <c r="J81" i="16561" s="1"/>
  <c r="D81" i="16561"/>
  <c r="I81" i="16561" s="1"/>
  <c r="H80" i="16561"/>
  <c r="G80" i="16561"/>
  <c r="J80" i="16561" s="1"/>
  <c r="D80" i="16561"/>
  <c r="I80" i="16561" s="1"/>
  <c r="H79" i="16561"/>
  <c r="G79" i="16561"/>
  <c r="J79" i="16561" s="1"/>
  <c r="D79" i="16561"/>
  <c r="I79" i="16561" s="1"/>
  <c r="H78" i="16561"/>
  <c r="G78" i="16561"/>
  <c r="J78" i="16561" s="1"/>
  <c r="D78" i="16561"/>
  <c r="I78" i="16561" s="1"/>
  <c r="H77" i="16561"/>
  <c r="G77" i="16561"/>
  <c r="J77" i="16561" s="1"/>
  <c r="D77" i="16561"/>
  <c r="I77" i="16561" s="1"/>
  <c r="H76" i="16561"/>
  <c r="G76" i="16561"/>
  <c r="J76" i="16561" s="1"/>
  <c r="D76" i="16561"/>
  <c r="I76" i="16561" s="1"/>
  <c r="H75" i="16561"/>
  <c r="G75" i="16561"/>
  <c r="J75" i="16561" s="1"/>
  <c r="D75" i="16561"/>
  <c r="I75" i="16561" s="1"/>
  <c r="H74" i="16561"/>
  <c r="G74" i="16561"/>
  <c r="J74" i="16561" s="1"/>
  <c r="D74" i="16561"/>
  <c r="I74" i="16561" s="1"/>
  <c r="H73" i="16561"/>
  <c r="G73" i="16561"/>
  <c r="J73" i="16561" s="1"/>
  <c r="D73" i="16561"/>
  <c r="I73" i="16561" s="1"/>
  <c r="H72" i="16561"/>
  <c r="G72" i="16561"/>
  <c r="J72" i="16561" s="1"/>
  <c r="D72" i="16561"/>
  <c r="I72" i="16561" s="1"/>
  <c r="H71" i="16561"/>
  <c r="G71" i="16561"/>
  <c r="J71" i="16561" s="1"/>
  <c r="D71" i="16561"/>
  <c r="I71" i="16561" s="1"/>
  <c r="H70" i="16561"/>
  <c r="G70" i="16561"/>
  <c r="J70" i="16561" s="1"/>
  <c r="D70" i="16561"/>
  <c r="I70" i="16561" s="1"/>
  <c r="D62" i="16561"/>
  <c r="H68" i="16561"/>
  <c r="G68" i="16561"/>
  <c r="J68" i="16561" s="1"/>
  <c r="D68" i="16561"/>
  <c r="I68" i="16561" s="1"/>
  <c r="H67" i="16561"/>
  <c r="G67" i="16561"/>
  <c r="J67" i="16561" s="1"/>
  <c r="D67" i="16561"/>
  <c r="I67" i="16561" s="1"/>
  <c r="H66" i="16561"/>
  <c r="G66" i="16561"/>
  <c r="J66" i="16561" s="1"/>
  <c r="D66" i="16561"/>
  <c r="I66" i="16561" s="1"/>
  <c r="H65" i="16561"/>
  <c r="G65" i="16561"/>
  <c r="J65" i="16561" s="1"/>
  <c r="D65" i="16561"/>
  <c r="I65" i="16561" s="1"/>
  <c r="H64" i="16561"/>
  <c r="G64" i="16561"/>
  <c r="J64" i="16561" s="1"/>
  <c r="D64" i="16561"/>
  <c r="I64" i="16561" s="1"/>
  <c r="H63" i="16561"/>
  <c r="G63" i="16561"/>
  <c r="J63" i="16561" s="1"/>
  <c r="D63" i="16561"/>
  <c r="I63" i="16561" s="1"/>
  <c r="D61" i="16561"/>
  <c r="D60" i="16561"/>
  <c r="D59" i="16561"/>
  <c r="D58" i="16561"/>
  <c r="D57" i="16561"/>
  <c r="D54" i="16561"/>
  <c r="H56" i="16561"/>
  <c r="G56" i="16561"/>
  <c r="D56" i="16561"/>
  <c r="I56" i="16561" s="1"/>
  <c r="H55" i="16561"/>
  <c r="G55" i="16561"/>
  <c r="D55" i="16561"/>
  <c r="I55" i="16561" s="1"/>
  <c r="D51" i="16561"/>
  <c r="H53" i="16561"/>
  <c r="G53" i="16561"/>
  <c r="J53" i="16561" s="1"/>
  <c r="D53" i="16561"/>
  <c r="I53" i="16561" s="1"/>
  <c r="H52" i="16561"/>
  <c r="G52" i="16561"/>
  <c r="J52" i="16561" s="1"/>
  <c r="D52" i="16561"/>
  <c r="I52" i="16561" s="1"/>
  <c r="D50" i="16561"/>
  <c r="H49" i="16561"/>
  <c r="G49" i="16561"/>
  <c r="J49" i="16561" s="1"/>
  <c r="D49" i="16561"/>
  <c r="I49" i="16561" s="1"/>
  <c r="H48" i="16561"/>
  <c r="G48" i="16561"/>
  <c r="J48" i="16561" s="1"/>
  <c r="D48" i="16561"/>
  <c r="I48" i="16561" s="1"/>
  <c r="D45" i="16561"/>
  <c r="D47" i="16561"/>
  <c r="H46" i="16561"/>
  <c r="G46" i="16561"/>
  <c r="J46" i="16561" s="1"/>
  <c r="D46" i="16561"/>
  <c r="I46" i="16561" s="1"/>
  <c r="D42" i="16561"/>
  <c r="H44" i="16561"/>
  <c r="G44" i="16561"/>
  <c r="J44" i="16561" s="1"/>
  <c r="D44" i="16561"/>
  <c r="I44" i="16561" s="1"/>
  <c r="H43" i="16561"/>
  <c r="G43" i="16561"/>
  <c r="J43" i="16561" s="1"/>
  <c r="D43" i="16561"/>
  <c r="I43" i="16561" s="1"/>
  <c r="D38" i="16561"/>
  <c r="H41" i="16561"/>
  <c r="G41" i="16561"/>
  <c r="J41" i="16561" s="1"/>
  <c r="D41" i="16561"/>
  <c r="I41" i="16561" s="1"/>
  <c r="H40" i="16561"/>
  <c r="G40" i="16561"/>
  <c r="J40" i="16561" s="1"/>
  <c r="D40" i="16561"/>
  <c r="I40" i="16561" s="1"/>
  <c r="H39" i="16561"/>
  <c r="G39" i="16561"/>
  <c r="J39" i="16561" s="1"/>
  <c r="D39" i="16561"/>
  <c r="I39" i="16561" s="1"/>
  <c r="D34" i="16561"/>
  <c r="H37" i="16561"/>
  <c r="G37" i="16561"/>
  <c r="J37" i="16561" s="1"/>
  <c r="D37" i="16561"/>
  <c r="I37" i="16561" s="1"/>
  <c r="H36" i="16561"/>
  <c r="G36" i="16561"/>
  <c r="J36" i="16561" s="1"/>
  <c r="D36" i="16561"/>
  <c r="I36" i="16561" s="1"/>
  <c r="H35" i="16561"/>
  <c r="G35" i="16561"/>
  <c r="J35" i="16561" s="1"/>
  <c r="D35" i="16561"/>
  <c r="I35" i="16561" s="1"/>
  <c r="D31" i="16561"/>
  <c r="H33" i="16561"/>
  <c r="G33" i="16561"/>
  <c r="J33" i="16561" s="1"/>
  <c r="D33" i="16561"/>
  <c r="I33" i="16561" s="1"/>
  <c r="H32" i="16561"/>
  <c r="G32" i="16561"/>
  <c r="J32" i="16561" s="1"/>
  <c r="D32" i="16561"/>
  <c r="I32" i="16561" s="1"/>
  <c r="D27" i="16561"/>
  <c r="H30" i="16561"/>
  <c r="G30" i="16561"/>
  <c r="J30" i="16561" s="1"/>
  <c r="D30" i="16561"/>
  <c r="I30" i="16561" s="1"/>
  <c r="H29" i="16561"/>
  <c r="G29" i="16561"/>
  <c r="J29" i="16561" s="1"/>
  <c r="D29" i="16561"/>
  <c r="I29" i="16561" s="1"/>
  <c r="H28" i="16561"/>
  <c r="G28" i="16561"/>
  <c r="J28" i="16561" s="1"/>
  <c r="D28" i="16561"/>
  <c r="I28" i="16561" s="1"/>
  <c r="D21" i="16561"/>
  <c r="H26" i="16561"/>
  <c r="G26" i="16561"/>
  <c r="J26" i="16561" s="1"/>
  <c r="D26" i="16561"/>
  <c r="I26" i="16561" s="1"/>
  <c r="H25" i="16561"/>
  <c r="G25" i="16561"/>
  <c r="J25" i="16561" s="1"/>
  <c r="D25" i="16561"/>
  <c r="I25" i="16561" s="1"/>
  <c r="H24" i="16561"/>
  <c r="G24" i="16561"/>
  <c r="J24" i="16561" s="1"/>
  <c r="D24" i="16561"/>
  <c r="I24" i="16561" s="1"/>
  <c r="H23" i="16561"/>
  <c r="G23" i="16561"/>
  <c r="J23" i="16561" s="1"/>
  <c r="D23" i="16561"/>
  <c r="I23" i="16561" s="1"/>
  <c r="H22" i="16561"/>
  <c r="G22" i="16561"/>
  <c r="J22" i="16561" s="1"/>
  <c r="D22" i="16561"/>
  <c r="I22" i="16561" s="1"/>
  <c r="D17" i="16561"/>
  <c r="H20" i="16561"/>
  <c r="G20" i="16561"/>
  <c r="J20" i="16561" s="1"/>
  <c r="D20" i="16561"/>
  <c r="I20" i="16561" s="1"/>
  <c r="H19" i="16561"/>
  <c r="G19" i="16561"/>
  <c r="J19" i="16561" s="1"/>
  <c r="D19" i="16561"/>
  <c r="I19" i="16561" s="1"/>
  <c r="H18" i="16561"/>
  <c r="G18" i="16561"/>
  <c r="J18" i="16561" s="1"/>
  <c r="D18" i="16561"/>
  <c r="I18" i="16561" s="1"/>
  <c r="D14" i="16561"/>
  <c r="H16" i="16561"/>
  <c r="G16" i="16561"/>
  <c r="J16" i="16561" s="1"/>
  <c r="D16" i="16561"/>
  <c r="I16" i="16561" s="1"/>
  <c r="H15" i="16561"/>
  <c r="G15" i="16561"/>
  <c r="J15" i="16561" s="1"/>
  <c r="D15" i="16561"/>
  <c r="I15" i="16561" s="1"/>
  <c r="D10" i="16561"/>
  <c r="H13" i="16561"/>
  <c r="G13" i="16561"/>
  <c r="J13" i="16561" s="1"/>
  <c r="D13" i="16561"/>
  <c r="I13" i="16561" s="1"/>
  <c r="H12" i="16561"/>
  <c r="G12" i="16561"/>
  <c r="J12" i="16561" s="1"/>
  <c r="D12" i="16561"/>
  <c r="I12" i="16561" s="1"/>
  <c r="H11" i="16561"/>
  <c r="G11" i="16561"/>
  <c r="J11" i="16561" s="1"/>
  <c r="D11" i="16561"/>
  <c r="I11" i="16561" s="1"/>
  <c r="D7" i="16561"/>
  <c r="H9" i="16561"/>
  <c r="G9" i="16561"/>
  <c r="J9" i="16561" s="1"/>
  <c r="D9" i="16561"/>
  <c r="I9" i="16561" s="1"/>
  <c r="H8" i="16561"/>
  <c r="G8" i="16561"/>
  <c r="J8" i="16561" s="1"/>
  <c r="D8" i="16561"/>
  <c r="I8" i="16561" s="1"/>
  <c r="D6" i="16561"/>
  <c r="D5" i="16561"/>
  <c r="D3" i="16561"/>
  <c r="H4" i="16561"/>
  <c r="G4" i="16561"/>
  <c r="J4" i="16561" s="1"/>
  <c r="D4" i="16561"/>
  <c r="I4" i="16561" s="1"/>
  <c r="BE29" i="1" l="1"/>
  <c r="DC52" i="2"/>
  <c r="BF29" i="16556" s="1"/>
  <c r="DG82" i="2"/>
  <c r="CF32" i="1" s="1"/>
  <c r="DA52" i="2"/>
  <c r="BF29" i="1" s="1"/>
  <c r="CC32" i="16556"/>
  <c r="BZ29" i="16556"/>
  <c r="CE32" i="1"/>
  <c r="DA79" i="2"/>
  <c r="CA29" i="16556" s="1"/>
  <c r="DC79" i="2"/>
  <c r="CB29" i="16556" s="1"/>
  <c r="DI82" i="2"/>
  <c r="CF32" i="16556" s="1"/>
  <c r="BY29" i="16556"/>
  <c r="BB28" i="16556"/>
  <c r="CA31" i="1"/>
  <c r="DC81" i="2"/>
  <c r="CB31" i="16556" s="1"/>
  <c r="DA81" i="2"/>
  <c r="CB31" i="1" s="1"/>
  <c r="CZ51" i="2"/>
  <c r="BD28" i="16556" s="1"/>
  <c r="BZ31" i="1"/>
  <c r="DD53" i="2"/>
  <c r="BG30" i="16556" s="1"/>
  <c r="BF30" i="16556"/>
  <c r="DD55" i="2"/>
  <c r="BG32" i="16556" s="1"/>
  <c r="BF32" i="16556"/>
  <c r="BZ30" i="1"/>
  <c r="BY30" i="16556"/>
  <c r="DA53" i="2"/>
  <c r="BE30" i="16556" s="1"/>
  <c r="BD30" i="16556"/>
  <c r="DD54" i="2"/>
  <c r="BG31" i="16556" s="1"/>
  <c r="DF54" i="2"/>
  <c r="BH31" i="16556" s="1"/>
  <c r="CX78" i="2"/>
  <c r="BY28" i="16556" s="1"/>
  <c r="CZ78" i="2"/>
  <c r="BZ28" i="16556" s="1"/>
  <c r="DF55" i="2"/>
  <c r="DC80" i="2"/>
  <c r="CB30" i="16556" s="1"/>
  <c r="CA30" i="1"/>
  <c r="DA80" i="2"/>
  <c r="DF53" i="2"/>
  <c r="J457" i="16561"/>
  <c r="J291" i="16561"/>
  <c r="J429" i="16561"/>
  <c r="J417" i="16561"/>
  <c r="J278" i="16561"/>
  <c r="J423" i="16561"/>
  <c r="J144" i="16561"/>
  <c r="J158" i="16561"/>
  <c r="J440" i="16561"/>
  <c r="J445" i="16561"/>
  <c r="J153" i="16561"/>
  <c r="J419" i="16561"/>
  <c r="J283" i="16561"/>
  <c r="J293" i="16561"/>
  <c r="J305" i="16561"/>
  <c r="J280" i="16561"/>
  <c r="J152" i="16561"/>
  <c r="J267" i="16561"/>
  <c r="J302" i="16561"/>
  <c r="J318" i="16561"/>
  <c r="J428" i="16561"/>
  <c r="J424" i="16561"/>
  <c r="J432" i="16561"/>
  <c r="J438" i="16561"/>
  <c r="J443" i="16561"/>
  <c r="J148" i="16561"/>
  <c r="J269" i="16561"/>
  <c r="J290" i="16561"/>
  <c r="J149" i="16561"/>
  <c r="J277" i="16561"/>
  <c r="J279" i="16561"/>
  <c r="J281" i="16561"/>
  <c r="J418" i="16561"/>
  <c r="J431" i="16561"/>
  <c r="J454" i="16561"/>
  <c r="J455" i="16561"/>
  <c r="J411" i="16561"/>
  <c r="J414" i="16561"/>
  <c r="J430" i="16561"/>
  <c r="J447" i="16561"/>
  <c r="J453" i="16561"/>
  <c r="J141" i="16561"/>
  <c r="J300" i="16561"/>
  <c r="J444" i="16561"/>
  <c r="J55" i="16561"/>
  <c r="J248" i="16561"/>
  <c r="J287" i="16561"/>
  <c r="J292" i="16561"/>
  <c r="J295" i="16561"/>
  <c r="J306" i="16561"/>
  <c r="J441" i="16561"/>
  <c r="J143" i="16561"/>
  <c r="J434" i="16561"/>
  <c r="J308" i="16561"/>
  <c r="J266" i="16561"/>
  <c r="J285" i="16561"/>
  <c r="J288" i="16561"/>
  <c r="J296" i="16561"/>
  <c r="J309" i="16561"/>
  <c r="J394" i="16561"/>
  <c r="J442" i="16561"/>
  <c r="J56" i="16561"/>
  <c r="J268" i="16561"/>
  <c r="J426" i="16561"/>
  <c r="J451" i="16561"/>
  <c r="J297" i="16561"/>
  <c r="J313" i="16561"/>
  <c r="J139" i="16561"/>
  <c r="J409" i="16561"/>
  <c r="J435" i="16561"/>
  <c r="J265" i="16561"/>
  <c r="J289" i="16561"/>
  <c r="J298" i="16561"/>
  <c r="J307" i="16561"/>
  <c r="J314" i="16561"/>
  <c r="J407" i="16561"/>
  <c r="J415" i="16561"/>
  <c r="J420" i="16561"/>
  <c r="J425" i="16561"/>
  <c r="J427" i="16561"/>
  <c r="J433" i="16561"/>
  <c r="J449" i="16561"/>
  <c r="J147" i="16561"/>
  <c r="J146" i="16561"/>
  <c r="J151" i="16561"/>
  <c r="J312" i="16561"/>
  <c r="J413" i="16561"/>
  <c r="J448" i="16561"/>
  <c r="J450" i="16561"/>
  <c r="J138" i="16561"/>
  <c r="J270" i="16561"/>
  <c r="J276" i="16561"/>
  <c r="J301" i="16561"/>
  <c r="J303" i="16561"/>
  <c r="J403" i="16561"/>
  <c r="J408" i="16561"/>
  <c r="J416" i="16561"/>
  <c r="J421" i="16561"/>
  <c r="J437" i="16561"/>
  <c r="J439" i="16561"/>
  <c r="J142" i="16561"/>
  <c r="J410" i="16561"/>
  <c r="J299" i="16561"/>
  <c r="J315" i="16561"/>
  <c r="J258" i="16561"/>
  <c r="J286" i="16561"/>
  <c r="J456" i="16561"/>
  <c r="J282" i="16561"/>
  <c r="J310" i="16561"/>
  <c r="K6" i="16556"/>
  <c r="K3" i="16556"/>
  <c r="K4" i="16556"/>
  <c r="E36" i="16556"/>
  <c r="E34" i="16556"/>
  <c r="C41" i="16556"/>
  <c r="C42" i="16556"/>
  <c r="C43" i="16556"/>
  <c r="B26" i="16556"/>
  <c r="B25" i="16556"/>
  <c r="B24" i="16556"/>
  <c r="B23" i="16556"/>
  <c r="B22" i="16556"/>
  <c r="B21" i="16556"/>
  <c r="B20" i="16556"/>
  <c r="B19" i="16556"/>
  <c r="B18" i="16556"/>
  <c r="B17" i="16556"/>
  <c r="B16" i="16556"/>
  <c r="B15" i="16556"/>
  <c r="B14" i="16556"/>
  <c r="B11" i="16556"/>
  <c r="O11" i="16556"/>
  <c r="N11" i="16556"/>
  <c r="M11" i="16556"/>
  <c r="L11" i="16556"/>
  <c r="K11" i="16556"/>
  <c r="J11" i="16556"/>
  <c r="I11" i="16556"/>
  <c r="H11" i="16556"/>
  <c r="K2" i="16556"/>
  <c r="O26" i="16556"/>
  <c r="N26" i="16556"/>
  <c r="M26" i="16556"/>
  <c r="L26" i="16556"/>
  <c r="K26" i="16556"/>
  <c r="J26" i="16556"/>
  <c r="I26" i="16556"/>
  <c r="H26" i="16556"/>
  <c r="G26" i="16556"/>
  <c r="F26" i="16556"/>
  <c r="D26" i="16556"/>
  <c r="C26" i="16556"/>
  <c r="O25" i="16556"/>
  <c r="N25" i="16556"/>
  <c r="M25" i="16556"/>
  <c r="L25" i="16556"/>
  <c r="K25" i="16556"/>
  <c r="J25" i="16556"/>
  <c r="I25" i="16556"/>
  <c r="H25" i="16556"/>
  <c r="G25" i="16556"/>
  <c r="F25" i="16556"/>
  <c r="D25" i="16556"/>
  <c r="C25" i="16556"/>
  <c r="O24" i="16556"/>
  <c r="N24" i="16556"/>
  <c r="M24" i="16556"/>
  <c r="L24" i="16556"/>
  <c r="K24" i="16556"/>
  <c r="J24" i="16556"/>
  <c r="I24" i="16556"/>
  <c r="H24" i="16556"/>
  <c r="G24" i="16556"/>
  <c r="F24" i="16556"/>
  <c r="D24" i="16556"/>
  <c r="C24" i="16556"/>
  <c r="O23" i="16556"/>
  <c r="N23" i="16556"/>
  <c r="M23" i="16556"/>
  <c r="L23" i="16556"/>
  <c r="K23" i="16556"/>
  <c r="J23" i="16556"/>
  <c r="I23" i="16556"/>
  <c r="H23" i="16556"/>
  <c r="G23" i="16556"/>
  <c r="F23" i="16556"/>
  <c r="D23" i="16556"/>
  <c r="C23" i="16556"/>
  <c r="O22" i="16556"/>
  <c r="N22" i="16556"/>
  <c r="M22" i="16556"/>
  <c r="L22" i="16556"/>
  <c r="K22" i="16556"/>
  <c r="J22" i="16556"/>
  <c r="I22" i="16556"/>
  <c r="H22" i="16556"/>
  <c r="G22" i="16556"/>
  <c r="F22" i="16556"/>
  <c r="D22" i="16556"/>
  <c r="C22" i="16556"/>
  <c r="O21" i="16556"/>
  <c r="N21" i="16556"/>
  <c r="M21" i="16556"/>
  <c r="L21" i="16556"/>
  <c r="K21" i="16556"/>
  <c r="J21" i="16556"/>
  <c r="I21" i="16556"/>
  <c r="H21" i="16556"/>
  <c r="G21" i="16556"/>
  <c r="F21" i="16556"/>
  <c r="D21" i="16556"/>
  <c r="C21" i="16556"/>
  <c r="O20" i="16556"/>
  <c r="N20" i="16556"/>
  <c r="M20" i="16556"/>
  <c r="L20" i="16556"/>
  <c r="K20" i="16556"/>
  <c r="J20" i="16556"/>
  <c r="I20" i="16556"/>
  <c r="H20" i="16556"/>
  <c r="G20" i="16556"/>
  <c r="F20" i="16556"/>
  <c r="D20" i="16556"/>
  <c r="C20" i="16556"/>
  <c r="O19" i="16556"/>
  <c r="N19" i="16556"/>
  <c r="M19" i="16556"/>
  <c r="L19" i="16556"/>
  <c r="K19" i="16556"/>
  <c r="J19" i="16556"/>
  <c r="I19" i="16556"/>
  <c r="H19" i="16556"/>
  <c r="G19" i="16556"/>
  <c r="F19" i="16556"/>
  <c r="D19" i="16556"/>
  <c r="C19" i="16556"/>
  <c r="O18" i="16556"/>
  <c r="N18" i="16556"/>
  <c r="M18" i="16556"/>
  <c r="L18" i="16556"/>
  <c r="K18" i="16556"/>
  <c r="J18" i="16556"/>
  <c r="I18" i="16556"/>
  <c r="H18" i="16556"/>
  <c r="G18" i="16556"/>
  <c r="F18" i="16556"/>
  <c r="D18" i="16556"/>
  <c r="C18" i="16556"/>
  <c r="O17" i="16556"/>
  <c r="N17" i="16556"/>
  <c r="M17" i="16556"/>
  <c r="L17" i="16556"/>
  <c r="K17" i="16556"/>
  <c r="J17" i="16556"/>
  <c r="I17" i="16556"/>
  <c r="H17" i="16556"/>
  <c r="D17" i="16556"/>
  <c r="C17" i="16556"/>
  <c r="O16" i="16556"/>
  <c r="N16" i="16556"/>
  <c r="M16" i="16556"/>
  <c r="L16" i="16556"/>
  <c r="K16" i="16556"/>
  <c r="J16" i="16556"/>
  <c r="I16" i="16556"/>
  <c r="H16" i="16556"/>
  <c r="D16" i="16556"/>
  <c r="C16" i="16556"/>
  <c r="O15" i="16556"/>
  <c r="N15" i="16556"/>
  <c r="M15" i="16556"/>
  <c r="L15" i="16556"/>
  <c r="K15" i="16556"/>
  <c r="J15" i="16556"/>
  <c r="I15" i="16556"/>
  <c r="H15" i="16556"/>
  <c r="D15" i="16556"/>
  <c r="C15" i="16556"/>
  <c r="O14" i="16556"/>
  <c r="N14" i="16556"/>
  <c r="M14" i="16556"/>
  <c r="L14" i="16556"/>
  <c r="K14" i="16556"/>
  <c r="J14" i="16556"/>
  <c r="I14" i="16556"/>
  <c r="H14" i="16556"/>
  <c r="D14" i="16556"/>
  <c r="C14" i="16556"/>
  <c r="DF52" i="2" l="1"/>
  <c r="BH29" i="16556" s="1"/>
  <c r="BG29" i="1"/>
  <c r="DD52" i="2"/>
  <c r="BH29" i="1" s="1"/>
  <c r="CE32" i="16556"/>
  <c r="BE29" i="16556"/>
  <c r="DD79" i="2"/>
  <c r="CD29" i="1" s="1"/>
  <c r="DJ82" i="2"/>
  <c r="CG32" i="16556" s="1"/>
  <c r="DL82" i="2"/>
  <c r="CH32" i="16556" s="1"/>
  <c r="CB29" i="1"/>
  <c r="DF79" i="2"/>
  <c r="CD29" i="16556" s="1"/>
  <c r="CC29" i="1"/>
  <c r="CG32" i="1"/>
  <c r="DA51" i="2"/>
  <c r="BE28" i="16556" s="1"/>
  <c r="CA31" i="16556"/>
  <c r="DF81" i="2"/>
  <c r="DI81" i="2" s="1"/>
  <c r="CF31" i="16556" s="1"/>
  <c r="DD81" i="2"/>
  <c r="CC31" i="16556" s="1"/>
  <c r="CC31" i="1"/>
  <c r="DC51" i="2"/>
  <c r="DD51" i="2" s="1"/>
  <c r="BG28" i="16556" s="1"/>
  <c r="DI54" i="2"/>
  <c r="DJ54" i="2" s="1"/>
  <c r="BK31" i="16556" s="1"/>
  <c r="CB30" i="1"/>
  <c r="CA30" i="16556"/>
  <c r="DG55" i="2"/>
  <c r="BI32" i="16556" s="1"/>
  <c r="BH32" i="16556"/>
  <c r="DG53" i="2"/>
  <c r="BI30" i="16556" s="1"/>
  <c r="BH30" i="16556"/>
  <c r="DI53" i="2"/>
  <c r="DL53" i="2" s="1"/>
  <c r="DG54" i="2"/>
  <c r="BI31" i="16556" s="1"/>
  <c r="DC78" i="2"/>
  <c r="DA78" i="2"/>
  <c r="CA28" i="16556" s="1"/>
  <c r="DI55" i="2"/>
  <c r="CC30" i="1"/>
  <c r="DD80" i="2"/>
  <c r="DF80" i="2"/>
  <c r="CD30" i="16556" s="1"/>
  <c r="DM4" i="3"/>
  <c r="DN4" i="3" s="1"/>
  <c r="DO4" i="3"/>
  <c r="DP4" i="3" s="1"/>
  <c r="P42" i="1" s="1"/>
  <c r="DK4" i="3"/>
  <c r="DL4" i="3" s="1"/>
  <c r="ID33" i="2"/>
  <c r="CH32" i="1" l="1"/>
  <c r="DI52" i="2"/>
  <c r="DL52" i="2" s="1"/>
  <c r="BL29" i="16556" s="1"/>
  <c r="BI29" i="1"/>
  <c r="DG52" i="2"/>
  <c r="BJ29" i="1" s="1"/>
  <c r="BG29" i="16556"/>
  <c r="CC29" i="16556"/>
  <c r="DG79" i="2"/>
  <c r="CF29" i="1" s="1"/>
  <c r="CD31" i="1"/>
  <c r="CE31" i="1"/>
  <c r="DG81" i="2"/>
  <c r="CE31" i="16556" s="1"/>
  <c r="CE29" i="1"/>
  <c r="DI79" i="2"/>
  <c r="CF29" i="16556" s="1"/>
  <c r="CI32" i="1"/>
  <c r="CD31" i="16556"/>
  <c r="DM82" i="2"/>
  <c r="CJ32" i="1" s="1"/>
  <c r="DF51" i="2"/>
  <c r="DI51" i="2" s="1"/>
  <c r="DJ51" i="2" s="1"/>
  <c r="BK28" i="16556" s="1"/>
  <c r="BF28" i="16556"/>
  <c r="DL54" i="2"/>
  <c r="BL31" i="16556" s="1"/>
  <c r="BJ31" i="16556"/>
  <c r="DL81" i="2"/>
  <c r="CH31" i="16556" s="1"/>
  <c r="DM53" i="2"/>
  <c r="BM30" i="16556" s="1"/>
  <c r="BL30" i="16556"/>
  <c r="DJ53" i="2"/>
  <c r="BK30" i="16556" s="1"/>
  <c r="BJ30" i="16556"/>
  <c r="CD30" i="1"/>
  <c r="CC30" i="16556"/>
  <c r="DJ81" i="2"/>
  <c r="CG31" i="1"/>
  <c r="DD78" i="2"/>
  <c r="CC28" i="16556" s="1"/>
  <c r="CB28" i="16556"/>
  <c r="DJ55" i="2"/>
  <c r="BK32" i="16556" s="1"/>
  <c r="BJ32" i="16556"/>
  <c r="DL55" i="2"/>
  <c r="DF78" i="2"/>
  <c r="CD28" i="16556" s="1"/>
  <c r="DI80" i="2"/>
  <c r="CF30" i="16556" s="1"/>
  <c r="DG80" i="2"/>
  <c r="CE30" i="1"/>
  <c r="G27" i="2"/>
  <c r="DJ52" i="2" l="1"/>
  <c r="BL29" i="1" s="1"/>
  <c r="BI29" i="16556"/>
  <c r="DM52" i="2"/>
  <c r="BN29" i="1" s="1"/>
  <c r="BM29" i="1"/>
  <c r="BK29" i="1"/>
  <c r="BJ29" i="16556"/>
  <c r="CI32" i="16556"/>
  <c r="CE29" i="16556"/>
  <c r="CF31" i="1"/>
  <c r="DJ79" i="2"/>
  <c r="CG29" i="16556" s="1"/>
  <c r="CG29" i="1"/>
  <c r="DL79" i="2"/>
  <c r="CH29" i="16556" s="1"/>
  <c r="DL51" i="2"/>
  <c r="DM51" i="2" s="1"/>
  <c r="BM28" i="16556" s="1"/>
  <c r="BJ28" i="16556"/>
  <c r="BH28" i="16556"/>
  <c r="DG51" i="2"/>
  <c r="BI28" i="16556" s="1"/>
  <c r="DM54" i="2"/>
  <c r="BM31" i="16556" s="1"/>
  <c r="DM81" i="2"/>
  <c r="CI31" i="16556" s="1"/>
  <c r="CI31" i="1"/>
  <c r="DM55" i="2"/>
  <c r="BM32" i="16556" s="1"/>
  <c r="BL32" i="16556"/>
  <c r="CH31" i="1"/>
  <c r="CG31" i="16556"/>
  <c r="CF30" i="1"/>
  <c r="CE30" i="16556"/>
  <c r="DG78" i="2"/>
  <c r="CE28" i="16556" s="1"/>
  <c r="DI78" i="2"/>
  <c r="DL80" i="2"/>
  <c r="CH30" i="16556" s="1"/>
  <c r="DJ80" i="2"/>
  <c r="CG30" i="1"/>
  <c r="ID31" i="2"/>
  <c r="C73" i="1"/>
  <c r="BK29" i="16556" l="1"/>
  <c r="BM29" i="16556"/>
  <c r="CH29" i="1"/>
  <c r="CJ31" i="1"/>
  <c r="CI29" i="1"/>
  <c r="DM79" i="2"/>
  <c r="BL28" i="16556"/>
  <c r="CH30" i="1"/>
  <c r="CG30" i="16556"/>
  <c r="DJ78" i="2"/>
  <c r="CG28" i="16556" s="1"/>
  <c r="CF28" i="16556"/>
  <c r="DL78" i="2"/>
  <c r="CI30" i="1"/>
  <c r="DM80" i="2"/>
  <c r="ID15" i="2"/>
  <c r="K45" i="1"/>
  <c r="I45" i="1"/>
  <c r="CI29" i="16556" l="1"/>
  <c r="CJ29" i="1"/>
  <c r="DM78" i="2"/>
  <c r="CI28" i="16556" s="1"/>
  <c r="CH28" i="16556"/>
  <c r="CJ30" i="1"/>
  <c r="CI30" i="16556"/>
  <c r="ID29" i="2"/>
  <c r="DQ4" i="3" l="1"/>
  <c r="DR4" i="3" s="1"/>
  <c r="BO183" i="4" l="1"/>
  <c r="BO184" i="4"/>
  <c r="BO185" i="4"/>
  <c r="BO186" i="4"/>
  <c r="BO187" i="4"/>
  <c r="BO188" i="4"/>
  <c r="BO189" i="4"/>
  <c r="BO190" i="4"/>
  <c r="BO191" i="4"/>
  <c r="BO192" i="4"/>
  <c r="BO193" i="4"/>
  <c r="BO194" i="4"/>
  <c r="BO195" i="4"/>
  <c r="BO196" i="4"/>
  <c r="BO197" i="4"/>
  <c r="BO198" i="4"/>
  <c r="BO199" i="4"/>
  <c r="BO200" i="4"/>
  <c r="BO201" i="4"/>
  <c r="BO202" i="4"/>
  <c r="BO203" i="4"/>
  <c r="BO204" i="4"/>
  <c r="BO205" i="4"/>
  <c r="BO206" i="4"/>
  <c r="BO207" i="4"/>
  <c r="BO182" i="4"/>
  <c r="HT5" i="2" l="1"/>
  <c r="HI5" i="2"/>
  <c r="GX5" i="2"/>
  <c r="GC6" i="2" l="1"/>
  <c r="GD6" i="2" s="1"/>
  <c r="GC7" i="2"/>
  <c r="GD7" i="2" s="1"/>
  <c r="GC8" i="2"/>
  <c r="GD8" i="2" s="1"/>
  <c r="GC9" i="2"/>
  <c r="GD9" i="2" s="1"/>
  <c r="GC10" i="2"/>
  <c r="GD10" i="2" s="1"/>
  <c r="GC11" i="2"/>
  <c r="GD11" i="2" s="1"/>
  <c r="GC12" i="2"/>
  <c r="GD12" i="2" s="1"/>
  <c r="GC13" i="2"/>
  <c r="GD13" i="2" s="1"/>
  <c r="GC14" i="2"/>
  <c r="GD14" i="2" s="1"/>
  <c r="GC15" i="2"/>
  <c r="GD15" i="2" s="1"/>
  <c r="GC16" i="2"/>
  <c r="GD16" i="2" s="1"/>
  <c r="GC17" i="2"/>
  <c r="GD17" i="2" s="1"/>
  <c r="GC18" i="2"/>
  <c r="GD18" i="2" s="1"/>
  <c r="GC19" i="2"/>
  <c r="GD19" i="2" s="1"/>
  <c r="GC5" i="2"/>
  <c r="GD5" i="2" s="1"/>
  <c r="GB6" i="2"/>
  <c r="GE6" i="2" s="1"/>
  <c r="GB7" i="2"/>
  <c r="GE7" i="2" s="1"/>
  <c r="GB8" i="2"/>
  <c r="GE8" i="2" s="1"/>
  <c r="GB9" i="2"/>
  <c r="GE9" i="2" s="1"/>
  <c r="GB10" i="2"/>
  <c r="GE10" i="2" s="1"/>
  <c r="GB11" i="2"/>
  <c r="GE11" i="2" s="1"/>
  <c r="GB12" i="2"/>
  <c r="GE12" i="2" s="1"/>
  <c r="GB13" i="2"/>
  <c r="GE13" i="2" s="1"/>
  <c r="GB14" i="2"/>
  <c r="GE14" i="2" s="1"/>
  <c r="GB15" i="2"/>
  <c r="GE15" i="2" s="1"/>
  <c r="GB16" i="2"/>
  <c r="GE16" i="2" s="1"/>
  <c r="GB17" i="2"/>
  <c r="GE17" i="2" s="1"/>
  <c r="GB18" i="2"/>
  <c r="GE18" i="2" s="1"/>
  <c r="GB19" i="2"/>
  <c r="GE19" i="2" s="1"/>
  <c r="GB5" i="2"/>
  <c r="GE5" i="2" s="1"/>
  <c r="C52" i="2"/>
  <c r="C53" i="2" s="1"/>
  <c r="BH25" i="3"/>
  <c r="BF25" i="3"/>
  <c r="BD25" i="3"/>
  <c r="GF19" i="2" l="1"/>
  <c r="GF11" i="2"/>
  <c r="GF12" i="2"/>
  <c r="GF16" i="2"/>
  <c r="GF8" i="2"/>
  <c r="GF18" i="2"/>
  <c r="GF10" i="2"/>
  <c r="GF17" i="2"/>
  <c r="GF9" i="2"/>
  <c r="GF5" i="2"/>
  <c r="GF14" i="2"/>
  <c r="GF6" i="2"/>
  <c r="GF13" i="2"/>
  <c r="GF15" i="2"/>
  <c r="GF7" i="2"/>
  <c r="C69" i="2"/>
  <c r="C70" i="2" s="1"/>
  <c r="C61" i="2"/>
  <c r="GI14" i="2" l="1"/>
  <c r="GI11" i="2"/>
  <c r="GI16" i="2"/>
  <c r="GI17" i="2"/>
  <c r="GI18" i="2"/>
  <c r="GI21" i="2"/>
  <c r="GI6" i="2"/>
  <c r="GI24" i="2"/>
  <c r="GI8" i="2"/>
  <c r="GI22" i="2"/>
  <c r="GI19" i="2"/>
  <c r="GI9" i="2"/>
  <c r="GI5" i="2"/>
  <c r="GJ5" i="2" s="1"/>
  <c r="BQ85" i="4" s="1"/>
  <c r="GI10" i="2"/>
  <c r="GI12" i="2"/>
  <c r="GI7" i="2"/>
  <c r="GI20" i="2"/>
  <c r="GI23" i="2"/>
  <c r="GI15" i="2"/>
  <c r="GI13" i="2"/>
  <c r="C62" i="2"/>
  <c r="FT15" i="2"/>
  <c r="FT11" i="2"/>
  <c r="FR21" i="2"/>
  <c r="FQ21" i="2"/>
  <c r="FP21" i="2"/>
  <c r="FO21" i="2"/>
  <c r="FN21" i="2"/>
  <c r="FM21" i="2"/>
  <c r="FL21" i="2"/>
  <c r="FK21" i="2"/>
  <c r="FJ21" i="2"/>
  <c r="FR20" i="2"/>
  <c r="FQ20" i="2"/>
  <c r="FP20" i="2"/>
  <c r="FO20" i="2"/>
  <c r="FN20" i="2"/>
  <c r="FM20" i="2"/>
  <c r="FL20" i="2"/>
  <c r="FK20" i="2"/>
  <c r="FJ20" i="2"/>
  <c r="FR19" i="2"/>
  <c r="FQ19" i="2"/>
  <c r="FP19" i="2"/>
  <c r="FO19" i="2"/>
  <c r="FN19" i="2"/>
  <c r="FM19" i="2"/>
  <c r="FL19" i="2"/>
  <c r="FK19" i="2"/>
  <c r="FJ19" i="2"/>
  <c r="FT5" i="2"/>
  <c r="EP20" i="2"/>
  <c r="EP19" i="2"/>
  <c r="EP18" i="2"/>
  <c r="EP17" i="2"/>
  <c r="EP16" i="2"/>
  <c r="EP15" i="2"/>
  <c r="EP14" i="2"/>
  <c r="EP13" i="2"/>
  <c r="EP12" i="2"/>
  <c r="EP11" i="2"/>
  <c r="EP10" i="2"/>
  <c r="EP9" i="2"/>
  <c r="EP8" i="2"/>
  <c r="EP7" i="2"/>
  <c r="EP6" i="2"/>
  <c r="DX6" i="2"/>
  <c r="DX7" i="2"/>
  <c r="DX8" i="2"/>
  <c r="DX9" i="2"/>
  <c r="DX10" i="2"/>
  <c r="DX11" i="2"/>
  <c r="DX12" i="2"/>
  <c r="DX13" i="2"/>
  <c r="DX14" i="2"/>
  <c r="DX15" i="2"/>
  <c r="DX16" i="2"/>
  <c r="DX17" i="2"/>
  <c r="DX18" i="2"/>
  <c r="DX19" i="2"/>
  <c r="DX20" i="2"/>
  <c r="DX21" i="2"/>
  <c r="DX22" i="2"/>
  <c r="DX5" i="2"/>
  <c r="DS16" i="2"/>
  <c r="DS14" i="2"/>
  <c r="DS13" i="2"/>
  <c r="DS12" i="2"/>
  <c r="DS11" i="2"/>
  <c r="DS10" i="2"/>
  <c r="DS9" i="2"/>
  <c r="DS8" i="2"/>
  <c r="DS7" i="2"/>
  <c r="DS6" i="2"/>
  <c r="DS5" i="2"/>
  <c r="EN22" i="2" l="1"/>
  <c r="EN25" i="2"/>
  <c r="EN23" i="2"/>
  <c r="EN24" i="2"/>
  <c r="EN21" i="2"/>
  <c r="GJ6" i="2"/>
  <c r="GJ7" i="2" s="1"/>
  <c r="GJ8" i="2" s="1"/>
  <c r="GJ9" i="2" s="1"/>
  <c r="GJ10" i="2" s="1"/>
  <c r="GJ11" i="2" s="1"/>
  <c r="GJ12" i="2" s="1"/>
  <c r="GJ13" i="2" s="1"/>
  <c r="GJ14" i="2" s="1"/>
  <c r="GJ15" i="2" s="1"/>
  <c r="GJ16" i="2" s="1"/>
  <c r="GJ17" i="2" s="1"/>
  <c r="GJ18" i="2" s="1"/>
  <c r="GJ19" i="2" s="1"/>
  <c r="GJ20" i="2" s="1"/>
  <c r="BQ100" i="4" s="1"/>
  <c r="BN100" i="4" s="1"/>
  <c r="BO85" i="4"/>
  <c r="BR85" i="4"/>
  <c r="BN85" i="4"/>
  <c r="BM85" i="4" s="1"/>
  <c r="EM20" i="2"/>
  <c r="EM19" i="2"/>
  <c r="EM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M5" i="2"/>
  <c r="EG5" i="2"/>
  <c r="FS19" i="2" s="1"/>
  <c r="EO24" i="2" l="1"/>
  <c r="AF23" i="3"/>
  <c r="AG23" i="3" s="1"/>
  <c r="AF20" i="3"/>
  <c r="AG20" i="3" s="1"/>
  <c r="EO21" i="2"/>
  <c r="AF22" i="3"/>
  <c r="AG22" i="3" s="1"/>
  <c r="EO23" i="2"/>
  <c r="AF24" i="3"/>
  <c r="AG24" i="3" s="1"/>
  <c r="EO25" i="2"/>
  <c r="AF21" i="3"/>
  <c r="AG21" i="3" s="1"/>
  <c r="EO22" i="2"/>
  <c r="BQ86" i="4"/>
  <c r="BO86" i="4" s="1"/>
  <c r="BO100" i="4"/>
  <c r="BS100" i="4" s="1"/>
  <c r="BR100" i="4"/>
  <c r="GJ21" i="2"/>
  <c r="BQ101" i="4" s="1"/>
  <c r="BN101" i="4" s="1"/>
  <c r="BT100" i="4"/>
  <c r="BM100" i="4"/>
  <c r="BU100" i="4"/>
  <c r="BU85" i="4"/>
  <c r="BQ87" i="4"/>
  <c r="BT85" i="4"/>
  <c r="BS85" i="4"/>
  <c r="EJ20" i="2"/>
  <c r="EK20" i="2" s="1"/>
  <c r="EJ19" i="2"/>
  <c r="EK19" i="2" s="1"/>
  <c r="EJ18" i="2"/>
  <c r="EK18" i="2" s="1"/>
  <c r="EJ17" i="2"/>
  <c r="EK17" i="2" s="1"/>
  <c r="EJ16" i="2"/>
  <c r="EK16" i="2" s="1"/>
  <c r="EJ15" i="2"/>
  <c r="EK15" i="2" s="1"/>
  <c r="EJ14" i="2"/>
  <c r="EK14" i="2" s="1"/>
  <c r="EJ13" i="2"/>
  <c r="EK13" i="2" s="1"/>
  <c r="EJ12" i="2"/>
  <c r="EK12" i="2" s="1"/>
  <c r="EJ11" i="2"/>
  <c r="EK11" i="2" s="1"/>
  <c r="EJ10" i="2"/>
  <c r="EK10" i="2" s="1"/>
  <c r="EJ9" i="2"/>
  <c r="EK9" i="2" s="1"/>
  <c r="EJ8" i="2"/>
  <c r="EK8" i="2" s="1"/>
  <c r="EJ7" i="2"/>
  <c r="EK7" i="2" s="1"/>
  <c r="EJ6" i="2"/>
  <c r="EK6" i="2" s="1"/>
  <c r="EP5" i="2"/>
  <c r="EJ5" i="2"/>
  <c r="EH5" i="2"/>
  <c r="ER21" i="2" l="1"/>
  <c r="EV21" i="2" s="1"/>
  <c r="EQ21" i="2"/>
  <c r="ER25" i="2"/>
  <c r="EV25" i="2" s="1"/>
  <c r="EQ25" i="2"/>
  <c r="EQ23" i="2"/>
  <c r="ER23" i="2"/>
  <c r="EV23" i="2" s="1"/>
  <c r="ER22" i="2"/>
  <c r="EV22" i="2" s="1"/>
  <c r="EQ22" i="2"/>
  <c r="ES22" i="2" s="1"/>
  <c r="EQ24" i="2"/>
  <c r="ER24" i="2"/>
  <c r="EV24" i="2" s="1"/>
  <c r="BR86" i="4"/>
  <c r="BN86" i="4"/>
  <c r="BM86" i="4" s="1"/>
  <c r="BR101" i="4"/>
  <c r="GJ22" i="2"/>
  <c r="BO101" i="4"/>
  <c r="BS101" i="4"/>
  <c r="BU101" i="4"/>
  <c r="BM101" i="4"/>
  <c r="BT101" i="4"/>
  <c r="BO87" i="4"/>
  <c r="BR87" i="4"/>
  <c r="BN87" i="4"/>
  <c r="BM87" i="4" s="1"/>
  <c r="EL19" i="2"/>
  <c r="EL11" i="2"/>
  <c r="EL18" i="2"/>
  <c r="EL10" i="2"/>
  <c r="EL15" i="2"/>
  <c r="EL7" i="2"/>
  <c r="EL14" i="2"/>
  <c r="EL6" i="2"/>
  <c r="EL8" i="2"/>
  <c r="EL12" i="2"/>
  <c r="EL9" i="2"/>
  <c r="EL16" i="2"/>
  <c r="EL13" i="2"/>
  <c r="EK5" i="2"/>
  <c r="EL17" i="2"/>
  <c r="EL20" i="2"/>
  <c r="ES21" i="2" l="1"/>
  <c r="FA21" i="2" s="1"/>
  <c r="ES25" i="2"/>
  <c r="EZ25" i="2" s="1"/>
  <c r="EY22" i="2"/>
  <c r="FA22" i="2"/>
  <c r="EZ22" i="2"/>
  <c r="FE22" i="2"/>
  <c r="FB22" i="2"/>
  <c r="S29" i="1"/>
  <c r="R29" i="1" s="1"/>
  <c r="FC22" i="2"/>
  <c r="EX22" i="2"/>
  <c r="FD22" i="2"/>
  <c r="EW22" i="2"/>
  <c r="ES23" i="2"/>
  <c r="ES24" i="2"/>
  <c r="BQ102" i="4"/>
  <c r="BO102" i="4" s="1"/>
  <c r="GJ23" i="2"/>
  <c r="BU86" i="4"/>
  <c r="BS86" i="4"/>
  <c r="BT86" i="4"/>
  <c r="BS87" i="4"/>
  <c r="BT87" i="4"/>
  <c r="BU87" i="4"/>
  <c r="BQ88" i="4"/>
  <c r="BQ89" i="4"/>
  <c r="BO89" i="4" s="1"/>
  <c r="EL5" i="2"/>
  <c r="DA4" i="3"/>
  <c r="DB4" i="3" s="1"/>
  <c r="CW4" i="3"/>
  <c r="CX4" i="3" s="1"/>
  <c r="CU4" i="3"/>
  <c r="CV4" i="3" s="1"/>
  <c r="EY21" i="2" l="1"/>
  <c r="EZ21" i="2"/>
  <c r="FB21" i="2"/>
  <c r="S28" i="1"/>
  <c r="R28" i="1" s="1"/>
  <c r="FC21" i="2"/>
  <c r="FD21" i="2"/>
  <c r="EW21" i="2"/>
  <c r="EX21" i="2"/>
  <c r="FE21" i="2"/>
  <c r="EX25" i="2"/>
  <c r="FC25" i="2"/>
  <c r="FE25" i="2"/>
  <c r="EY25" i="2"/>
  <c r="FD25" i="2"/>
  <c r="EW25" i="2"/>
  <c r="FB25" i="2"/>
  <c r="S32" i="1"/>
  <c r="R32" i="1" s="1"/>
  <c r="FA25" i="2"/>
  <c r="S30" i="1"/>
  <c r="R30" i="1" s="1"/>
  <c r="FA23" i="2"/>
  <c r="EW23" i="2"/>
  <c r="FE23" i="2"/>
  <c r="FD23" i="2"/>
  <c r="FC23" i="2"/>
  <c r="EX23" i="2"/>
  <c r="EZ23" i="2"/>
  <c r="FB23" i="2"/>
  <c r="EY23" i="2"/>
  <c r="S31" i="1"/>
  <c r="R31" i="1" s="1"/>
  <c r="FE24" i="2"/>
  <c r="EY24" i="2"/>
  <c r="FB24" i="2"/>
  <c r="EW24" i="2"/>
  <c r="FA24" i="2"/>
  <c r="EX24" i="2"/>
  <c r="EZ24" i="2"/>
  <c r="FC24" i="2"/>
  <c r="FD24" i="2"/>
  <c r="BN102" i="4"/>
  <c r="BU102" i="4" s="1"/>
  <c r="BR102" i="4"/>
  <c r="BQ103" i="4"/>
  <c r="GJ24" i="2"/>
  <c r="BQ104" i="4" s="1"/>
  <c r="BO88" i="4"/>
  <c r="BR89" i="4"/>
  <c r="BN89" i="4"/>
  <c r="BM89" i="4" s="1"/>
  <c r="BR88" i="4"/>
  <c r="BN88" i="4"/>
  <c r="BM88" i="4" s="1"/>
  <c r="BQ90" i="4"/>
  <c r="BO90" i="4" s="1"/>
  <c r="BS102" i="4" l="1"/>
  <c r="BM102" i="4"/>
  <c r="BT102" i="4"/>
  <c r="BO104" i="4"/>
  <c r="BR104" i="4"/>
  <c r="BN104" i="4"/>
  <c r="BN103" i="4"/>
  <c r="BR103" i="4"/>
  <c r="BO103" i="4"/>
  <c r="BR90" i="4"/>
  <c r="BN90" i="4"/>
  <c r="BM90" i="4" s="1"/>
  <c r="BS88" i="4"/>
  <c r="BT88" i="4"/>
  <c r="BU88" i="4"/>
  <c r="BU89" i="4"/>
  <c r="BS89" i="4"/>
  <c r="BT89" i="4"/>
  <c r="BQ91" i="4"/>
  <c r="BU103" i="4" l="1"/>
  <c r="BM103" i="4"/>
  <c r="BT103" i="4"/>
  <c r="BS103" i="4"/>
  <c r="BU104" i="4"/>
  <c r="BS104" i="4"/>
  <c r="BT104" i="4"/>
  <c r="BM104" i="4"/>
  <c r="BO91" i="4"/>
  <c r="BR91" i="4"/>
  <c r="BN91" i="4"/>
  <c r="BM91" i="4" s="1"/>
  <c r="BS90" i="4"/>
  <c r="BT90" i="4"/>
  <c r="BU90" i="4"/>
  <c r="BQ92" i="4"/>
  <c r="C85" i="2"/>
  <c r="BK16" i="2"/>
  <c r="BJ16" i="2"/>
  <c r="BI16" i="2"/>
  <c r="BH16" i="2"/>
  <c r="BK15" i="2"/>
  <c r="BJ15" i="2"/>
  <c r="BI15" i="2"/>
  <c r="BH15" i="2"/>
  <c r="BH9" i="2"/>
  <c r="BI9" i="2"/>
  <c r="BJ9" i="2"/>
  <c r="BK9" i="2"/>
  <c r="BH10" i="2"/>
  <c r="BI10" i="2"/>
  <c r="BJ10" i="2"/>
  <c r="BK10" i="2"/>
  <c r="D83" i="2"/>
  <c r="D84" i="2"/>
  <c r="D82" i="2"/>
  <c r="FU13" i="4"/>
  <c r="FU9" i="4"/>
  <c r="FU3" i="4"/>
  <c r="BO92" i="4" l="1"/>
  <c r="BR92" i="4"/>
  <c r="BN92" i="4"/>
  <c r="BM92" i="4" s="1"/>
  <c r="BQ93" i="4"/>
  <c r="BT91" i="4"/>
  <c r="BU91" i="4"/>
  <c r="BS91" i="4"/>
  <c r="D85" i="2"/>
  <c r="U25" i="16556"/>
  <c r="T25" i="16556"/>
  <c r="S25" i="16556"/>
  <c r="U21" i="16556"/>
  <c r="T21" i="16556"/>
  <c r="S21" i="16556"/>
  <c r="U20" i="16556"/>
  <c r="T20" i="16556"/>
  <c r="S20" i="16556"/>
  <c r="AQ12" i="16556"/>
  <c r="AP12" i="16556"/>
  <c r="AO12" i="16556"/>
  <c r="AN12" i="16556"/>
  <c r="AM12" i="16556"/>
  <c r="AL12" i="16556"/>
  <c r="AK12" i="16556"/>
  <c r="AJ12" i="16556"/>
  <c r="AI12" i="16556"/>
  <c r="AH12" i="16556"/>
  <c r="AG12" i="16556"/>
  <c r="AF12" i="16556"/>
  <c r="AE12" i="16556"/>
  <c r="AD12" i="16556"/>
  <c r="AC12" i="16556"/>
  <c r="AB12" i="16556"/>
  <c r="AQ11" i="16556"/>
  <c r="AP11" i="16556"/>
  <c r="AO11" i="16556"/>
  <c r="AN11" i="16556"/>
  <c r="AM11" i="16556"/>
  <c r="AL11" i="16556"/>
  <c r="AK11" i="16556"/>
  <c r="AJ11" i="16556"/>
  <c r="AI11" i="16556"/>
  <c r="AH11" i="16556"/>
  <c r="AG11" i="16556"/>
  <c r="AF11" i="16556"/>
  <c r="AE11" i="16556"/>
  <c r="AD11" i="16556"/>
  <c r="AC11" i="16556"/>
  <c r="AB11" i="16556"/>
  <c r="AA11" i="16556"/>
  <c r="Z11" i="16556"/>
  <c r="AZ25" i="3"/>
  <c r="P43" i="1"/>
  <c r="P36" i="1"/>
  <c r="G1" i="4"/>
  <c r="H1" i="4" s="1"/>
  <c r="I1" i="4"/>
  <c r="J1" i="4" s="1"/>
  <c r="BO93" i="4" l="1"/>
  <c r="BR93" i="4"/>
  <c r="BN93" i="4"/>
  <c r="BM93" i="4" s="1"/>
  <c r="BS92" i="4"/>
  <c r="BU92" i="4"/>
  <c r="BT92" i="4"/>
  <c r="BQ94" i="4"/>
  <c r="BO94" i="4" s="1"/>
  <c r="BR94" i="4" l="1"/>
  <c r="BN94" i="4"/>
  <c r="BM94" i="4" s="1"/>
  <c r="BQ95" i="4"/>
  <c r="BO95" i="4" s="1"/>
  <c r="BS93" i="4"/>
  <c r="BT93" i="4"/>
  <c r="BU93" i="4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BR95" i="4" l="1"/>
  <c r="BN95" i="4"/>
  <c r="BM95" i="4" s="1"/>
  <c r="BQ96" i="4"/>
  <c r="BO96" i="4" s="1"/>
  <c r="BS94" i="4"/>
  <c r="BT94" i="4"/>
  <c r="BU94" i="4"/>
  <c r="F96" i="2"/>
  <c r="BR96" i="4" l="1"/>
  <c r="BN96" i="4"/>
  <c r="BM96" i="4" s="1"/>
  <c r="BS95" i="4"/>
  <c r="BU95" i="4"/>
  <c r="BT95" i="4"/>
  <c r="BQ97" i="4"/>
  <c r="BO97" i="4" s="1"/>
  <c r="X25" i="3"/>
  <c r="BR97" i="4" l="1"/>
  <c r="BN97" i="4"/>
  <c r="BM97" i="4" s="1"/>
  <c r="BQ98" i="4"/>
  <c r="BO98" i="4" s="1"/>
  <c r="BQ99" i="4"/>
  <c r="BO99" i="4" s="1"/>
  <c r="BU96" i="4"/>
  <c r="BS96" i="4"/>
  <c r="BT96" i="4"/>
  <c r="F27" i="2"/>
  <c r="BR99" i="4" l="1"/>
  <c r="BN99" i="4"/>
  <c r="BM99" i="4" s="1"/>
  <c r="BR98" i="4"/>
  <c r="BN98" i="4"/>
  <c r="BM98" i="4" s="1"/>
  <c r="BT97" i="4"/>
  <c r="BU97" i="4"/>
  <c r="BS97" i="4"/>
  <c r="AN5" i="2"/>
  <c r="AM5" i="2"/>
  <c r="AP5" i="2"/>
  <c r="AO5" i="2"/>
  <c r="H23" i="2" l="1"/>
  <c r="H24" i="2"/>
  <c r="H26" i="2"/>
  <c r="H25" i="2"/>
  <c r="H22" i="2"/>
  <c r="GP5" i="2"/>
  <c r="GP24" i="2"/>
  <c r="GP20" i="2"/>
  <c r="GP19" i="2"/>
  <c r="GP16" i="2"/>
  <c r="GP18" i="2"/>
  <c r="GP15" i="2"/>
  <c r="GP17" i="2"/>
  <c r="BT99" i="4"/>
  <c r="BS99" i="4"/>
  <c r="BU99" i="4"/>
  <c r="BU98" i="4"/>
  <c r="BT98" i="4"/>
  <c r="BS98" i="4"/>
  <c r="BH4" i="3"/>
  <c r="BI4" i="3" s="1"/>
  <c r="BU105" i="4" l="1"/>
  <c r="BS105" i="4"/>
  <c r="BT105" i="4"/>
  <c r="BB25" i="3"/>
  <c r="Z25" i="3"/>
  <c r="AD25" i="3"/>
  <c r="AF25" i="3"/>
  <c r="AH25" i="3"/>
  <c r="AJ25" i="3"/>
  <c r="AL25" i="3"/>
  <c r="AR25" i="3"/>
  <c r="AT25" i="3"/>
  <c r="AV25" i="3"/>
  <c r="AX25" i="3"/>
  <c r="AB25" i="3"/>
  <c r="BV4" i="3" l="1"/>
  <c r="BV6" i="3"/>
  <c r="BW6" i="3"/>
  <c r="BX6" i="3"/>
  <c r="BV7" i="3"/>
  <c r="BW7" i="3"/>
  <c r="BX7" i="3"/>
  <c r="BV8" i="3"/>
  <c r="BW8" i="3"/>
  <c r="BX8" i="3"/>
  <c r="BV9" i="3"/>
  <c r="BW9" i="3"/>
  <c r="BX9" i="3"/>
  <c r="BV10" i="3"/>
  <c r="BW10" i="3"/>
  <c r="BX10" i="3"/>
  <c r="BV11" i="3"/>
  <c r="BW11" i="3"/>
  <c r="BX11" i="3"/>
  <c r="BV12" i="3"/>
  <c r="BW12" i="3"/>
  <c r="BX12" i="3"/>
  <c r="BV13" i="3"/>
  <c r="BW13" i="3"/>
  <c r="BX13" i="3"/>
  <c r="BV14" i="3"/>
  <c r="BW14" i="3"/>
  <c r="BX14" i="3"/>
  <c r="BV15" i="3"/>
  <c r="BW15" i="3"/>
  <c r="BX15" i="3"/>
  <c r="BV16" i="3"/>
  <c r="BW16" i="3"/>
  <c r="BX16" i="3"/>
  <c r="BV17" i="3"/>
  <c r="BW17" i="3"/>
  <c r="BX17" i="3"/>
  <c r="BV18" i="3"/>
  <c r="BW18" i="3"/>
  <c r="BX18" i="3"/>
  <c r="BV19" i="3"/>
  <c r="BW19" i="3"/>
  <c r="BX19" i="3"/>
  <c r="BX5" i="3"/>
  <c r="BW5" i="3"/>
  <c r="BV5" i="3"/>
  <c r="BY6" i="3"/>
  <c r="BZ6" i="3"/>
  <c r="CA6" i="3"/>
  <c r="BY7" i="3"/>
  <c r="BZ7" i="3"/>
  <c r="CA7" i="3"/>
  <c r="BY8" i="3"/>
  <c r="BZ8" i="3"/>
  <c r="CA8" i="3"/>
  <c r="BY9" i="3"/>
  <c r="BZ9" i="3"/>
  <c r="CA9" i="3"/>
  <c r="BY10" i="3"/>
  <c r="BZ10" i="3"/>
  <c r="CA10" i="3"/>
  <c r="BY11" i="3"/>
  <c r="BZ11" i="3"/>
  <c r="CA11" i="3"/>
  <c r="BY12" i="3"/>
  <c r="BZ12" i="3"/>
  <c r="CA12" i="3"/>
  <c r="BY13" i="3"/>
  <c r="BZ13" i="3"/>
  <c r="CA13" i="3"/>
  <c r="BY14" i="3"/>
  <c r="BZ14" i="3"/>
  <c r="CA14" i="3"/>
  <c r="BY15" i="3"/>
  <c r="BZ15" i="3"/>
  <c r="CA15" i="3"/>
  <c r="BY16" i="3"/>
  <c r="BZ16" i="3"/>
  <c r="CA16" i="3"/>
  <c r="BY17" i="3"/>
  <c r="BZ17" i="3"/>
  <c r="CA17" i="3"/>
  <c r="BY18" i="3"/>
  <c r="BZ18" i="3"/>
  <c r="CA18" i="3"/>
  <c r="BY19" i="3"/>
  <c r="BZ19" i="3"/>
  <c r="CA19" i="3"/>
  <c r="CA5" i="3"/>
  <c r="BZ5" i="3"/>
  <c r="BY5" i="3"/>
  <c r="BZ4" i="3"/>
  <c r="CA4" i="3"/>
  <c r="BY4" i="3"/>
  <c r="BW4" i="3"/>
  <c r="BX4" i="3"/>
  <c r="C1" i="4"/>
  <c r="A12" i="4"/>
  <c r="A4" i="4"/>
  <c r="A5" i="4"/>
  <c r="A6" i="4"/>
  <c r="A7" i="4"/>
  <c r="A8" i="4"/>
  <c r="A9" i="4"/>
  <c r="A10" i="4"/>
  <c r="A11" i="4"/>
  <c r="A3" i="4"/>
  <c r="B1" i="4"/>
  <c r="D1" i="4"/>
  <c r="DS13" i="4"/>
  <c r="DS4" i="4"/>
  <c r="DS5" i="4"/>
  <c r="DS6" i="4"/>
  <c r="DS7" i="4"/>
  <c r="DS8" i="4"/>
  <c r="DS9" i="4"/>
  <c r="DS10" i="4"/>
  <c r="DS11" i="4"/>
  <c r="DS12" i="4"/>
  <c r="DS3" i="4"/>
  <c r="DX16" i="4"/>
  <c r="DX15" i="4"/>
  <c r="DX17" i="4"/>
  <c r="DX18" i="4"/>
  <c r="DX19" i="4"/>
  <c r="DX20" i="4"/>
  <c r="DX4" i="4"/>
  <c r="DX5" i="4"/>
  <c r="DX6" i="4"/>
  <c r="DX7" i="4"/>
  <c r="DX8" i="4"/>
  <c r="DX9" i="4"/>
  <c r="DX10" i="4"/>
  <c r="DX11" i="4"/>
  <c r="DX12" i="4"/>
  <c r="DX13" i="4"/>
  <c r="DX14" i="4"/>
  <c r="DX3" i="4"/>
  <c r="CC18" i="3" l="1"/>
  <c r="CD15" i="3"/>
  <c r="CD5" i="3"/>
  <c r="CD4" i="3"/>
  <c r="CB13" i="3"/>
  <c r="CD6" i="3"/>
  <c r="CC6" i="3"/>
  <c r="CD7" i="3"/>
  <c r="CC10" i="3"/>
  <c r="CC5" i="3"/>
  <c r="CD17" i="3"/>
  <c r="CB15" i="3"/>
  <c r="CC12" i="3"/>
  <c r="CC19" i="3"/>
  <c r="CD16" i="3"/>
  <c r="CC11" i="3"/>
  <c r="CD8" i="3"/>
  <c r="CC17" i="3"/>
  <c r="CD14" i="3"/>
  <c r="CB12" i="3"/>
  <c r="CB19" i="3"/>
  <c r="CC16" i="3"/>
  <c r="CD13" i="3"/>
  <c r="CB11" i="3"/>
  <c r="CC8" i="3"/>
  <c r="CD19" i="3"/>
  <c r="CB17" i="3"/>
  <c r="CC14" i="3"/>
  <c r="CD11" i="3"/>
  <c r="CD18" i="3"/>
  <c r="CB16" i="3"/>
  <c r="CD10" i="3"/>
  <c r="CB18" i="3"/>
  <c r="CC15" i="3"/>
  <c r="CD12" i="3"/>
  <c r="CB10" i="3"/>
  <c r="CB6" i="3"/>
  <c r="CB14" i="3"/>
  <c r="CB8" i="3"/>
  <c r="CD9" i="3"/>
  <c r="CC13" i="3"/>
  <c r="CC9" i="3"/>
  <c r="CC7" i="3"/>
  <c r="CB7" i="3"/>
  <c r="CB9" i="3"/>
  <c r="CC4" i="3"/>
  <c r="CB5" i="3"/>
  <c r="CB4" i="3"/>
  <c r="E1" i="4"/>
  <c r="DL4" i="4"/>
  <c r="DL5" i="4"/>
  <c r="DL6" i="4"/>
  <c r="DL7" i="4"/>
  <c r="DL8" i="4"/>
  <c r="DL9" i="4"/>
  <c r="DL10" i="4"/>
  <c r="DL11" i="4"/>
  <c r="DL12" i="4"/>
  <c r="DL13" i="4"/>
  <c r="DL14" i="4"/>
  <c r="DL15" i="4"/>
  <c r="DL16" i="4"/>
  <c r="DL17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3" i="4"/>
  <c r="CE16" i="3" l="1"/>
  <c r="CF17" i="3"/>
  <c r="CF11" i="3"/>
  <c r="CE17" i="3"/>
  <c r="CE15" i="3"/>
  <c r="CE19" i="3"/>
  <c r="CF15" i="3"/>
  <c r="CF19" i="3"/>
  <c r="CF14" i="3"/>
  <c r="CF18" i="3"/>
  <c r="CF16" i="3"/>
  <c r="CE6" i="3"/>
  <c r="CF5" i="3"/>
  <c r="CE12" i="3"/>
  <c r="CE14" i="3"/>
  <c r="CF12" i="3"/>
  <c r="CF4" i="3"/>
  <c r="CF10" i="3"/>
  <c r="CE8" i="3"/>
  <c r="CE10" i="3"/>
  <c r="CF8" i="3"/>
  <c r="CE11" i="3"/>
  <c r="CE13" i="3"/>
  <c r="CF6" i="3"/>
  <c r="CE18" i="3"/>
  <c r="CF13" i="3"/>
  <c r="CE9" i="3"/>
  <c r="CE4" i="3"/>
  <c r="CE7" i="3"/>
  <c r="CF9" i="3"/>
  <c r="CF7" i="3"/>
  <c r="CE5" i="3"/>
  <c r="BR22" i="3"/>
  <c r="BR21" i="3"/>
  <c r="BR20" i="3"/>
  <c r="BR19" i="3"/>
  <c r="BR18" i="3"/>
  <c r="BR17" i="3"/>
  <c r="BR16" i="3"/>
  <c r="BR15" i="3"/>
  <c r="BR14" i="3"/>
  <c r="BR13" i="3"/>
  <c r="BR12" i="3"/>
  <c r="BR11" i="3"/>
  <c r="BR10" i="3"/>
  <c r="BR9" i="3"/>
  <c r="BR8" i="3"/>
  <c r="BR7" i="3"/>
  <c r="BR6" i="3"/>
  <c r="BR5" i="3"/>
  <c r="AV4" i="3" l="1"/>
  <c r="AW4" i="3" s="1"/>
  <c r="AV16" i="3"/>
  <c r="AW16" i="3" s="1"/>
  <c r="AV18" i="3"/>
  <c r="AW18" i="3" s="1"/>
  <c r="AV17" i="3"/>
  <c r="AW17" i="3" s="1"/>
  <c r="AV11" i="3"/>
  <c r="AW11" i="3" s="1"/>
  <c r="AV15" i="3"/>
  <c r="AW15" i="3" s="1"/>
  <c r="AV19" i="3"/>
  <c r="AW19" i="3" s="1"/>
  <c r="AV14" i="3"/>
  <c r="AW14" i="3" s="1"/>
  <c r="AV9" i="3"/>
  <c r="AW9" i="3" s="1"/>
  <c r="AV6" i="3"/>
  <c r="AW6" i="3" s="1"/>
  <c r="AV12" i="3"/>
  <c r="AW12" i="3" s="1"/>
  <c r="AV5" i="3"/>
  <c r="AW5" i="3" s="1"/>
  <c r="AV7" i="3"/>
  <c r="AW7" i="3" s="1"/>
  <c r="AV8" i="3"/>
  <c r="AW8" i="3" s="1"/>
  <c r="AV10" i="3"/>
  <c r="AW10" i="3" s="1"/>
  <c r="AV13" i="3"/>
  <c r="AW13" i="3" s="1"/>
  <c r="BT10" i="3"/>
  <c r="BT7" i="3"/>
  <c r="BT6" i="3"/>
  <c r="BT8" i="3"/>
  <c r="BT11" i="3"/>
  <c r="BT12" i="3"/>
  <c r="BT13" i="3"/>
  <c r="BT15" i="3"/>
  <c r="BT16" i="3"/>
  <c r="BT18" i="3"/>
  <c r="BT19" i="3"/>
  <c r="BT5" i="3"/>
  <c r="BT22" i="3"/>
  <c r="BT21" i="3"/>
  <c r="BT14" i="3"/>
  <c r="BT17" i="3"/>
  <c r="BT20" i="3"/>
  <c r="BT9" i="3"/>
  <c r="AJ253" i="4"/>
  <c r="AJ273" i="4"/>
  <c r="AJ274" i="4"/>
  <c r="AJ275" i="4"/>
  <c r="AJ276" i="4"/>
  <c r="AJ294" i="4"/>
  <c r="AJ295" i="4"/>
  <c r="AJ296" i="4"/>
  <c r="AJ297" i="4"/>
  <c r="AJ298" i="4"/>
  <c r="AJ299" i="4"/>
  <c r="AJ292" i="4"/>
  <c r="AJ291" i="4"/>
  <c r="AJ290" i="4"/>
  <c r="AJ289" i="4"/>
  <c r="AJ288" i="4"/>
  <c r="AJ287" i="4"/>
  <c r="AJ286" i="4"/>
  <c r="AJ285" i="4"/>
  <c r="AJ266" i="4"/>
  <c r="AJ265" i="4"/>
  <c r="AJ260" i="4"/>
  <c r="AJ261" i="4"/>
  <c r="AJ262" i="4"/>
  <c r="AJ263" i="4"/>
  <c r="AJ264" i="4"/>
  <c r="AJ267" i="4"/>
  <c r="AJ268" i="4"/>
  <c r="AJ269" i="4"/>
  <c r="AJ270" i="4"/>
  <c r="AJ271" i="4"/>
  <c r="AJ272" i="4"/>
  <c r="AJ277" i="4"/>
  <c r="AJ278" i="4"/>
  <c r="AJ279" i="4"/>
  <c r="AJ280" i="4"/>
  <c r="AJ281" i="4"/>
  <c r="AJ282" i="4"/>
  <c r="AJ283" i="4"/>
  <c r="AJ284" i="4"/>
  <c r="AJ293" i="4"/>
  <c r="AJ300" i="4"/>
  <c r="AJ301" i="4"/>
  <c r="AJ302" i="4"/>
  <c r="AJ303" i="4"/>
  <c r="AJ304" i="4"/>
  <c r="AJ305" i="4"/>
  <c r="AJ306" i="4"/>
  <c r="B27" i="3"/>
  <c r="B35" i="2" s="1"/>
  <c r="BW8" i="4"/>
  <c r="C35" i="2" l="1"/>
  <c r="BB4" i="3"/>
  <c r="BC4" i="3" s="1"/>
  <c r="BT4" i="4"/>
  <c r="AJ5" i="4" l="1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4" i="4"/>
  <c r="AJ255" i="4"/>
  <c r="AJ256" i="4"/>
  <c r="AJ257" i="4"/>
  <c r="AJ258" i="4"/>
  <c r="AJ259" i="4"/>
  <c r="AO3" i="4"/>
  <c r="AO4" i="4"/>
  <c r="AO5" i="4"/>
  <c r="AO6" i="4"/>
  <c r="AO7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O80" i="4"/>
  <c r="AO81" i="4"/>
  <c r="AO82" i="4"/>
  <c r="AO83" i="4"/>
  <c r="AO84" i="4"/>
  <c r="AO85" i="4"/>
  <c r="AO86" i="4"/>
  <c r="AO87" i="4"/>
  <c r="AO88" i="4"/>
  <c r="AO89" i="4"/>
  <c r="AO90" i="4"/>
  <c r="AO91" i="4"/>
  <c r="AO92" i="4"/>
  <c r="AO93" i="4"/>
  <c r="AO94" i="4"/>
  <c r="AO95" i="4"/>
  <c r="AO96" i="4"/>
  <c r="AO97" i="4"/>
  <c r="AO98" i="4"/>
  <c r="AO99" i="4"/>
  <c r="AO100" i="4"/>
  <c r="AO101" i="4"/>
  <c r="AO102" i="4"/>
  <c r="AO103" i="4"/>
  <c r="AO104" i="4"/>
  <c r="AO105" i="4"/>
  <c r="AO106" i="4"/>
  <c r="AO107" i="4"/>
  <c r="AO108" i="4"/>
  <c r="AO109" i="4"/>
  <c r="AO110" i="4"/>
  <c r="AO111" i="4"/>
  <c r="AO112" i="4"/>
  <c r="AO113" i="4"/>
  <c r="AO114" i="4"/>
  <c r="AO115" i="4"/>
  <c r="AO116" i="4"/>
  <c r="AO117" i="4"/>
  <c r="AO118" i="4"/>
  <c r="AO119" i="4"/>
  <c r="AO120" i="4"/>
  <c r="AO121" i="4"/>
  <c r="AO122" i="4"/>
  <c r="AO123" i="4"/>
  <c r="AO124" i="4"/>
  <c r="AO125" i="4"/>
  <c r="AO126" i="4"/>
  <c r="AO127" i="4"/>
  <c r="AO128" i="4"/>
  <c r="AO129" i="4"/>
  <c r="AO130" i="4"/>
  <c r="AO131" i="4"/>
  <c r="AO132" i="4"/>
  <c r="AO133" i="4"/>
  <c r="AO134" i="4"/>
  <c r="AO135" i="4"/>
  <c r="AO136" i="4"/>
  <c r="AO137" i="4"/>
  <c r="AO138" i="4"/>
  <c r="AO139" i="4"/>
  <c r="AO140" i="4"/>
  <c r="AO141" i="4"/>
  <c r="AO142" i="4"/>
  <c r="AO143" i="4"/>
  <c r="AO144" i="4"/>
  <c r="AO145" i="4"/>
  <c r="AO146" i="4"/>
  <c r="AO147" i="4"/>
  <c r="AO148" i="4"/>
  <c r="AO149" i="4"/>
  <c r="AO150" i="4"/>
  <c r="AO151" i="4"/>
  <c r="AO152" i="4"/>
  <c r="AO153" i="4"/>
  <c r="AO154" i="4"/>
  <c r="AO155" i="4"/>
  <c r="AO156" i="4"/>
  <c r="AO157" i="4"/>
  <c r="AO158" i="4"/>
  <c r="AO159" i="4"/>
  <c r="AO160" i="4"/>
  <c r="AO161" i="4"/>
  <c r="AO162" i="4"/>
  <c r="AO163" i="4"/>
  <c r="AO164" i="4"/>
  <c r="AO165" i="4"/>
  <c r="AO166" i="4"/>
  <c r="AO167" i="4"/>
  <c r="AO168" i="4"/>
  <c r="AO169" i="4"/>
  <c r="AO170" i="4"/>
  <c r="AO171" i="4"/>
  <c r="AO172" i="4"/>
  <c r="AO173" i="4"/>
  <c r="AO174" i="4"/>
  <c r="AO175" i="4"/>
  <c r="AO176" i="4"/>
  <c r="AO177" i="4"/>
  <c r="AO178" i="4"/>
  <c r="AO179" i="4"/>
  <c r="AO180" i="4"/>
  <c r="AO181" i="4"/>
  <c r="AO182" i="4"/>
  <c r="AO183" i="4"/>
  <c r="AO184" i="4"/>
  <c r="AO185" i="4"/>
  <c r="AO186" i="4"/>
  <c r="AO187" i="4"/>
  <c r="AO188" i="4"/>
  <c r="AO189" i="4"/>
  <c r="AO190" i="4"/>
  <c r="AO191" i="4"/>
  <c r="AO192" i="4"/>
  <c r="AO193" i="4"/>
  <c r="AO194" i="4"/>
  <c r="AO195" i="4"/>
  <c r="AO196" i="4"/>
  <c r="AO197" i="4"/>
  <c r="AO198" i="4"/>
  <c r="AO199" i="4"/>
  <c r="AO200" i="4"/>
  <c r="AO201" i="4"/>
  <c r="AO202" i="4"/>
  <c r="AO203" i="4"/>
  <c r="AO204" i="4"/>
  <c r="AO205" i="4"/>
  <c r="AO206" i="4"/>
  <c r="AO207" i="4"/>
  <c r="AO208" i="4"/>
  <c r="AO209" i="4"/>
  <c r="AO210" i="4"/>
  <c r="AO211" i="4"/>
  <c r="AO212" i="4"/>
  <c r="AO213" i="4"/>
  <c r="AO214" i="4"/>
  <c r="AO215" i="4"/>
  <c r="AO216" i="4"/>
  <c r="AO217" i="4"/>
  <c r="AO218" i="4"/>
  <c r="AO219" i="4"/>
  <c r="AO220" i="4"/>
  <c r="AO221" i="4"/>
  <c r="AO222" i="4"/>
  <c r="AO223" i="4"/>
  <c r="AO224" i="4"/>
  <c r="AO225" i="4"/>
  <c r="AO226" i="4"/>
  <c r="AO227" i="4"/>
  <c r="BW46" i="4" l="1"/>
  <c r="BW50" i="4"/>
  <c r="BW47" i="4"/>
  <c r="BW48" i="4"/>
  <c r="BW49" i="4"/>
  <c r="AJ3" i="4"/>
  <c r="BG3" i="4"/>
  <c r="CB3" i="4"/>
  <c r="EG3" i="4"/>
  <c r="EH3" i="4"/>
  <c r="EJ3" i="4"/>
  <c r="EM3" i="4"/>
  <c r="EP3" i="4"/>
  <c r="AJ4" i="4"/>
  <c r="AZ4" i="4"/>
  <c r="BA4" i="4"/>
  <c r="BG4" i="4"/>
  <c r="CB4" i="4"/>
  <c r="EJ4" i="4"/>
  <c r="EM4" i="4"/>
  <c r="EP4" i="4"/>
  <c r="AZ5" i="4"/>
  <c r="BA5" i="4"/>
  <c r="BG5" i="4"/>
  <c r="CB5" i="4"/>
  <c r="EJ5" i="4"/>
  <c r="EM5" i="4"/>
  <c r="EP5" i="4"/>
  <c r="AZ6" i="4"/>
  <c r="BA6" i="4"/>
  <c r="BG6" i="4"/>
  <c r="CB6" i="4"/>
  <c r="EJ6" i="4"/>
  <c r="EM6" i="4"/>
  <c r="EP6" i="4"/>
  <c r="AZ7" i="4"/>
  <c r="BA7" i="4"/>
  <c r="BG7" i="4"/>
  <c r="CB7" i="4"/>
  <c r="EJ7" i="4"/>
  <c r="EM7" i="4"/>
  <c r="EP7" i="4"/>
  <c r="AZ8" i="4"/>
  <c r="BA8" i="4"/>
  <c r="BG8" i="4"/>
  <c r="CB8" i="4"/>
  <c r="EJ8" i="4"/>
  <c r="EM8" i="4"/>
  <c r="EP8" i="4"/>
  <c r="AZ9" i="4"/>
  <c r="BA9" i="4"/>
  <c r="BC9" i="4"/>
  <c r="BG9" i="4"/>
  <c r="CB9" i="4"/>
  <c r="EJ9" i="4"/>
  <c r="EM9" i="4"/>
  <c r="EP9" i="4"/>
  <c r="BA10" i="4"/>
  <c r="BC10" i="4"/>
  <c r="BG10" i="4"/>
  <c r="CB10" i="4"/>
  <c r="EJ10" i="4"/>
  <c r="EM10" i="4"/>
  <c r="EP10" i="4"/>
  <c r="BA11" i="4"/>
  <c r="BC11" i="4"/>
  <c r="BG11" i="4"/>
  <c r="CB11" i="4"/>
  <c r="EJ11" i="4"/>
  <c r="EM11" i="4"/>
  <c r="EP11" i="4"/>
  <c r="BA12" i="4"/>
  <c r="BG12" i="4"/>
  <c r="CB12" i="4"/>
  <c r="EJ12" i="4"/>
  <c r="EM12" i="4"/>
  <c r="EP12" i="4"/>
  <c r="BC13" i="4"/>
  <c r="BG13" i="4"/>
  <c r="CB13" i="4"/>
  <c r="EJ13" i="4"/>
  <c r="EM13" i="4"/>
  <c r="EP13" i="4"/>
  <c r="AZ14" i="4"/>
  <c r="BA14" i="4"/>
  <c r="BC14" i="4"/>
  <c r="BG14" i="4"/>
  <c r="CB14" i="4"/>
  <c r="EJ14" i="4"/>
  <c r="EM14" i="4"/>
  <c r="EP14" i="4"/>
  <c r="AZ15" i="4"/>
  <c r="BA15" i="4"/>
  <c r="BC15" i="4"/>
  <c r="BG15" i="4"/>
  <c r="CB15" i="4"/>
  <c r="EJ15" i="4"/>
  <c r="EM15" i="4"/>
  <c r="EP15" i="4"/>
  <c r="AZ16" i="4"/>
  <c r="BA16" i="4"/>
  <c r="BG16" i="4"/>
  <c r="CB16" i="4"/>
  <c r="EJ16" i="4"/>
  <c r="EM16" i="4"/>
  <c r="EP16" i="4"/>
  <c r="AZ17" i="4"/>
  <c r="BA17" i="4"/>
  <c r="BC17" i="4"/>
  <c r="BG17" i="4"/>
  <c r="CB17" i="4"/>
  <c r="EJ17" i="4"/>
  <c r="EM17" i="4"/>
  <c r="EP17" i="4"/>
  <c r="AZ18" i="4"/>
  <c r="BA18" i="4"/>
  <c r="BC18" i="4"/>
  <c r="BG18" i="4"/>
  <c r="CB18" i="4"/>
  <c r="EJ18" i="4"/>
  <c r="EM18" i="4"/>
  <c r="EP18" i="4"/>
  <c r="AZ19" i="4"/>
  <c r="BA19" i="4"/>
  <c r="BC19" i="4"/>
  <c r="CB19" i="4"/>
  <c r="BA20" i="4"/>
  <c r="CB20" i="4"/>
  <c r="BA21" i="4"/>
  <c r="BC21" i="4"/>
  <c r="CB21" i="4"/>
  <c r="BA22" i="4"/>
  <c r="BC22" i="4"/>
  <c r="CB22" i="4"/>
  <c r="BC23" i="4"/>
  <c r="CB23" i="4"/>
  <c r="AZ24" i="4"/>
  <c r="BA24" i="4"/>
  <c r="CB24" i="4"/>
  <c r="AZ25" i="4"/>
  <c r="BA25" i="4"/>
  <c r="BC25" i="4"/>
  <c r="CB25" i="4"/>
  <c r="AZ26" i="4"/>
  <c r="BA26" i="4"/>
  <c r="BC26" i="4"/>
  <c r="CB26" i="4"/>
  <c r="AZ27" i="4"/>
  <c r="BA27" i="4"/>
  <c r="BC27" i="4"/>
  <c r="CB27" i="4"/>
  <c r="AZ28" i="4"/>
  <c r="BA28" i="4"/>
  <c r="CB28" i="4"/>
  <c r="AZ29" i="4"/>
  <c r="BA29" i="4"/>
  <c r="BC29" i="4"/>
  <c r="CB29" i="4"/>
  <c r="BA30" i="4"/>
  <c r="BC30" i="4"/>
  <c r="CB30" i="4"/>
  <c r="BA31" i="4"/>
  <c r="BC31" i="4"/>
  <c r="CB31" i="4"/>
  <c r="BA32" i="4"/>
  <c r="CB32" i="4"/>
  <c r="BC33" i="4"/>
  <c r="CB33" i="4"/>
  <c r="AZ34" i="4"/>
  <c r="BA34" i="4"/>
  <c r="BC34" i="4"/>
  <c r="CB34" i="4"/>
  <c r="AZ35" i="4"/>
  <c r="BA35" i="4"/>
  <c r="BC35" i="4"/>
  <c r="CB35" i="4"/>
  <c r="AZ36" i="4"/>
  <c r="BA36" i="4"/>
  <c r="CB36" i="4"/>
  <c r="AZ37" i="4"/>
  <c r="BA37" i="4"/>
  <c r="BC37" i="4"/>
  <c r="CB37" i="4"/>
  <c r="AZ38" i="4"/>
  <c r="BA38" i="4"/>
  <c r="BC38" i="4"/>
  <c r="CB38" i="4"/>
  <c r="AZ39" i="4"/>
  <c r="BA39" i="4"/>
  <c r="BC39" i="4"/>
  <c r="CB39" i="4"/>
  <c r="BA40" i="4"/>
  <c r="CB40" i="4"/>
  <c r="BA41" i="4"/>
  <c r="BC41" i="4"/>
  <c r="CB41" i="4"/>
  <c r="BA42" i="4"/>
  <c r="BC42" i="4"/>
  <c r="CB42" i="4"/>
  <c r="BC43" i="4"/>
  <c r="CB43" i="4"/>
  <c r="AZ44" i="4"/>
  <c r="BA44" i="4"/>
  <c r="CB44" i="4"/>
  <c r="AZ45" i="4"/>
  <c r="BA45" i="4"/>
  <c r="BC45" i="4"/>
  <c r="CB45" i="4"/>
  <c r="AZ46" i="4"/>
  <c r="BA46" i="4"/>
  <c r="BC46" i="4"/>
  <c r="CB46" i="4"/>
  <c r="AZ47" i="4"/>
  <c r="BA47" i="4"/>
  <c r="BC47" i="4"/>
  <c r="CB47" i="4"/>
  <c r="AZ48" i="4"/>
  <c r="BA48" i="4"/>
  <c r="CB48" i="4"/>
  <c r="AZ49" i="4"/>
  <c r="BA49" i="4"/>
  <c r="BC49" i="4"/>
  <c r="CB49" i="4"/>
  <c r="BA50" i="4"/>
  <c r="BC50" i="4"/>
  <c r="CB50" i="4"/>
  <c r="BA51" i="4"/>
  <c r="BC51" i="4"/>
  <c r="CB51" i="4"/>
  <c r="BA52" i="4"/>
  <c r="CB52" i="4"/>
  <c r="BC53" i="4"/>
  <c r="CB53" i="4"/>
  <c r="AZ54" i="4"/>
  <c r="BA54" i="4"/>
  <c r="BC54" i="4"/>
  <c r="CB54" i="4"/>
  <c r="AZ55" i="4"/>
  <c r="BA55" i="4"/>
  <c r="BC55" i="4"/>
  <c r="CB55" i="4"/>
  <c r="AZ56" i="4"/>
  <c r="BA56" i="4"/>
  <c r="CB56" i="4"/>
  <c r="AZ57" i="4"/>
  <c r="BA57" i="4"/>
  <c r="BC57" i="4"/>
  <c r="CB57" i="4"/>
  <c r="AZ58" i="4"/>
  <c r="BA58" i="4"/>
  <c r="BC58" i="4"/>
  <c r="CB58" i="4"/>
  <c r="AZ59" i="4"/>
  <c r="BA59" i="4"/>
  <c r="BC59" i="4"/>
  <c r="CB59" i="4"/>
  <c r="BA60" i="4"/>
  <c r="CB60" i="4"/>
  <c r="BA61" i="4"/>
  <c r="BC61" i="4"/>
  <c r="CB61" i="4"/>
  <c r="BA62" i="4"/>
  <c r="BC62" i="4"/>
  <c r="CB62" i="4"/>
  <c r="BC63" i="4"/>
  <c r="CB63" i="4"/>
  <c r="AZ64" i="4"/>
  <c r="BA64" i="4"/>
  <c r="CB64" i="4"/>
  <c r="AZ65" i="4"/>
  <c r="BA65" i="4"/>
  <c r="BC65" i="4"/>
  <c r="CB65" i="4"/>
  <c r="AZ66" i="4"/>
  <c r="BA66" i="4"/>
  <c r="BC66" i="4"/>
  <c r="CB66" i="4"/>
  <c r="AZ67" i="4"/>
  <c r="BA67" i="4"/>
  <c r="BC67" i="4"/>
  <c r="CB67" i="4"/>
  <c r="AZ68" i="4"/>
  <c r="BA68" i="4"/>
  <c r="CB68" i="4"/>
  <c r="AZ69" i="4"/>
  <c r="BA69" i="4"/>
  <c r="BC69" i="4"/>
  <c r="CB69" i="4"/>
  <c r="BA70" i="4"/>
  <c r="BC70" i="4"/>
  <c r="CB70" i="4"/>
  <c r="BA71" i="4"/>
  <c r="BC71" i="4"/>
  <c r="CB71" i="4"/>
  <c r="BA72" i="4"/>
  <c r="CB72" i="4"/>
  <c r="BC73" i="4"/>
  <c r="CB73" i="4"/>
  <c r="AZ74" i="4"/>
  <c r="BA74" i="4"/>
  <c r="BC74" i="4"/>
  <c r="CB74" i="4"/>
  <c r="AZ75" i="4"/>
  <c r="BA75" i="4"/>
  <c r="BC75" i="4"/>
  <c r="CB75" i="4"/>
  <c r="AZ76" i="4"/>
  <c r="BA76" i="4"/>
  <c r="CB76" i="4"/>
  <c r="AZ77" i="4"/>
  <c r="BA77" i="4"/>
  <c r="BC77" i="4"/>
  <c r="CB77" i="4"/>
  <c r="AZ78" i="4"/>
  <c r="BA78" i="4"/>
  <c r="BC78" i="4"/>
  <c r="CB78" i="4"/>
  <c r="AZ79" i="4"/>
  <c r="BA79" i="4"/>
  <c r="BC79" i="4"/>
  <c r="CB79" i="4"/>
  <c r="BA80" i="4"/>
  <c r="CB80" i="4"/>
  <c r="BA81" i="4"/>
  <c r="BC81" i="4"/>
  <c r="CB81" i="4"/>
  <c r="BA82" i="4"/>
  <c r="BC82" i="4"/>
  <c r="CB82" i="4"/>
  <c r="BC83" i="4"/>
  <c r="CB83" i="4"/>
  <c r="AZ84" i="4"/>
  <c r="BA84" i="4"/>
  <c r="CB84" i="4"/>
  <c r="AZ85" i="4"/>
  <c r="BA85" i="4"/>
  <c r="BC85" i="4"/>
  <c r="CB85" i="4"/>
  <c r="AZ86" i="4"/>
  <c r="BA86" i="4"/>
  <c r="BC86" i="4"/>
  <c r="CB86" i="4"/>
  <c r="AZ87" i="4"/>
  <c r="BA87" i="4"/>
  <c r="BC87" i="4"/>
  <c r="CB87" i="4"/>
  <c r="AZ88" i="4"/>
  <c r="BA88" i="4"/>
  <c r="CB88" i="4"/>
  <c r="AZ89" i="4"/>
  <c r="BA89" i="4"/>
  <c r="BC89" i="4"/>
  <c r="CB89" i="4"/>
  <c r="BA90" i="4"/>
  <c r="BC90" i="4"/>
  <c r="CB90" i="4"/>
  <c r="BA91" i="4"/>
  <c r="BC91" i="4"/>
  <c r="CB91" i="4"/>
  <c r="BA92" i="4"/>
  <c r="CB92" i="4"/>
  <c r="BC93" i="4"/>
  <c r="CB93" i="4"/>
  <c r="AZ94" i="4"/>
  <c r="BA94" i="4"/>
  <c r="BC94" i="4"/>
  <c r="CB94" i="4"/>
  <c r="AZ95" i="4"/>
  <c r="BA95" i="4"/>
  <c r="BC95" i="4"/>
  <c r="CB95" i="4"/>
  <c r="AZ96" i="4"/>
  <c r="BA96" i="4"/>
  <c r="CB96" i="4"/>
  <c r="AZ97" i="4"/>
  <c r="BA97" i="4"/>
  <c r="BC97" i="4"/>
  <c r="CB97" i="4"/>
  <c r="AZ98" i="4"/>
  <c r="BA98" i="4"/>
  <c r="BC98" i="4"/>
  <c r="CB98" i="4"/>
  <c r="AZ99" i="4"/>
  <c r="BA99" i="4"/>
  <c r="BC99" i="4"/>
  <c r="CB99" i="4"/>
  <c r="BA100" i="4"/>
  <c r="CB100" i="4"/>
  <c r="BA101" i="4"/>
  <c r="BC101" i="4"/>
  <c r="CB101" i="4"/>
  <c r="BA102" i="4"/>
  <c r="BC102" i="4"/>
  <c r="CB102" i="4"/>
  <c r="BC103" i="4"/>
  <c r="CB103" i="4"/>
  <c r="AZ104" i="4"/>
  <c r="BA104" i="4"/>
  <c r="CB104" i="4"/>
  <c r="AZ105" i="4"/>
  <c r="BA105" i="4"/>
  <c r="CB105" i="4"/>
  <c r="AZ106" i="4"/>
  <c r="BA106" i="4"/>
  <c r="CB106" i="4"/>
  <c r="AZ107" i="4"/>
  <c r="BA107" i="4"/>
  <c r="CB107" i="4"/>
  <c r="AZ108" i="4"/>
  <c r="BA108" i="4"/>
  <c r="CB108" i="4"/>
  <c r="AZ109" i="4"/>
  <c r="BA109" i="4"/>
  <c r="CB109" i="4"/>
  <c r="BA110" i="4"/>
  <c r="CB110" i="4"/>
  <c r="BA111" i="4"/>
  <c r="CB111" i="4"/>
  <c r="BA112" i="4"/>
  <c r="CB112" i="4"/>
  <c r="CB113" i="4"/>
  <c r="AZ114" i="4"/>
  <c r="BA114" i="4"/>
  <c r="CB114" i="4"/>
  <c r="AZ115" i="4"/>
  <c r="BA115" i="4"/>
  <c r="CB115" i="4"/>
  <c r="AZ116" i="4"/>
  <c r="BA116" i="4"/>
  <c r="CB116" i="4"/>
  <c r="AZ117" i="4"/>
  <c r="BA117" i="4"/>
  <c r="CB117" i="4"/>
  <c r="AZ118" i="4"/>
  <c r="BA118" i="4"/>
  <c r="CB118" i="4"/>
  <c r="AZ119" i="4"/>
  <c r="BA119" i="4"/>
  <c r="CB119" i="4"/>
  <c r="BA120" i="4"/>
  <c r="CB120" i="4"/>
  <c r="BA121" i="4"/>
  <c r="CB121" i="4"/>
  <c r="BA122" i="4"/>
  <c r="CB122" i="4"/>
  <c r="CB123" i="4"/>
  <c r="AZ124" i="4"/>
  <c r="BA124" i="4"/>
  <c r="CB124" i="4"/>
  <c r="AZ125" i="4"/>
  <c r="BA125" i="4"/>
  <c r="CB125" i="4"/>
  <c r="AZ126" i="4"/>
  <c r="BA126" i="4"/>
  <c r="CB126" i="4"/>
  <c r="AZ127" i="4"/>
  <c r="BA127" i="4"/>
  <c r="CB127" i="4"/>
  <c r="AZ128" i="4"/>
  <c r="BA128" i="4"/>
  <c r="CB128" i="4"/>
  <c r="AZ129" i="4"/>
  <c r="BA129" i="4"/>
  <c r="CB129" i="4"/>
  <c r="BA130" i="4"/>
  <c r="CB130" i="4"/>
  <c r="BA131" i="4"/>
  <c r="CB131" i="4"/>
  <c r="BA132" i="4"/>
  <c r="CB132" i="4"/>
  <c r="CB133" i="4"/>
  <c r="AZ134" i="4"/>
  <c r="BA134" i="4"/>
  <c r="CB134" i="4"/>
  <c r="AZ135" i="4"/>
  <c r="BA135" i="4"/>
  <c r="CB135" i="4"/>
  <c r="AZ136" i="4"/>
  <c r="BA136" i="4"/>
  <c r="CB136" i="4"/>
  <c r="AZ137" i="4"/>
  <c r="BA137" i="4"/>
  <c r="CB137" i="4"/>
  <c r="AZ138" i="4"/>
  <c r="BA138" i="4"/>
  <c r="CB138" i="4"/>
  <c r="AZ139" i="4"/>
  <c r="BA139" i="4"/>
  <c r="CB139" i="4"/>
  <c r="BA140" i="4"/>
  <c r="CB140" i="4"/>
  <c r="BA141" i="4"/>
  <c r="CB141" i="4"/>
  <c r="BA142" i="4"/>
  <c r="CB142" i="4"/>
  <c r="CB143" i="4"/>
  <c r="AZ144" i="4"/>
  <c r="BA144" i="4"/>
  <c r="CB144" i="4"/>
  <c r="AZ145" i="4"/>
  <c r="BA145" i="4"/>
  <c r="CB145" i="4"/>
  <c r="AZ146" i="4"/>
  <c r="BA146" i="4"/>
  <c r="CB146" i="4"/>
  <c r="AZ147" i="4"/>
  <c r="BA147" i="4"/>
  <c r="CB147" i="4"/>
  <c r="AZ148" i="4"/>
  <c r="BA148" i="4"/>
  <c r="CB148" i="4"/>
  <c r="AZ149" i="4"/>
  <c r="BA149" i="4"/>
  <c r="CB149" i="4"/>
  <c r="BA150" i="4"/>
  <c r="CB150" i="4"/>
  <c r="BA151" i="4"/>
  <c r="CB151" i="4"/>
  <c r="BA152" i="4"/>
  <c r="CB152" i="4"/>
  <c r="CB153" i="4"/>
  <c r="AZ154" i="4"/>
  <c r="BA154" i="4"/>
  <c r="CB154" i="4"/>
  <c r="AZ155" i="4"/>
  <c r="BA155" i="4"/>
  <c r="CB155" i="4"/>
  <c r="AZ156" i="4"/>
  <c r="BA156" i="4"/>
  <c r="CB156" i="4"/>
  <c r="AZ157" i="4"/>
  <c r="BA157" i="4"/>
  <c r="CB157" i="4"/>
  <c r="AZ158" i="4"/>
  <c r="BA158" i="4"/>
  <c r="CB158" i="4"/>
  <c r="AZ159" i="4"/>
  <c r="BA159" i="4"/>
  <c r="CB159" i="4"/>
  <c r="BA160" i="4"/>
  <c r="CB160" i="4"/>
  <c r="BA161" i="4"/>
  <c r="CB161" i="4"/>
  <c r="BA162" i="4"/>
  <c r="CB162" i="4"/>
  <c r="CB163" i="4"/>
  <c r="CB164" i="4"/>
  <c r="CB165" i="4"/>
  <c r="CB166" i="4"/>
  <c r="CB167" i="4"/>
  <c r="CB168" i="4"/>
  <c r="CB169" i="4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B197" i="4"/>
  <c r="CB198" i="4"/>
  <c r="CB199" i="4"/>
  <c r="CB200" i="4"/>
  <c r="CB201" i="4"/>
  <c r="CB202" i="4"/>
  <c r="CB203" i="4"/>
  <c r="CB204" i="4"/>
  <c r="CB205" i="4"/>
  <c r="CB206" i="4"/>
  <c r="CB207" i="4"/>
  <c r="CB208" i="4"/>
  <c r="CB209" i="4"/>
  <c r="CB210" i="4"/>
  <c r="CB211" i="4"/>
  <c r="CB212" i="4"/>
  <c r="CB213" i="4"/>
  <c r="CB214" i="4"/>
  <c r="CB215" i="4"/>
  <c r="CB216" i="4"/>
  <c r="CB217" i="4"/>
  <c r="CB218" i="4"/>
  <c r="CB219" i="4"/>
  <c r="CB220" i="4"/>
  <c r="CB221" i="4"/>
  <c r="CB222" i="4"/>
  <c r="CB223" i="4"/>
  <c r="CB224" i="4"/>
  <c r="CB225" i="4"/>
  <c r="CB226" i="4"/>
  <c r="CB227" i="4"/>
  <c r="CB228" i="4"/>
  <c r="CB229" i="4"/>
  <c r="CB230" i="4"/>
  <c r="CB231" i="4"/>
  <c r="CB232" i="4"/>
  <c r="CB233" i="4"/>
  <c r="CB234" i="4"/>
  <c r="CB235" i="4"/>
  <c r="CB236" i="4"/>
  <c r="CB237" i="4"/>
  <c r="CB238" i="4"/>
  <c r="CB239" i="4"/>
  <c r="CB240" i="4"/>
  <c r="CB241" i="4"/>
  <c r="CB242" i="4"/>
  <c r="CB243" i="4"/>
  <c r="CB244" i="4"/>
  <c r="CB245" i="4"/>
  <c r="CB246" i="4"/>
  <c r="CB247" i="4"/>
  <c r="CB248" i="4"/>
  <c r="CB249" i="4"/>
  <c r="CB250" i="4"/>
  <c r="CB251" i="4"/>
  <c r="CB252" i="4"/>
  <c r="CB253" i="4"/>
  <c r="CB254" i="4"/>
  <c r="CB255" i="4"/>
  <c r="CB256" i="4"/>
  <c r="CB257" i="4"/>
  <c r="CB258" i="4"/>
  <c r="CB259" i="4"/>
  <c r="CB260" i="4"/>
  <c r="CB261" i="4"/>
  <c r="CB262" i="4"/>
  <c r="CB263" i="4"/>
  <c r="CB264" i="4"/>
  <c r="CB265" i="4"/>
  <c r="CB266" i="4"/>
  <c r="CB267" i="4"/>
  <c r="CB268" i="4"/>
  <c r="CB269" i="4"/>
  <c r="CB270" i="4"/>
  <c r="CB271" i="4"/>
  <c r="CB272" i="4"/>
  <c r="CB273" i="4"/>
  <c r="CB274" i="4"/>
  <c r="CB275" i="4"/>
  <c r="CB276" i="4"/>
  <c r="CB277" i="4"/>
  <c r="CB278" i="4"/>
  <c r="CB279" i="4"/>
  <c r="CB280" i="4"/>
  <c r="CB281" i="4"/>
  <c r="CB282" i="4"/>
  <c r="CB283" i="4"/>
  <c r="CB284" i="4"/>
  <c r="CB285" i="4"/>
  <c r="CB286" i="4"/>
  <c r="BC105" i="4"/>
  <c r="CB287" i="4"/>
  <c r="BC106" i="4"/>
  <c r="CB288" i="4"/>
  <c r="BC107" i="4"/>
  <c r="CB289" i="4"/>
  <c r="BC108" i="4"/>
  <c r="CB290" i="4"/>
  <c r="BC109" i="4"/>
  <c r="CB291" i="4"/>
  <c r="BC110" i="4"/>
  <c r="CB292" i="4"/>
  <c r="BC111" i="4"/>
  <c r="CB293" i="4"/>
  <c r="BC112" i="4"/>
  <c r="CB294" i="4"/>
  <c r="CB295" i="4"/>
  <c r="BC114" i="4"/>
  <c r="CB296" i="4"/>
  <c r="BC115" i="4"/>
  <c r="CB297" i="4"/>
  <c r="BC116" i="4"/>
  <c r="CB298" i="4"/>
  <c r="BC117" i="4"/>
  <c r="CB299" i="4"/>
  <c r="BC118" i="4"/>
  <c r="CB300" i="4"/>
  <c r="BC119" i="4"/>
  <c r="CB301" i="4"/>
  <c r="BC120" i="4"/>
  <c r="CB302" i="4"/>
  <c r="CB303" i="4"/>
  <c r="BC122" i="4"/>
  <c r="CB304" i="4"/>
  <c r="BC123" i="4"/>
  <c r="CB305" i="4"/>
  <c r="BC124" i="4"/>
  <c r="CB306" i="4"/>
  <c r="BC125" i="4"/>
  <c r="CB307" i="4"/>
  <c r="BC126" i="4"/>
  <c r="CB308" i="4"/>
  <c r="BC127" i="4"/>
  <c r="CB309" i="4"/>
  <c r="BC128" i="4"/>
  <c r="CB310" i="4"/>
  <c r="BC129" i="4"/>
  <c r="CB311" i="4"/>
  <c r="CB312" i="4"/>
  <c r="BC131" i="4"/>
  <c r="CB313" i="4"/>
  <c r="BC132" i="4"/>
  <c r="CB314" i="4"/>
  <c r="BC133" i="4"/>
  <c r="CB315" i="4"/>
  <c r="BC134" i="4"/>
  <c r="CB316" i="4"/>
  <c r="BC135" i="4"/>
  <c r="CB317" i="4"/>
  <c r="BC136" i="4"/>
  <c r="CB318" i="4"/>
  <c r="BC137" i="4"/>
  <c r="CB319" i="4"/>
  <c r="CB320" i="4"/>
  <c r="BC139" i="4"/>
  <c r="CB321" i="4"/>
  <c r="BC140" i="4"/>
  <c r="CB322" i="4"/>
  <c r="BC141" i="4"/>
  <c r="CB323" i="4"/>
  <c r="BC142" i="4"/>
  <c r="CB324" i="4"/>
  <c r="BC143" i="4"/>
  <c r="CB325" i="4"/>
  <c r="BC144" i="4"/>
  <c r="CB326" i="4"/>
  <c r="BC145" i="4"/>
  <c r="CB327" i="4"/>
  <c r="BC146" i="4"/>
  <c r="CB328" i="4"/>
  <c r="CB329" i="4"/>
  <c r="BC148" i="4"/>
  <c r="CB330" i="4"/>
  <c r="BC149" i="4"/>
  <c r="CB331" i="4"/>
  <c r="BC150" i="4"/>
  <c r="CB332" i="4"/>
  <c r="BC151" i="4"/>
  <c r="CB333" i="4"/>
  <c r="BC152" i="4"/>
  <c r="CB334" i="4"/>
  <c r="BC153" i="4"/>
  <c r="CB335" i="4"/>
  <c r="BC154" i="4"/>
  <c r="CB336" i="4"/>
  <c r="BC155" i="4"/>
  <c r="CB337" i="4"/>
  <c r="CB338" i="4"/>
  <c r="BC157" i="4"/>
  <c r="CB339" i="4"/>
  <c r="BC158" i="4"/>
  <c r="CB340" i="4"/>
  <c r="BC159" i="4"/>
  <c r="CB341" i="4"/>
  <c r="BC160" i="4"/>
  <c r="CB342" i="4"/>
  <c r="BC161" i="4"/>
  <c r="CB343" i="4"/>
  <c r="BC162" i="4"/>
  <c r="CB344" i="4"/>
  <c r="BC163" i="4"/>
  <c r="CB345" i="4"/>
  <c r="BC164" i="4"/>
  <c r="CB346" i="4"/>
  <c r="CB347" i="4"/>
  <c r="BC166" i="4"/>
  <c r="CB348" i="4"/>
  <c r="BC167" i="4"/>
  <c r="CB349" i="4"/>
  <c r="BC168" i="4"/>
  <c r="CB350" i="4"/>
  <c r="BC169" i="4"/>
  <c r="CB351" i="4"/>
  <c r="BC170" i="4"/>
  <c r="CB352" i="4"/>
  <c r="BC171" i="4"/>
  <c r="CB353" i="4"/>
  <c r="BC172" i="4"/>
  <c r="CB354" i="4"/>
  <c r="CB355" i="4"/>
  <c r="BC174" i="4"/>
  <c r="CB356" i="4"/>
  <c r="BC175" i="4"/>
  <c r="CB357" i="4"/>
  <c r="BC176" i="4"/>
  <c r="CB358" i="4"/>
  <c r="BC177" i="4"/>
  <c r="CB359" i="4"/>
  <c r="BC178" i="4"/>
  <c r="CB360" i="4"/>
  <c r="BC179" i="4"/>
  <c r="CB361" i="4"/>
  <c r="BC180" i="4"/>
  <c r="CB362" i="4"/>
  <c r="BC181" i="4"/>
  <c r="CB363" i="4"/>
  <c r="CB364" i="4"/>
  <c r="BC183" i="4"/>
  <c r="CB365" i="4"/>
  <c r="BC184" i="4"/>
  <c r="CB366" i="4"/>
  <c r="BC185" i="4"/>
  <c r="CB367" i="4"/>
  <c r="BC186" i="4"/>
  <c r="CB368" i="4"/>
  <c r="BC187" i="4"/>
  <c r="CB369" i="4"/>
  <c r="BC188" i="4"/>
  <c r="CB370" i="4"/>
  <c r="BC189" i="4"/>
  <c r="CB371" i="4"/>
  <c r="BC190" i="4"/>
  <c r="CB372" i="4"/>
  <c r="CB373" i="4"/>
  <c r="BC192" i="4"/>
  <c r="CB374" i="4"/>
  <c r="BC193" i="4"/>
  <c r="CB375" i="4"/>
  <c r="BC194" i="4"/>
  <c r="CB376" i="4"/>
  <c r="BC195" i="4"/>
  <c r="CB377" i="4"/>
  <c r="BC196" i="4"/>
  <c r="CB378" i="4"/>
  <c r="BC197" i="4"/>
  <c r="CB379" i="4"/>
  <c r="BC198" i="4"/>
  <c r="CB380" i="4"/>
  <c r="CB381" i="4"/>
  <c r="BC200" i="4"/>
  <c r="CB382" i="4"/>
  <c r="BC201" i="4"/>
  <c r="CB383" i="4"/>
  <c r="BC202" i="4"/>
  <c r="CB384" i="4"/>
  <c r="BC203" i="4"/>
  <c r="CB385" i="4"/>
  <c r="BC204" i="4"/>
  <c r="CB386" i="4"/>
  <c r="BC205" i="4"/>
  <c r="CB387" i="4"/>
  <c r="BC206" i="4"/>
  <c r="CB388" i="4"/>
  <c r="BC207" i="4"/>
  <c r="CB389" i="4"/>
  <c r="CB390" i="4"/>
  <c r="BC209" i="4"/>
  <c r="CB391" i="4"/>
  <c r="BC210" i="4"/>
  <c r="CB392" i="4"/>
  <c r="BC211" i="4"/>
  <c r="CB393" i="4"/>
  <c r="BC212" i="4"/>
  <c r="CB394" i="4"/>
  <c r="BC213" i="4"/>
  <c r="CB395" i="4"/>
  <c r="BC214" i="4"/>
  <c r="CB396" i="4"/>
  <c r="BC215" i="4"/>
  <c r="CB397" i="4"/>
  <c r="BC216" i="4"/>
  <c r="CB398" i="4"/>
  <c r="CB399" i="4"/>
  <c r="BC218" i="4"/>
  <c r="CB400" i="4"/>
  <c r="BC219" i="4"/>
  <c r="CB401" i="4"/>
  <c r="BC220" i="4"/>
  <c r="CB402" i="4"/>
  <c r="BC221" i="4"/>
  <c r="CB403" i="4"/>
  <c r="BC222" i="4"/>
  <c r="CB404" i="4"/>
  <c r="BC223" i="4"/>
  <c r="CB405" i="4"/>
  <c r="BC224" i="4"/>
  <c r="CB406" i="4"/>
  <c r="CB407" i="4"/>
  <c r="BC226" i="4"/>
  <c r="BC227" i="4"/>
  <c r="BC228" i="4"/>
  <c r="BC229" i="4"/>
  <c r="BC230" i="4"/>
  <c r="BC231" i="4"/>
  <c r="BC232" i="4"/>
  <c r="BC233" i="4"/>
  <c r="BC235" i="4"/>
  <c r="BC236" i="4"/>
  <c r="BC237" i="4"/>
  <c r="BC238" i="4"/>
  <c r="BC239" i="4"/>
  <c r="BC240" i="4"/>
  <c r="BC241" i="4"/>
  <c r="BC242" i="4"/>
  <c r="BC244" i="4"/>
  <c r="BC245" i="4"/>
  <c r="BC246" i="4"/>
  <c r="BC247" i="4"/>
  <c r="BC248" i="4"/>
  <c r="BC249" i="4"/>
  <c r="BC250" i="4"/>
  <c r="BC251" i="4"/>
  <c r="BC253" i="4"/>
  <c r="BC254" i="4"/>
  <c r="BC255" i="4"/>
  <c r="BC256" i="4"/>
  <c r="BC257" i="4"/>
  <c r="BC258" i="4"/>
  <c r="BC259" i="4"/>
  <c r="BC260" i="4"/>
  <c r="BC262" i="4"/>
  <c r="BC263" i="4"/>
  <c r="BC264" i="4"/>
  <c r="BC265" i="4"/>
  <c r="BC266" i="4"/>
  <c r="BC267" i="4"/>
  <c r="BC268" i="4"/>
  <c r="BC269" i="4"/>
  <c r="BC271" i="4"/>
  <c r="BC272" i="4"/>
  <c r="BC273" i="4"/>
  <c r="BC274" i="4"/>
  <c r="BC275" i="4"/>
  <c r="BC276" i="4"/>
  <c r="BC277" i="4"/>
  <c r="BC278" i="4"/>
  <c r="BC280" i="4"/>
  <c r="BC281" i="4"/>
  <c r="BC282" i="4"/>
  <c r="BC283" i="4"/>
  <c r="BC284" i="4"/>
  <c r="BC285" i="4"/>
  <c r="BC286" i="4"/>
  <c r="BC287" i="4"/>
  <c r="BC289" i="4"/>
  <c r="BC290" i="4"/>
  <c r="BC291" i="4"/>
  <c r="BC292" i="4"/>
  <c r="BC293" i="4"/>
  <c r="BC294" i="4"/>
  <c r="BC295" i="4"/>
  <c r="BC297" i="4"/>
  <c r="BC298" i="4"/>
  <c r="BC299" i="4"/>
  <c r="BC300" i="4"/>
  <c r="BC301" i="4"/>
  <c r="BC302" i="4"/>
  <c r="BC303" i="4"/>
  <c r="BC304" i="4"/>
  <c r="BC306" i="4"/>
  <c r="BC307" i="4"/>
  <c r="BC308" i="4"/>
  <c r="BC309" i="4"/>
  <c r="BC310" i="4"/>
  <c r="BC311" i="4"/>
  <c r="BC312" i="4"/>
  <c r="BC313" i="4"/>
  <c r="BC315" i="4"/>
  <c r="BC316" i="4"/>
  <c r="BC317" i="4"/>
  <c r="BC318" i="4"/>
  <c r="BC319" i="4"/>
  <c r="BC320" i="4"/>
  <c r="BC321" i="4"/>
  <c r="BC322" i="4"/>
  <c r="BC324" i="4"/>
  <c r="BC325" i="4"/>
  <c r="BC326" i="4"/>
  <c r="BC327" i="4"/>
  <c r="BC328" i="4"/>
  <c r="BC329" i="4"/>
  <c r="BC330" i="4"/>
  <c r="BC332" i="4"/>
  <c r="BC333" i="4"/>
  <c r="BC334" i="4"/>
  <c r="BC335" i="4"/>
  <c r="BC336" i="4"/>
  <c r="BC337" i="4"/>
  <c r="BC338" i="4"/>
  <c r="BC339" i="4"/>
  <c r="BC341" i="4"/>
  <c r="BC342" i="4"/>
  <c r="BC343" i="4"/>
  <c r="BC344" i="4"/>
  <c r="BC345" i="4"/>
  <c r="BC346" i="4"/>
  <c r="BC347" i="4"/>
  <c r="BC348" i="4"/>
  <c r="BC350" i="4"/>
  <c r="BC351" i="4"/>
  <c r="BC352" i="4"/>
  <c r="BC353" i="4"/>
  <c r="BC354" i="4"/>
  <c r="BC355" i="4"/>
  <c r="BC356" i="4"/>
  <c r="BC357" i="4"/>
  <c r="BC359" i="4"/>
  <c r="BC360" i="4"/>
  <c r="BC361" i="4"/>
  <c r="BC362" i="4"/>
  <c r="BC363" i="4"/>
  <c r="BC364" i="4"/>
  <c r="BC365" i="4"/>
  <c r="BC366" i="4"/>
  <c r="BC368" i="4"/>
  <c r="BC369" i="4"/>
  <c r="BC370" i="4"/>
  <c r="BC371" i="4"/>
  <c r="BC372" i="4"/>
  <c r="BC373" i="4"/>
  <c r="BC374" i="4"/>
  <c r="BC375" i="4"/>
  <c r="BC377" i="4"/>
  <c r="BC378" i="4"/>
  <c r="BC379" i="4"/>
  <c r="BC380" i="4"/>
  <c r="BC381" i="4"/>
  <c r="BC382" i="4"/>
  <c r="BC383" i="4"/>
  <c r="BC384" i="4"/>
  <c r="BC386" i="4"/>
  <c r="BC387" i="4"/>
  <c r="BC388" i="4"/>
  <c r="BC389" i="4"/>
  <c r="BC390" i="4"/>
  <c r="BC391" i="4"/>
  <c r="BC392" i="4"/>
  <c r="BC393" i="4"/>
  <c r="BC395" i="4"/>
  <c r="BC396" i="4"/>
  <c r="BC397" i="4"/>
  <c r="BC398" i="4"/>
  <c r="BC399" i="4"/>
  <c r="BC400" i="4"/>
  <c r="BC401" i="4"/>
  <c r="BC402" i="4"/>
  <c r="BC404" i="4"/>
  <c r="BC405" i="4"/>
  <c r="BC406" i="4"/>
  <c r="BC407" i="4"/>
  <c r="BC408" i="4"/>
  <c r="BC409" i="4"/>
  <c r="BC410" i="4"/>
  <c r="BC412" i="4"/>
  <c r="BC413" i="4"/>
  <c r="BC414" i="4"/>
  <c r="BC415" i="4"/>
  <c r="BC416" i="4"/>
  <c r="BC417" i="4"/>
  <c r="BC418" i="4"/>
  <c r="BC419" i="4"/>
  <c r="BC421" i="4"/>
  <c r="BC422" i="4"/>
  <c r="BC423" i="4"/>
  <c r="BC424" i="4"/>
  <c r="BC425" i="4"/>
  <c r="BC426" i="4"/>
  <c r="BC427" i="4"/>
  <c r="BC428" i="4"/>
  <c r="BC430" i="4"/>
  <c r="BC431" i="4"/>
  <c r="BC432" i="4"/>
  <c r="BC433" i="4"/>
  <c r="BC434" i="4"/>
  <c r="BC435" i="4"/>
  <c r="BC436" i="4"/>
  <c r="BC438" i="4"/>
  <c r="BC439" i="4"/>
  <c r="BC440" i="4"/>
  <c r="BC441" i="4"/>
  <c r="BC442" i="4"/>
  <c r="BC443" i="4"/>
  <c r="BC444" i="4"/>
  <c r="BC445" i="4"/>
  <c r="BC447" i="4"/>
  <c r="BC448" i="4"/>
  <c r="BC449" i="4"/>
  <c r="BC450" i="4"/>
  <c r="BC451" i="4"/>
  <c r="BC452" i="4"/>
  <c r="BC453" i="4"/>
  <c r="BC454" i="4"/>
  <c r="BC456" i="4"/>
  <c r="BC457" i="4"/>
  <c r="BC458" i="4"/>
  <c r="BC459" i="4"/>
  <c r="BC460" i="4"/>
  <c r="BC461" i="4"/>
  <c r="BC462" i="4"/>
  <c r="BC463" i="4"/>
  <c r="BC465" i="4"/>
  <c r="BC466" i="4"/>
  <c r="BC467" i="4"/>
  <c r="BC468" i="4"/>
  <c r="BC469" i="4"/>
  <c r="BC470" i="4"/>
  <c r="BC471" i="4"/>
  <c r="BC472" i="4"/>
  <c r="BC474" i="4"/>
  <c r="BC475" i="4"/>
  <c r="BC476" i="4"/>
  <c r="BC477" i="4"/>
  <c r="BC478" i="4"/>
  <c r="BC479" i="4"/>
  <c r="BC480" i="4"/>
  <c r="BC481" i="4"/>
  <c r="BC483" i="4"/>
  <c r="BC484" i="4"/>
  <c r="BC485" i="4"/>
  <c r="BC486" i="4"/>
  <c r="BC487" i="4"/>
  <c r="BC488" i="4"/>
  <c r="BC489" i="4"/>
  <c r="BC491" i="4"/>
  <c r="BC492" i="4"/>
  <c r="BC493" i="4"/>
  <c r="BC494" i="4"/>
  <c r="BC495" i="4"/>
  <c r="BC496" i="4"/>
  <c r="BC497" i="4"/>
  <c r="BC498" i="4"/>
  <c r="BC500" i="4"/>
  <c r="BC501" i="4"/>
  <c r="BC502" i="4"/>
  <c r="BC503" i="4"/>
  <c r="BC504" i="4"/>
  <c r="BC505" i="4"/>
  <c r="BC506" i="4"/>
  <c r="BC507" i="4"/>
  <c r="BC509" i="4"/>
  <c r="BC510" i="4"/>
  <c r="BC511" i="4"/>
  <c r="BC512" i="4"/>
  <c r="BC513" i="4"/>
  <c r="BC514" i="4"/>
  <c r="BC515" i="4"/>
  <c r="BC516" i="4"/>
  <c r="BC518" i="4"/>
  <c r="BC519" i="4"/>
  <c r="BC520" i="4"/>
  <c r="BC521" i="4"/>
  <c r="BC522" i="4"/>
  <c r="BC523" i="4"/>
  <c r="BC524" i="4"/>
  <c r="BC525" i="4"/>
  <c r="BC527" i="4"/>
  <c r="BC528" i="4"/>
  <c r="BC529" i="4"/>
  <c r="BC530" i="4"/>
  <c r="BC531" i="4"/>
  <c r="BC532" i="4"/>
  <c r="BC533" i="4"/>
  <c r="BC534" i="4"/>
  <c r="BC536" i="4"/>
  <c r="BC537" i="4"/>
  <c r="BC538" i="4"/>
  <c r="BC539" i="4"/>
  <c r="BC540" i="4"/>
  <c r="BC541" i="4"/>
  <c r="BC542" i="4"/>
  <c r="BC543" i="4"/>
  <c r="BC545" i="4"/>
  <c r="BC546" i="4"/>
  <c r="BC547" i="4"/>
  <c r="BC548" i="4"/>
  <c r="BC549" i="4"/>
  <c r="BC550" i="4"/>
  <c r="BC551" i="4"/>
  <c r="BC553" i="4"/>
  <c r="BC554" i="4"/>
  <c r="BC555" i="4"/>
  <c r="BC556" i="4"/>
  <c r="BC557" i="4"/>
  <c r="BC558" i="4"/>
  <c r="BC559" i="4"/>
  <c r="BC560" i="4"/>
  <c r="BC562" i="4"/>
  <c r="BC563" i="4"/>
  <c r="BC564" i="4"/>
  <c r="BC565" i="4"/>
  <c r="BC566" i="4"/>
  <c r="BC567" i="4"/>
  <c r="BC568" i="4"/>
  <c r="BC569" i="4"/>
  <c r="B4" i="3"/>
  <c r="X4" i="3" s="1"/>
  <c r="Y4" i="3" s="1"/>
  <c r="C4" i="3"/>
  <c r="D4" i="3"/>
  <c r="E4" i="3"/>
  <c r="F4" i="3"/>
  <c r="BN4" i="3"/>
  <c r="B5" i="3"/>
  <c r="X5" i="3" s="1"/>
  <c r="Y5" i="3" s="1"/>
  <c r="C5" i="3"/>
  <c r="D5" i="3"/>
  <c r="AN5" i="3" s="1"/>
  <c r="AO5" i="3" s="1"/>
  <c r="E5" i="3"/>
  <c r="F5" i="3"/>
  <c r="BN5" i="3"/>
  <c r="B6" i="3"/>
  <c r="C6" i="3"/>
  <c r="D6" i="3"/>
  <c r="E6" i="3"/>
  <c r="F6" i="3"/>
  <c r="BN6" i="3"/>
  <c r="B7" i="3"/>
  <c r="X7" i="3" s="1"/>
  <c r="C7" i="3"/>
  <c r="D7" i="3"/>
  <c r="E7" i="3"/>
  <c r="F7" i="3"/>
  <c r="BN7" i="3"/>
  <c r="B8" i="3"/>
  <c r="X8" i="3" s="1"/>
  <c r="C8" i="3"/>
  <c r="D8" i="3"/>
  <c r="E8" i="3"/>
  <c r="F8" i="3"/>
  <c r="BN8" i="3"/>
  <c r="B9" i="3"/>
  <c r="X9" i="3" s="1"/>
  <c r="C9" i="3"/>
  <c r="D9" i="3"/>
  <c r="E9" i="3"/>
  <c r="F9" i="3"/>
  <c r="BN9" i="3"/>
  <c r="B10" i="3"/>
  <c r="X10" i="3" s="1"/>
  <c r="C10" i="3"/>
  <c r="D10" i="3"/>
  <c r="E10" i="3"/>
  <c r="F10" i="3"/>
  <c r="BN10" i="3"/>
  <c r="B11" i="3"/>
  <c r="X11" i="3" s="1"/>
  <c r="C11" i="3"/>
  <c r="D11" i="3"/>
  <c r="E11" i="3"/>
  <c r="F11" i="3"/>
  <c r="BN11" i="3"/>
  <c r="B12" i="3"/>
  <c r="X12" i="3" s="1"/>
  <c r="C12" i="3"/>
  <c r="D12" i="3"/>
  <c r="E12" i="3"/>
  <c r="F12" i="3"/>
  <c r="BN12" i="3"/>
  <c r="B13" i="3"/>
  <c r="X13" i="3" s="1"/>
  <c r="C13" i="3"/>
  <c r="D13" i="3"/>
  <c r="E13" i="3"/>
  <c r="F13" i="3"/>
  <c r="B14" i="3"/>
  <c r="X14" i="3" s="1"/>
  <c r="Y14" i="3" s="1"/>
  <c r="C14" i="3"/>
  <c r="D14" i="3"/>
  <c r="E14" i="3"/>
  <c r="F14" i="3"/>
  <c r="B15" i="3"/>
  <c r="X15" i="3" s="1"/>
  <c r="C15" i="3"/>
  <c r="D15" i="3"/>
  <c r="E15" i="3"/>
  <c r="F15" i="3"/>
  <c r="B16" i="3"/>
  <c r="C16" i="3"/>
  <c r="D16" i="3"/>
  <c r="E16" i="3"/>
  <c r="F16" i="3"/>
  <c r="B17" i="3"/>
  <c r="C17" i="3"/>
  <c r="D17" i="3"/>
  <c r="E17" i="3"/>
  <c r="F17" i="3"/>
  <c r="B18" i="3"/>
  <c r="C18" i="3"/>
  <c r="D18" i="3"/>
  <c r="E18" i="3"/>
  <c r="F18" i="3"/>
  <c r="B19" i="3"/>
  <c r="C19" i="3"/>
  <c r="D19" i="3"/>
  <c r="E19" i="3"/>
  <c r="F19" i="3"/>
  <c r="B6" i="2"/>
  <c r="C6" i="2"/>
  <c r="ID21" i="2" s="1"/>
  <c r="D6" i="2"/>
  <c r="E6" i="2"/>
  <c r="F6" i="2"/>
  <c r="AQ6" i="2"/>
  <c r="AR6" i="2"/>
  <c r="AS6" i="2"/>
  <c r="ID25" i="2" s="1"/>
  <c r="B7" i="2"/>
  <c r="C7" i="2"/>
  <c r="D7" i="2"/>
  <c r="E7" i="2"/>
  <c r="F7" i="2"/>
  <c r="AQ7" i="2"/>
  <c r="AR7" i="2"/>
  <c r="AS7" i="2"/>
  <c r="B8" i="2"/>
  <c r="C8" i="2"/>
  <c r="D8" i="2"/>
  <c r="E8" i="2"/>
  <c r="F8" i="2"/>
  <c r="AQ8" i="2"/>
  <c r="AR8" i="2"/>
  <c r="AS8" i="2"/>
  <c r="B9" i="2"/>
  <c r="C9" i="2"/>
  <c r="D9" i="2"/>
  <c r="E9" i="2"/>
  <c r="F9" i="2"/>
  <c r="AQ9" i="2"/>
  <c r="AR9" i="2"/>
  <c r="AS9" i="2"/>
  <c r="B10" i="2"/>
  <c r="C10" i="2"/>
  <c r="D10" i="2"/>
  <c r="E10" i="2"/>
  <c r="F10" i="2"/>
  <c r="AQ10" i="2"/>
  <c r="AR10" i="2"/>
  <c r="AS10" i="2"/>
  <c r="B11" i="2"/>
  <c r="C11" i="2"/>
  <c r="D11" i="2"/>
  <c r="E11" i="2"/>
  <c r="F11" i="2"/>
  <c r="AQ11" i="2"/>
  <c r="AR11" i="2"/>
  <c r="AS11" i="2"/>
  <c r="B12" i="2"/>
  <c r="C12" i="2"/>
  <c r="D12" i="2"/>
  <c r="E12" i="2"/>
  <c r="F12" i="2"/>
  <c r="AQ12" i="2"/>
  <c r="AR12" i="2"/>
  <c r="AS12" i="2"/>
  <c r="B13" i="2"/>
  <c r="C13" i="2"/>
  <c r="D13" i="2"/>
  <c r="E13" i="2"/>
  <c r="F13" i="2"/>
  <c r="AQ13" i="2"/>
  <c r="AR13" i="2"/>
  <c r="AS13" i="2"/>
  <c r="B14" i="2"/>
  <c r="C14" i="2"/>
  <c r="EN13" i="2" s="1"/>
  <c r="D14" i="2"/>
  <c r="E14" i="2"/>
  <c r="F14" i="2"/>
  <c r="AQ14" i="2"/>
  <c r="AR14" i="2"/>
  <c r="AS14" i="2"/>
  <c r="B15" i="2"/>
  <c r="C15" i="2"/>
  <c r="D15" i="2"/>
  <c r="E15" i="2"/>
  <c r="F15" i="2"/>
  <c r="AQ15" i="2"/>
  <c r="AR15" i="2"/>
  <c r="AS15" i="2"/>
  <c r="B16" i="2"/>
  <c r="C16" i="2"/>
  <c r="D16" i="2"/>
  <c r="E16" i="2"/>
  <c r="F16" i="2"/>
  <c r="AQ16" i="2"/>
  <c r="AR16" i="2"/>
  <c r="AS16" i="2"/>
  <c r="B17" i="2"/>
  <c r="C17" i="2"/>
  <c r="EN16" i="2" s="1"/>
  <c r="D17" i="2"/>
  <c r="E17" i="2"/>
  <c r="F17" i="2"/>
  <c r="AQ17" i="2"/>
  <c r="AR17" i="2"/>
  <c r="AS17" i="2"/>
  <c r="B18" i="2"/>
  <c r="C18" i="2"/>
  <c r="D18" i="2"/>
  <c r="E18" i="2"/>
  <c r="F18" i="2"/>
  <c r="AQ18" i="2"/>
  <c r="AR18" i="2"/>
  <c r="AS18" i="2"/>
  <c r="B19" i="2"/>
  <c r="C19" i="2"/>
  <c r="D19" i="2"/>
  <c r="E19" i="2"/>
  <c r="F19" i="2"/>
  <c r="AQ19" i="2"/>
  <c r="AR19" i="2"/>
  <c r="AS19" i="2"/>
  <c r="B20" i="2"/>
  <c r="C20" i="2"/>
  <c r="D20" i="2"/>
  <c r="E20" i="2"/>
  <c r="F20" i="2"/>
  <c r="AQ20" i="2"/>
  <c r="AR20" i="2"/>
  <c r="AS20" i="2"/>
  <c r="B21" i="2"/>
  <c r="C21" i="2"/>
  <c r="D21" i="2"/>
  <c r="E21" i="2"/>
  <c r="F21" i="2"/>
  <c r="AQ21" i="2"/>
  <c r="AR21" i="2"/>
  <c r="AS21" i="2"/>
  <c r="A99" i="2"/>
  <c r="I44" i="1"/>
  <c r="P45" i="1"/>
  <c r="EN9" i="2" l="1"/>
  <c r="EO9" i="2" s="1"/>
  <c r="EQ9" i="2" s="1"/>
  <c r="EO16" i="2"/>
  <c r="AF15" i="3"/>
  <c r="EO13" i="2"/>
  <c r="EQ13" i="2" s="1"/>
  <c r="AF12" i="3"/>
  <c r="BV22" i="4"/>
  <c r="BV21" i="4"/>
  <c r="BV24" i="4"/>
  <c r="BV20" i="4"/>
  <c r="BV23" i="4"/>
  <c r="BX49" i="4"/>
  <c r="BY49" i="4"/>
  <c r="AJ23" i="3" s="1"/>
  <c r="AK23" i="3" s="1"/>
  <c r="BX48" i="4"/>
  <c r="BY48" i="4"/>
  <c r="AJ22" i="3" s="1"/>
  <c r="AK22" i="3" s="1"/>
  <c r="BX50" i="4"/>
  <c r="BY50" i="4"/>
  <c r="AJ24" i="3" s="1"/>
  <c r="AK24" i="3" s="1"/>
  <c r="BX47" i="4"/>
  <c r="BY47" i="4"/>
  <c r="AJ21" i="3" s="1"/>
  <c r="AK21" i="3" s="1"/>
  <c r="BX46" i="4"/>
  <c r="BY46" i="4"/>
  <c r="AJ20" i="3" s="1"/>
  <c r="AK20" i="3" s="1"/>
  <c r="AP17" i="3"/>
  <c r="AQ17" i="3" s="1"/>
  <c r="AN17" i="3"/>
  <c r="AO17" i="3" s="1"/>
  <c r="AP16" i="3"/>
  <c r="AQ16" i="3" s="1"/>
  <c r="AN16" i="3"/>
  <c r="AO16" i="3" s="1"/>
  <c r="AP15" i="3"/>
  <c r="AQ15" i="3" s="1"/>
  <c r="AN15" i="3"/>
  <c r="AO15" i="3" s="1"/>
  <c r="AP14" i="3"/>
  <c r="AQ14" i="3" s="1"/>
  <c r="AN14" i="3"/>
  <c r="AO14" i="3" s="1"/>
  <c r="AP13" i="3"/>
  <c r="AQ13" i="3" s="1"/>
  <c r="AN13" i="3"/>
  <c r="AO13" i="3" s="1"/>
  <c r="AP12" i="3"/>
  <c r="AQ12" i="3" s="1"/>
  <c r="AN12" i="3"/>
  <c r="AO12" i="3" s="1"/>
  <c r="AP19" i="3"/>
  <c r="AQ19" i="3" s="1"/>
  <c r="AN19" i="3"/>
  <c r="AO19" i="3" s="1"/>
  <c r="AP18" i="3"/>
  <c r="AQ18" i="3" s="1"/>
  <c r="AN18" i="3"/>
  <c r="AO18" i="3" s="1"/>
  <c r="AN11" i="3"/>
  <c r="AO11" i="3" s="1"/>
  <c r="AP11" i="3"/>
  <c r="AQ11" i="3" s="1"/>
  <c r="AN10" i="3"/>
  <c r="AO10" i="3" s="1"/>
  <c r="AP10" i="3"/>
  <c r="AQ10" i="3" s="1"/>
  <c r="AN9" i="3"/>
  <c r="AO9" i="3" s="1"/>
  <c r="AP9" i="3"/>
  <c r="AQ9" i="3" s="1"/>
  <c r="AN8" i="3"/>
  <c r="AO8" i="3" s="1"/>
  <c r="AP8" i="3"/>
  <c r="AQ8" i="3" s="1"/>
  <c r="AN6" i="3"/>
  <c r="AO6" i="3" s="1"/>
  <c r="AP6" i="3"/>
  <c r="AQ6" i="3" s="1"/>
  <c r="AN7" i="3"/>
  <c r="AO7" i="3" s="1"/>
  <c r="AP7" i="3"/>
  <c r="AQ7" i="3" s="1"/>
  <c r="AP5" i="3"/>
  <c r="AQ5" i="3" s="1"/>
  <c r="AP4" i="3"/>
  <c r="AQ4" i="3" s="1"/>
  <c r="AN4" i="3"/>
  <c r="AO4" i="3" s="1"/>
  <c r="IF45" i="2"/>
  <c r="IE45" i="2"/>
  <c r="A51" i="2"/>
  <c r="ID45" i="2"/>
  <c r="ET20" i="2"/>
  <c r="EU20" i="2" s="1"/>
  <c r="ET11" i="2"/>
  <c r="EU11" i="2" s="1"/>
  <c r="ET15" i="2"/>
  <c r="EU15" i="2" s="1"/>
  <c r="ET18" i="2"/>
  <c r="EU18" i="2" s="1"/>
  <c r="ET19" i="2"/>
  <c r="EU19" i="2" s="1"/>
  <c r="ET17" i="2"/>
  <c r="EU17" i="2" s="1"/>
  <c r="ET13" i="2"/>
  <c r="EU13" i="2" s="1"/>
  <c r="ET14" i="2"/>
  <c r="EU14" i="2" s="1"/>
  <c r="ET16" i="2"/>
  <c r="EU16" i="2" s="1"/>
  <c r="A60" i="2"/>
  <c r="A68" i="2"/>
  <c r="EN5" i="2"/>
  <c r="CG17" i="2"/>
  <c r="ET12" i="2"/>
  <c r="EU12" i="2" s="1"/>
  <c r="AZ4" i="3"/>
  <c r="BA4" i="3" s="1"/>
  <c r="BC16" i="2"/>
  <c r="BC8" i="2"/>
  <c r="BC15" i="2"/>
  <c r="BC7" i="2"/>
  <c r="BC6" i="2"/>
  <c r="BC13" i="2"/>
  <c r="BC5" i="2"/>
  <c r="BC11" i="2"/>
  <c r="BC10" i="2"/>
  <c r="BC14" i="2"/>
  <c r="BC12" i="2"/>
  <c r="BC9" i="2"/>
  <c r="EN20" i="2"/>
  <c r="EN18" i="2"/>
  <c r="EN15" i="2"/>
  <c r="EN12" i="2"/>
  <c r="EN8" i="2"/>
  <c r="ET8" i="2"/>
  <c r="EU8" i="2" s="1"/>
  <c r="ET6" i="2"/>
  <c r="EU6" i="2" s="1"/>
  <c r="ET7" i="2"/>
  <c r="EU7" i="2" s="1"/>
  <c r="ET10" i="2"/>
  <c r="EU10" i="2" s="1"/>
  <c r="EN19" i="2"/>
  <c r="EN17" i="2"/>
  <c r="EN14" i="2"/>
  <c r="EN11" i="2"/>
  <c r="EN10" i="2"/>
  <c r="EN7" i="2"/>
  <c r="EN6" i="2"/>
  <c r="ET9" i="2"/>
  <c r="EU9" i="2" s="1"/>
  <c r="ET5" i="2"/>
  <c r="EU5" i="2" s="1"/>
  <c r="EQ16" i="2"/>
  <c r="ER16" i="2"/>
  <c r="EV16" i="2" s="1"/>
  <c r="CD17" i="2"/>
  <c r="CE17" i="2"/>
  <c r="CF17" i="2"/>
  <c r="CC17" i="2"/>
  <c r="AW9" i="2"/>
  <c r="BU17" i="2" s="1"/>
  <c r="BW17" i="2"/>
  <c r="BX17" i="2"/>
  <c r="BZ17" i="2"/>
  <c r="CB17" i="2"/>
  <c r="CA17" i="2"/>
  <c r="BK17" i="2"/>
  <c r="BI17" i="2"/>
  <c r="BH17" i="2"/>
  <c r="BG17" i="2"/>
  <c r="BJ17" i="2"/>
  <c r="BY17" i="2"/>
  <c r="BF19" i="3"/>
  <c r="BG19" i="3" s="1"/>
  <c r="X19" i="3"/>
  <c r="BF18" i="3"/>
  <c r="BG18" i="3" s="1"/>
  <c r="X18" i="3"/>
  <c r="BF17" i="3"/>
  <c r="BG17" i="3" s="1"/>
  <c r="X17" i="3"/>
  <c r="BF16" i="3"/>
  <c r="BG16" i="3" s="1"/>
  <c r="X16" i="3"/>
  <c r="Y15" i="3"/>
  <c r="Y13" i="3"/>
  <c r="Y12" i="3"/>
  <c r="Y11" i="3"/>
  <c r="Y10" i="3"/>
  <c r="Y9" i="3"/>
  <c r="Y8" i="3"/>
  <c r="BF6" i="3"/>
  <c r="BG6" i="3" s="1"/>
  <c r="X6" i="3"/>
  <c r="Y6" i="3" s="1"/>
  <c r="Y7" i="3"/>
  <c r="BF4" i="3"/>
  <c r="BG4" i="3" s="1"/>
  <c r="EN15" i="4"/>
  <c r="EN13" i="4"/>
  <c r="AP21" i="2"/>
  <c r="AN21" i="2"/>
  <c r="AO21" i="2"/>
  <c r="AM21" i="2"/>
  <c r="AP20" i="2"/>
  <c r="AN20" i="2"/>
  <c r="AO20" i="2"/>
  <c r="AM20" i="2"/>
  <c r="AO19" i="2"/>
  <c r="AM19" i="2"/>
  <c r="AP19" i="2"/>
  <c r="AN19" i="2"/>
  <c r="AP18" i="2"/>
  <c r="AN18" i="2"/>
  <c r="AO18" i="2"/>
  <c r="AM18" i="2"/>
  <c r="AP17" i="2"/>
  <c r="AN17" i="2"/>
  <c r="AO17" i="2"/>
  <c r="AM17" i="2"/>
  <c r="AP16" i="2"/>
  <c r="AN16" i="2"/>
  <c r="AO16" i="2"/>
  <c r="AM16" i="2"/>
  <c r="AO15" i="2"/>
  <c r="AM15" i="2"/>
  <c r="AP15" i="2"/>
  <c r="AN15" i="2"/>
  <c r="AO14" i="2"/>
  <c r="AM14" i="2"/>
  <c r="AP14" i="2"/>
  <c r="AN14" i="2"/>
  <c r="AP13" i="2"/>
  <c r="AN13" i="2"/>
  <c r="AO13" i="2"/>
  <c r="AM13" i="2"/>
  <c r="AP12" i="2"/>
  <c r="AN12" i="2"/>
  <c r="AO12" i="2"/>
  <c r="AM12" i="2"/>
  <c r="AO11" i="2"/>
  <c r="AM11" i="2"/>
  <c r="AP11" i="2"/>
  <c r="AN11" i="2"/>
  <c r="AP10" i="2"/>
  <c r="AO10" i="2"/>
  <c r="AM10" i="2"/>
  <c r="AN10" i="2"/>
  <c r="AP9" i="2"/>
  <c r="AN9" i="2"/>
  <c r="AO9" i="2"/>
  <c r="AM9" i="2"/>
  <c r="AP8" i="2"/>
  <c r="AN8" i="2"/>
  <c r="AO8" i="2"/>
  <c r="AM8" i="2"/>
  <c r="AO7" i="2"/>
  <c r="AM7" i="2"/>
  <c r="AP7" i="2"/>
  <c r="AN7" i="2"/>
  <c r="AO6" i="2"/>
  <c r="AP6" i="2"/>
  <c r="AN6" i="2"/>
  <c r="AM6" i="2"/>
  <c r="BF5" i="3"/>
  <c r="BG5" i="3" s="1"/>
  <c r="AB15" i="3"/>
  <c r="AC15" i="3" s="1"/>
  <c r="BF15" i="3"/>
  <c r="BG15" i="3" s="1"/>
  <c r="AX15" i="3"/>
  <c r="AY15" i="3" s="1"/>
  <c r="AB12" i="3"/>
  <c r="AC12" i="3" s="1"/>
  <c r="BF12" i="3"/>
  <c r="BG12" i="3" s="1"/>
  <c r="AX12" i="3"/>
  <c r="AY12" i="3" s="1"/>
  <c r="AB8" i="3"/>
  <c r="AC8" i="3" s="1"/>
  <c r="BF8" i="3"/>
  <c r="BG8" i="3" s="1"/>
  <c r="AX8" i="3"/>
  <c r="AY8" i="3" s="1"/>
  <c r="AB14" i="3"/>
  <c r="AC14" i="3" s="1"/>
  <c r="BF14" i="3"/>
  <c r="BG14" i="3" s="1"/>
  <c r="AX14" i="3"/>
  <c r="AY14" i="3" s="1"/>
  <c r="AB11" i="3"/>
  <c r="AC11" i="3" s="1"/>
  <c r="BF11" i="3"/>
  <c r="BG11" i="3" s="1"/>
  <c r="AX11" i="3"/>
  <c r="AY11" i="3" s="1"/>
  <c r="AB13" i="3"/>
  <c r="AC13" i="3" s="1"/>
  <c r="BF13" i="3"/>
  <c r="BG13" i="3" s="1"/>
  <c r="AX13" i="3"/>
  <c r="AY13" i="3" s="1"/>
  <c r="AB9" i="3"/>
  <c r="AC9" i="3" s="1"/>
  <c r="BF9" i="3"/>
  <c r="BG9" i="3" s="1"/>
  <c r="AX9" i="3"/>
  <c r="AY9" i="3" s="1"/>
  <c r="AB10" i="3"/>
  <c r="AC10" i="3" s="1"/>
  <c r="BF10" i="3"/>
  <c r="BG10" i="3" s="1"/>
  <c r="AX10" i="3"/>
  <c r="AY10" i="3" s="1"/>
  <c r="AB7" i="3"/>
  <c r="AC7" i="3" s="1"/>
  <c r="BF7" i="3"/>
  <c r="BG7" i="3" s="1"/>
  <c r="AX7" i="3"/>
  <c r="AY7" i="3" s="1"/>
  <c r="AB6" i="3"/>
  <c r="AC6" i="3" s="1"/>
  <c r="AX6" i="3"/>
  <c r="AY6" i="3" s="1"/>
  <c r="AX4" i="3"/>
  <c r="AY4" i="3" s="1"/>
  <c r="AB17" i="3"/>
  <c r="AC17" i="3" s="1"/>
  <c r="AX17" i="3"/>
  <c r="AY17" i="3" s="1"/>
  <c r="AB18" i="3"/>
  <c r="AC18" i="3" s="1"/>
  <c r="AX18" i="3"/>
  <c r="AY18" i="3" s="1"/>
  <c r="AB16" i="3"/>
  <c r="AC16" i="3" s="1"/>
  <c r="AX16" i="3"/>
  <c r="AY16" i="3" s="1"/>
  <c r="EN18" i="4"/>
  <c r="AB19" i="3"/>
  <c r="AC19" i="3" s="1"/>
  <c r="AX19" i="3"/>
  <c r="AY19" i="3" s="1"/>
  <c r="AX5" i="3"/>
  <c r="AY5" i="3" s="1"/>
  <c r="AE21" i="2"/>
  <c r="AG21" i="2"/>
  <c r="AF21" i="2"/>
  <c r="AF20" i="2"/>
  <c r="AE20" i="2"/>
  <c r="AG20" i="2"/>
  <c r="AG7" i="2"/>
  <c r="AB6" i="2"/>
  <c r="AG6" i="2"/>
  <c r="AF9" i="2"/>
  <c r="AG9" i="2"/>
  <c r="AE9" i="2"/>
  <c r="AE19" i="2"/>
  <c r="AG19" i="2"/>
  <c r="AF19" i="2"/>
  <c r="AF18" i="2"/>
  <c r="AE18" i="2"/>
  <c r="AG18" i="2"/>
  <c r="AG17" i="2"/>
  <c r="AE17" i="2"/>
  <c r="AF17" i="2"/>
  <c r="AG16" i="2"/>
  <c r="AF16" i="2"/>
  <c r="AE16" i="2"/>
  <c r="AE15" i="2"/>
  <c r="AF15" i="2"/>
  <c r="AG15" i="2"/>
  <c r="AF14" i="2"/>
  <c r="AE14" i="2"/>
  <c r="AG14" i="2"/>
  <c r="AF13" i="2"/>
  <c r="AG13" i="2"/>
  <c r="AE13" i="2"/>
  <c r="AG12" i="2"/>
  <c r="AE12" i="2"/>
  <c r="AF12" i="2"/>
  <c r="AE11" i="2"/>
  <c r="AG11" i="2"/>
  <c r="AF11" i="2"/>
  <c r="AG10" i="2"/>
  <c r="AF10" i="2"/>
  <c r="AE10" i="2"/>
  <c r="AF8" i="2"/>
  <c r="AE8" i="2"/>
  <c r="AG8" i="2"/>
  <c r="AF6" i="2"/>
  <c r="AE6" i="2"/>
  <c r="AF7" i="2"/>
  <c r="AE7" i="2"/>
  <c r="AD20" i="2"/>
  <c r="AC20" i="2"/>
  <c r="AB20" i="2"/>
  <c r="AB18" i="2"/>
  <c r="AD18" i="2"/>
  <c r="AC18" i="2"/>
  <c r="AD17" i="2"/>
  <c r="AC17" i="2"/>
  <c r="AB17" i="2"/>
  <c r="AB14" i="2"/>
  <c r="AD14" i="2"/>
  <c r="AC14" i="2"/>
  <c r="AD12" i="2"/>
  <c r="AB12" i="2"/>
  <c r="AC12" i="2"/>
  <c r="AB10" i="2"/>
  <c r="AD10" i="2"/>
  <c r="AC10" i="2"/>
  <c r="AD8" i="2"/>
  <c r="AB8" i="2"/>
  <c r="AC8" i="2"/>
  <c r="AD21" i="2"/>
  <c r="AC21" i="2"/>
  <c r="AB21" i="2"/>
  <c r="AB19" i="2"/>
  <c r="AD19" i="2"/>
  <c r="AC19" i="2"/>
  <c r="AD16" i="2"/>
  <c r="AC16" i="2"/>
  <c r="AB16" i="2"/>
  <c r="AC15" i="2"/>
  <c r="AD15" i="2"/>
  <c r="AB15" i="2"/>
  <c r="AD13" i="2"/>
  <c r="AC13" i="2"/>
  <c r="AB13" i="2"/>
  <c r="AB11" i="2"/>
  <c r="AD11" i="2"/>
  <c r="AC11" i="2"/>
  <c r="AD9" i="2"/>
  <c r="AC9" i="2"/>
  <c r="AB9" i="2"/>
  <c r="AD7" i="2"/>
  <c r="AB7" i="2"/>
  <c r="AC7" i="2"/>
  <c r="AA6" i="2"/>
  <c r="AC6" i="2"/>
  <c r="AD6" i="2"/>
  <c r="AH21" i="2"/>
  <c r="Z21" i="2"/>
  <c r="AA21" i="2"/>
  <c r="Y21" i="2"/>
  <c r="AH20" i="2"/>
  <c r="Z20" i="2"/>
  <c r="AA20" i="2"/>
  <c r="Y20" i="2"/>
  <c r="AK19" i="2"/>
  <c r="Z19" i="2"/>
  <c r="AA19" i="2"/>
  <c r="Y19" i="2"/>
  <c r="Z18" i="2"/>
  <c r="AA18" i="2"/>
  <c r="Y18" i="2"/>
  <c r="Z17" i="2"/>
  <c r="AA17" i="2"/>
  <c r="Y17" i="2"/>
  <c r="AL16" i="2"/>
  <c r="Z16" i="2"/>
  <c r="AA16" i="2"/>
  <c r="Y16" i="2"/>
  <c r="AH15" i="2"/>
  <c r="Y15" i="2"/>
  <c r="Z15" i="2"/>
  <c r="AA15" i="2"/>
  <c r="AA14" i="2"/>
  <c r="Y14" i="2"/>
  <c r="Z14" i="2"/>
  <c r="AI13" i="2"/>
  <c r="Z13" i="2"/>
  <c r="AA13" i="2"/>
  <c r="Y13" i="2"/>
  <c r="AH12" i="2"/>
  <c r="AA12" i="2"/>
  <c r="Z12" i="2"/>
  <c r="Y12" i="2"/>
  <c r="AK11" i="2"/>
  <c r="Y11" i="2"/>
  <c r="AA11" i="2"/>
  <c r="Z11" i="2"/>
  <c r="Y10" i="2"/>
  <c r="AA10" i="2"/>
  <c r="Z10" i="2"/>
  <c r="Y9" i="2"/>
  <c r="AA9" i="2"/>
  <c r="Z9" i="2"/>
  <c r="Y8" i="2"/>
  <c r="AA8" i="2"/>
  <c r="Z8" i="2"/>
  <c r="AK7" i="2"/>
  <c r="Y7" i="2"/>
  <c r="AA7" i="2"/>
  <c r="Z7" i="2"/>
  <c r="Z6" i="2"/>
  <c r="Y6" i="2"/>
  <c r="AK6" i="2"/>
  <c r="Z5" i="3"/>
  <c r="AA5" i="3" s="1"/>
  <c r="AB5" i="3"/>
  <c r="AC5" i="3" s="1"/>
  <c r="Z4" i="3"/>
  <c r="AA4" i="3" s="1"/>
  <c r="AB4" i="3"/>
  <c r="AC4" i="3" s="1"/>
  <c r="EN16" i="4"/>
  <c r="EN17" i="4"/>
  <c r="EN14" i="4"/>
  <c r="EN12" i="4"/>
  <c r="EN11" i="4"/>
  <c r="EN10" i="4"/>
  <c r="EN9" i="4"/>
  <c r="EN8" i="4"/>
  <c r="EN7" i="4"/>
  <c r="EN6" i="4"/>
  <c r="EO6" i="4" s="1"/>
  <c r="EN5" i="4"/>
  <c r="EO5" i="4" s="1"/>
  <c r="EN4" i="4"/>
  <c r="EO4" i="4" s="1"/>
  <c r="EN3" i="4"/>
  <c r="EO3" i="4" s="1"/>
  <c r="AD4" i="3"/>
  <c r="Z19" i="3"/>
  <c r="AD19" i="3"/>
  <c r="AD10" i="3"/>
  <c r="Z10" i="3"/>
  <c r="Z14" i="3"/>
  <c r="AD14" i="3"/>
  <c r="AD17" i="3"/>
  <c r="Z17" i="3"/>
  <c r="Z13" i="3"/>
  <c r="AD13" i="3"/>
  <c r="AD9" i="3"/>
  <c r="Z9" i="3"/>
  <c r="Z16" i="3"/>
  <c r="AD16" i="3"/>
  <c r="Z6" i="3"/>
  <c r="AD6" i="3"/>
  <c r="Z11" i="3"/>
  <c r="AD11" i="3"/>
  <c r="Z7" i="3"/>
  <c r="AD7" i="3"/>
  <c r="Z15" i="3"/>
  <c r="AD15" i="3"/>
  <c r="Z12" i="3"/>
  <c r="AD12" i="3"/>
  <c r="Z8" i="3"/>
  <c r="AD8" i="3"/>
  <c r="AD18" i="3"/>
  <c r="Z18" i="3"/>
  <c r="AD5" i="3"/>
  <c r="EK9" i="4"/>
  <c r="EK8" i="4"/>
  <c r="EL8" i="4" s="1"/>
  <c r="EK7" i="4"/>
  <c r="EK17" i="4"/>
  <c r="EK13" i="4"/>
  <c r="EK11" i="4"/>
  <c r="EK6" i="4"/>
  <c r="ET6" i="4" s="1"/>
  <c r="EK16" i="4"/>
  <c r="EL16" i="4" s="1"/>
  <c r="EK15" i="4"/>
  <c r="EK12" i="4"/>
  <c r="EK3" i="4"/>
  <c r="EK14" i="4"/>
  <c r="EK4" i="4"/>
  <c r="EK10" i="4"/>
  <c r="EK18" i="4"/>
  <c r="EK5" i="4"/>
  <c r="EL5" i="4" s="1"/>
  <c r="BS66" i="4"/>
  <c r="BS69" i="4"/>
  <c r="BS63" i="4"/>
  <c r="BS58" i="4"/>
  <c r="BS67" i="4"/>
  <c r="BS70" i="4"/>
  <c r="BS65" i="4"/>
  <c r="BS61" i="4"/>
  <c r="BS56" i="4"/>
  <c r="AI8" i="2"/>
  <c r="AL15" i="2"/>
  <c r="X15" i="2"/>
  <c r="AI15" i="2"/>
  <c r="AI20" i="2"/>
  <c r="AH18" i="2"/>
  <c r="X17" i="2"/>
  <c r="AL17" i="2"/>
  <c r="AK17" i="2"/>
  <c r="AJ17" i="2"/>
  <c r="AH17" i="2"/>
  <c r="AL13" i="2"/>
  <c r="AK13" i="2"/>
  <c r="AK14" i="2"/>
  <c r="X21" i="2"/>
  <c r="AK21" i="2"/>
  <c r="X20" i="2"/>
  <c r="AI17" i="2"/>
  <c r="AJ21" i="2"/>
  <c r="AL20" i="2"/>
  <c r="AI21" i="2"/>
  <c r="AK20" i="2"/>
  <c r="AK18" i="2"/>
  <c r="AL21" i="2"/>
  <c r="AJ20" i="2"/>
  <c r="AI18" i="2"/>
  <c r="N12" i="3"/>
  <c r="AT12" i="3" s="1"/>
  <c r="AU12" i="3" s="1"/>
  <c r="I17" i="3"/>
  <c r="M6" i="3"/>
  <c r="N18" i="3"/>
  <c r="AT18" i="3" s="1"/>
  <c r="AU18" i="3" s="1"/>
  <c r="N7" i="3"/>
  <c r="AT7" i="3" s="1"/>
  <c r="AU7" i="3" s="1"/>
  <c r="BS71" i="4"/>
  <c r="K17" i="3"/>
  <c r="BU69" i="4" s="1"/>
  <c r="N14" i="3"/>
  <c r="AR14" i="3" s="1"/>
  <c r="AS14" i="3" s="1"/>
  <c r="J14" i="3"/>
  <c r="M12" i="3"/>
  <c r="I15" i="3"/>
  <c r="I17" i="2" s="1"/>
  <c r="O5" i="3"/>
  <c r="J16" i="3"/>
  <c r="L17" i="3"/>
  <c r="N15" i="3"/>
  <c r="AR15" i="3" s="1"/>
  <c r="AS15" i="3" s="1"/>
  <c r="L8" i="3"/>
  <c r="K10" i="3"/>
  <c r="BU62" i="4" s="1"/>
  <c r="J9" i="3"/>
  <c r="AJ14" i="2"/>
  <c r="AI14" i="2"/>
  <c r="H12" i="3"/>
  <c r="G12" i="3" s="1"/>
  <c r="AH14" i="2"/>
  <c r="O12" i="3"/>
  <c r="X13" i="2"/>
  <c r="I4" i="3"/>
  <c r="L18" i="3"/>
  <c r="J17" i="3"/>
  <c r="O15" i="3"/>
  <c r="H17" i="3"/>
  <c r="G17" i="3" s="1"/>
  <c r="N19" i="3"/>
  <c r="AR19" i="3" s="1"/>
  <c r="AS19" i="3" s="1"/>
  <c r="M19" i="3"/>
  <c r="J18" i="3"/>
  <c r="I14" i="3"/>
  <c r="M16" i="3"/>
  <c r="H15" i="3"/>
  <c r="G15" i="3" s="1"/>
  <c r="J12" i="3"/>
  <c r="L19" i="3"/>
  <c r="I18" i="3"/>
  <c r="H14" i="3"/>
  <c r="G14" i="3" s="1"/>
  <c r="H19" i="3"/>
  <c r="G19" i="3" s="1"/>
  <c r="L15" i="3"/>
  <c r="O18" i="3"/>
  <c r="I12" i="3"/>
  <c r="M15" i="3"/>
  <c r="O17" i="2" s="1"/>
  <c r="H18" i="3"/>
  <c r="G18" i="3" s="1"/>
  <c r="L12" i="3"/>
  <c r="J15" i="3"/>
  <c r="K12" i="3"/>
  <c r="J7" i="3"/>
  <c r="I7" i="3"/>
  <c r="H7" i="3"/>
  <c r="G7" i="3" s="1"/>
  <c r="W7" i="3" s="1"/>
  <c r="O7" i="3"/>
  <c r="M7" i="3"/>
  <c r="L7" i="3"/>
  <c r="K7" i="3"/>
  <c r="BU59" i="4" s="1"/>
  <c r="I6" i="3"/>
  <c r="L10" i="3"/>
  <c r="X12" i="2"/>
  <c r="M10" i="3"/>
  <c r="AK12" i="2"/>
  <c r="AJ11" i="2"/>
  <c r="AJ12" i="2"/>
  <c r="AI11" i="2"/>
  <c r="AI12" i="2"/>
  <c r="AH11" i="2"/>
  <c r="AL10" i="2"/>
  <c r="AK10" i="2"/>
  <c r="AI10" i="2"/>
  <c r="X8" i="2"/>
  <c r="L6" i="3"/>
  <c r="K6" i="3"/>
  <c r="BU58" i="4" s="1"/>
  <c r="J6" i="3"/>
  <c r="AI7" i="2"/>
  <c r="AJ7" i="2"/>
  <c r="AH7" i="2"/>
  <c r="AZ9" i="2"/>
  <c r="M8" i="3"/>
  <c r="X7" i="2"/>
  <c r="AL11" i="2"/>
  <c r="AK8" i="2"/>
  <c r="AL7" i="2"/>
  <c r="AJ8" i="2"/>
  <c r="J4" i="3"/>
  <c r="M13" i="3"/>
  <c r="N13" i="3"/>
  <c r="O13" i="3"/>
  <c r="L13" i="3"/>
  <c r="H13" i="3"/>
  <c r="G13" i="3" s="1"/>
  <c r="I13" i="3"/>
  <c r="X6" i="2"/>
  <c r="K13" i="3"/>
  <c r="BS60" i="4"/>
  <c r="J13" i="3"/>
  <c r="K9" i="3"/>
  <c r="L9" i="3"/>
  <c r="M9" i="3"/>
  <c r="O9" i="3"/>
  <c r="H9" i="3"/>
  <c r="G9" i="3" s="1"/>
  <c r="W9" i="3" s="1"/>
  <c r="I9" i="3"/>
  <c r="N9" i="3"/>
  <c r="AJ19" i="2"/>
  <c r="AL19" i="2"/>
  <c r="X19" i="2"/>
  <c r="AH19" i="2"/>
  <c r="AI19" i="2"/>
  <c r="AH6" i="2"/>
  <c r="AI6" i="2"/>
  <c r="AJ6" i="2"/>
  <c r="K11" i="3"/>
  <c r="BU63" i="4" s="1"/>
  <c r="L11" i="3"/>
  <c r="M11" i="3"/>
  <c r="H11" i="3"/>
  <c r="G11" i="3" s="1"/>
  <c r="N11" i="3"/>
  <c r="J11" i="3"/>
  <c r="O11" i="3"/>
  <c r="BS57" i="4"/>
  <c r="AH16" i="2"/>
  <c r="X16" i="2"/>
  <c r="AI16" i="2"/>
  <c r="AJ16" i="2"/>
  <c r="X11" i="2"/>
  <c r="AH8" i="2"/>
  <c r="AK16" i="2"/>
  <c r="L5" i="3"/>
  <c r="M5" i="3"/>
  <c r="N5" i="3"/>
  <c r="H5" i="3"/>
  <c r="G5" i="3" s="1"/>
  <c r="W5" i="3" s="1"/>
  <c r="I5" i="3"/>
  <c r="J5" i="3"/>
  <c r="K5" i="3"/>
  <c r="AJ9" i="2"/>
  <c r="X9" i="2"/>
  <c r="AL9" i="2"/>
  <c r="AH9" i="2"/>
  <c r="AI9" i="2"/>
  <c r="AK9" i="2"/>
  <c r="I11" i="3"/>
  <c r="AL6" i="2"/>
  <c r="O16" i="3"/>
  <c r="H16" i="3"/>
  <c r="G16" i="3" s="1"/>
  <c r="I16" i="3"/>
  <c r="N16" i="3"/>
  <c r="K16" i="3"/>
  <c r="BU68" i="4" s="1"/>
  <c r="L16" i="3"/>
  <c r="AJ13" i="2"/>
  <c r="AH13" i="2"/>
  <c r="BS62" i="4"/>
  <c r="O8" i="3"/>
  <c r="H8" i="3"/>
  <c r="G8" i="3" s="1"/>
  <c r="W8" i="3" s="1"/>
  <c r="I8" i="3"/>
  <c r="J8" i="3"/>
  <c r="K8" i="3"/>
  <c r="BU60" i="4" s="1"/>
  <c r="L4" i="3"/>
  <c r="M4" i="3"/>
  <c r="N4" i="3"/>
  <c r="H4" i="3"/>
  <c r="G4" i="3" s="1"/>
  <c r="K4" i="3"/>
  <c r="FT20" i="4"/>
  <c r="FT17" i="4"/>
  <c r="FT23" i="4"/>
  <c r="N10" i="3"/>
  <c r="O10" i="3"/>
  <c r="H10" i="3"/>
  <c r="G10" i="3" s="1"/>
  <c r="I10" i="3"/>
  <c r="J10" i="3"/>
  <c r="N8" i="3"/>
  <c r="O4" i="3"/>
  <c r="X18" i="2"/>
  <c r="AL18" i="2"/>
  <c r="AJ15" i="2"/>
  <c r="BS64" i="4"/>
  <c r="AJ18" i="2"/>
  <c r="AK15" i="2"/>
  <c r="I19" i="3"/>
  <c r="K19" i="3"/>
  <c r="BU71" i="4" s="1"/>
  <c r="O19" i="3"/>
  <c r="J19" i="3"/>
  <c r="X14" i="2"/>
  <c r="AL14" i="2"/>
  <c r="AH10" i="2"/>
  <c r="AJ10" i="2"/>
  <c r="X10" i="2"/>
  <c r="M17" i="3"/>
  <c r="O17" i="3"/>
  <c r="N17" i="3"/>
  <c r="K14" i="3"/>
  <c r="BU66" i="4" s="1"/>
  <c r="L14" i="3"/>
  <c r="M14" i="3"/>
  <c r="O14" i="3"/>
  <c r="K18" i="3"/>
  <c r="M18" i="3"/>
  <c r="BS68" i="4"/>
  <c r="N6" i="3"/>
  <c r="O6" i="3"/>
  <c r="H6" i="3"/>
  <c r="G6" i="3" s="1"/>
  <c r="W6" i="3" s="1"/>
  <c r="K15" i="3"/>
  <c r="BS59" i="4"/>
  <c r="AL12" i="2"/>
  <c r="AL8" i="2"/>
  <c r="AF8" i="3" l="1"/>
  <c r="AG8" i="3" s="1"/>
  <c r="ER9" i="2"/>
  <c r="EV9" i="2" s="1"/>
  <c r="ER13" i="2"/>
  <c r="EV13" i="2" s="1"/>
  <c r="EO14" i="2"/>
  <c r="EQ14" i="2" s="1"/>
  <c r="AF13" i="3"/>
  <c r="EO17" i="2"/>
  <c r="ER17" i="2" s="1"/>
  <c r="EV17" i="2" s="1"/>
  <c r="AF16" i="3"/>
  <c r="EO20" i="2"/>
  <c r="EQ20" i="2" s="1"/>
  <c r="AF19" i="3"/>
  <c r="EO5" i="2"/>
  <c r="EQ5" i="2" s="1"/>
  <c r="AF4" i="3"/>
  <c r="AG4" i="3" s="1"/>
  <c r="EO12" i="2"/>
  <c r="EQ12" i="2" s="1"/>
  <c r="AF11" i="3"/>
  <c r="EO15" i="2"/>
  <c r="EQ15" i="2" s="1"/>
  <c r="AF14" i="3"/>
  <c r="EO19" i="2"/>
  <c r="ER19" i="2" s="1"/>
  <c r="EV19" i="2" s="1"/>
  <c r="AF18" i="3"/>
  <c r="EO18" i="2"/>
  <c r="ER18" i="2" s="1"/>
  <c r="EV18" i="2" s="1"/>
  <c r="AF17" i="3"/>
  <c r="EO6" i="2"/>
  <c r="EQ6" i="2" s="1"/>
  <c r="AF5" i="3"/>
  <c r="AG5" i="3" s="1"/>
  <c r="EO7" i="2"/>
  <c r="EQ7" i="2" s="1"/>
  <c r="AF6" i="3"/>
  <c r="AG6" i="3" s="1"/>
  <c r="EO10" i="2"/>
  <c r="EQ10" i="2" s="1"/>
  <c r="AF9" i="3"/>
  <c r="EO11" i="2"/>
  <c r="EQ11" i="2" s="1"/>
  <c r="AF10" i="3"/>
  <c r="EO8" i="2"/>
  <c r="EQ8" i="2" s="1"/>
  <c r="AF7" i="3"/>
  <c r="AG7" i="3" s="1"/>
  <c r="AA27" i="2"/>
  <c r="AC27" i="2"/>
  <c r="AL27" i="2"/>
  <c r="AI27" i="2"/>
  <c r="Y27" i="2"/>
  <c r="AB27" i="2"/>
  <c r="AN27" i="2"/>
  <c r="X27" i="2"/>
  <c r="AP27" i="2"/>
  <c r="AE27" i="2"/>
  <c r="AM27" i="2"/>
  <c r="AF27" i="2"/>
  <c r="AO27" i="2"/>
  <c r="AJ27" i="2"/>
  <c r="AK27" i="2"/>
  <c r="AD27" i="2"/>
  <c r="AH27" i="2"/>
  <c r="Z27" i="2"/>
  <c r="AG27" i="2"/>
  <c r="BX23" i="4"/>
  <c r="BY23" i="4"/>
  <c r="BX20" i="4"/>
  <c r="BY20" i="4"/>
  <c r="AH20" i="3" s="1"/>
  <c r="BX24" i="4"/>
  <c r="BY24" i="4"/>
  <c r="BY21" i="4"/>
  <c r="V21" i="3" s="1"/>
  <c r="BX21" i="4"/>
  <c r="BX22" i="4"/>
  <c r="BY22" i="4"/>
  <c r="V22" i="3" s="1"/>
  <c r="AE19" i="3"/>
  <c r="BH16" i="3"/>
  <c r="BI16" i="3" s="1"/>
  <c r="BP90" i="4"/>
  <c r="BP85" i="4"/>
  <c r="BP88" i="4"/>
  <c r="BP86" i="4"/>
  <c r="BP97" i="4"/>
  <c r="BP96" i="4"/>
  <c r="BP91" i="4"/>
  <c r="BP89" i="4"/>
  <c r="BP95" i="4"/>
  <c r="BP94" i="4"/>
  <c r="BP98" i="4"/>
  <c r="BP92" i="4"/>
  <c r="BP87" i="4"/>
  <c r="BP99" i="4"/>
  <c r="BP93" i="4"/>
  <c r="M17" i="2"/>
  <c r="D33" i="2"/>
  <c r="C33" i="2"/>
  <c r="BH11" i="3"/>
  <c r="BI11" i="3" s="1"/>
  <c r="ER11" i="2"/>
  <c r="EV11" i="2" s="1"/>
  <c r="BH18" i="3"/>
  <c r="BI18" i="3" s="1"/>
  <c r="BH15" i="3"/>
  <c r="BI15" i="3" s="1"/>
  <c r="BH14" i="3"/>
  <c r="BI14" i="3" s="1"/>
  <c r="BH10" i="3"/>
  <c r="BI10" i="3" s="1"/>
  <c r="ER15" i="2"/>
  <c r="EV15" i="2" s="1"/>
  <c r="ES16" i="2"/>
  <c r="S23" i="1" s="1"/>
  <c r="BH9" i="3"/>
  <c r="BI9" i="3" s="1"/>
  <c r="BQ17" i="2"/>
  <c r="BV17" i="2"/>
  <c r="BT17" i="2"/>
  <c r="BP17" i="2"/>
  <c r="BN17" i="2"/>
  <c r="BR17" i="2"/>
  <c r="BL17" i="2"/>
  <c r="BM17" i="2"/>
  <c r="BS17" i="2"/>
  <c r="BO17" i="2"/>
  <c r="I15" i="2"/>
  <c r="J15" i="2" s="1"/>
  <c r="K16" i="2"/>
  <c r="L16" i="2" s="1"/>
  <c r="K21" i="2"/>
  <c r="L21" i="2" s="1"/>
  <c r="O21" i="2"/>
  <c r="M13" i="2"/>
  <c r="N8" i="2"/>
  <c r="M9" i="2"/>
  <c r="M14" i="2"/>
  <c r="I20" i="2"/>
  <c r="J20" i="2" s="1"/>
  <c r="N19" i="2"/>
  <c r="O13" i="2"/>
  <c r="M11" i="2"/>
  <c r="M15" i="2"/>
  <c r="P16" i="2"/>
  <c r="Q16" i="2" s="1"/>
  <c r="O7" i="2"/>
  <c r="W10" i="2"/>
  <c r="W9" i="2"/>
  <c r="M21" i="2"/>
  <c r="I9" i="2"/>
  <c r="J9" i="2" s="1"/>
  <c r="P18" i="2"/>
  <c r="Q18" i="2" s="1"/>
  <c r="V14" i="2"/>
  <c r="I19" i="2"/>
  <c r="J19" i="2" s="1"/>
  <c r="M12" i="2"/>
  <c r="N16" i="2"/>
  <c r="O15" i="2"/>
  <c r="N20" i="2"/>
  <c r="O19" i="2"/>
  <c r="M18" i="2"/>
  <c r="P11" i="2"/>
  <c r="Q11" i="2" s="1"/>
  <c r="I8" i="2"/>
  <c r="J8" i="2" s="1"/>
  <c r="M10" i="2"/>
  <c r="V12" i="2"/>
  <c r="U8" i="2"/>
  <c r="I6" i="2"/>
  <c r="J6" i="2" s="1"/>
  <c r="Y19" i="3"/>
  <c r="Y18" i="3"/>
  <c r="Y17" i="3"/>
  <c r="Y16" i="3"/>
  <c r="BH8" i="3"/>
  <c r="BI8" i="3" s="1"/>
  <c r="BH19" i="3"/>
  <c r="BI19" i="3" s="1"/>
  <c r="BH13" i="3"/>
  <c r="BI13" i="3" s="1"/>
  <c r="J17" i="2"/>
  <c r="BH12" i="3"/>
  <c r="BI12" i="3" s="1"/>
  <c r="BH7" i="3"/>
  <c r="BI7" i="3" s="1"/>
  <c r="BH17" i="3"/>
  <c r="BI17" i="3" s="1"/>
  <c r="BH5" i="3"/>
  <c r="BI5" i="3" s="1"/>
  <c r="BH6" i="3"/>
  <c r="BI6" i="3" s="1"/>
  <c r="AE11" i="3"/>
  <c r="AE18" i="3"/>
  <c r="AE13" i="3"/>
  <c r="AE16" i="3"/>
  <c r="AE17" i="3"/>
  <c r="AE14" i="3"/>
  <c r="AE15" i="3"/>
  <c r="AA8" i="3"/>
  <c r="AL12" i="3"/>
  <c r="AM12" i="3" s="1"/>
  <c r="AE10" i="3"/>
  <c r="AA6" i="3"/>
  <c r="AA17" i="3"/>
  <c r="AA7" i="3"/>
  <c r="AA11" i="3"/>
  <c r="AA13" i="3"/>
  <c r="AA12" i="3"/>
  <c r="AA16" i="3"/>
  <c r="AA14" i="3"/>
  <c r="AA19" i="3"/>
  <c r="AA9" i="3"/>
  <c r="AA10" i="3"/>
  <c r="AA18" i="3"/>
  <c r="AA15" i="3"/>
  <c r="AE8" i="3"/>
  <c r="EO16" i="4"/>
  <c r="EQ16" i="4" s="1"/>
  <c r="EO8" i="4"/>
  <c r="ER8" i="4" s="1"/>
  <c r="AL18" i="3"/>
  <c r="AM18" i="3" s="1"/>
  <c r="EO9" i="4"/>
  <c r="AL17" i="3"/>
  <c r="AM17" i="3" s="1"/>
  <c r="AL14" i="3"/>
  <c r="AM14" i="3" s="1"/>
  <c r="EO14" i="4"/>
  <c r="EO17" i="4"/>
  <c r="AL13" i="3"/>
  <c r="AM13" i="3" s="1"/>
  <c r="EO10" i="4"/>
  <c r="AL15" i="3"/>
  <c r="AM15" i="3" s="1"/>
  <c r="EO15" i="4"/>
  <c r="EO13" i="4"/>
  <c r="AL16" i="3"/>
  <c r="AM16" i="3" s="1"/>
  <c r="EO18" i="4"/>
  <c r="EO11" i="4"/>
  <c r="EO12" i="4"/>
  <c r="EO7" i="4"/>
  <c r="ET18" i="4"/>
  <c r="EU18" i="4" s="1"/>
  <c r="EU6" i="4"/>
  <c r="ET7" i="4"/>
  <c r="EU7" i="4" s="1"/>
  <c r="EL18" i="4"/>
  <c r="EL3" i="4"/>
  <c r="EL6" i="4"/>
  <c r="EQ6" i="4" s="1"/>
  <c r="EL7" i="4"/>
  <c r="ET14" i="4"/>
  <c r="EU14" i="4" s="1"/>
  <c r="ET17" i="4"/>
  <c r="EU17" i="4" s="1"/>
  <c r="EL14" i="4"/>
  <c r="EL17" i="4"/>
  <c r="ET10" i="4"/>
  <c r="EU10" i="4" s="1"/>
  <c r="ET12" i="4"/>
  <c r="EU12" i="4" s="1"/>
  <c r="ET11" i="4"/>
  <c r="EU11" i="4" s="1"/>
  <c r="EL10" i="4"/>
  <c r="EL12" i="4"/>
  <c r="EL11" i="4"/>
  <c r="ET5" i="4"/>
  <c r="EU5" i="4" s="1"/>
  <c r="ET16" i="4"/>
  <c r="EU16" i="4" s="1"/>
  <c r="ET8" i="4"/>
  <c r="EU8" i="4" s="1"/>
  <c r="ET3" i="4"/>
  <c r="EU3" i="4" s="1"/>
  <c r="ET4" i="4"/>
  <c r="EU4" i="4" s="1"/>
  <c r="ET15" i="4"/>
  <c r="EU15" i="4" s="1"/>
  <c r="ET13" i="4"/>
  <c r="EU13" i="4" s="1"/>
  <c r="ET9" i="4"/>
  <c r="EU9" i="4" s="1"/>
  <c r="ER5" i="4"/>
  <c r="EV5" i="4" s="1"/>
  <c r="EL4" i="4"/>
  <c r="ER4" i="4" s="1"/>
  <c r="EL15" i="4"/>
  <c r="EL13" i="4"/>
  <c r="EL9" i="4"/>
  <c r="EQ5" i="4"/>
  <c r="AE5" i="3"/>
  <c r="AE7" i="3"/>
  <c r="AR12" i="3"/>
  <c r="AS12" i="3" s="1"/>
  <c r="U14" i="2"/>
  <c r="AR7" i="3"/>
  <c r="AS7" i="3" s="1"/>
  <c r="O14" i="2"/>
  <c r="I16" i="2"/>
  <c r="BS45" i="4"/>
  <c r="M20" i="2"/>
  <c r="AR18" i="3"/>
  <c r="AS18" i="3" s="1"/>
  <c r="P14" i="2"/>
  <c r="Q14" i="2" s="1"/>
  <c r="V8" i="2"/>
  <c r="W8" i="2"/>
  <c r="O8" i="2"/>
  <c r="K19" i="2"/>
  <c r="L19" i="2" s="1"/>
  <c r="N21" i="2"/>
  <c r="BS32" i="4"/>
  <c r="P8" i="2"/>
  <c r="Q8" i="2" s="1"/>
  <c r="P12" i="2"/>
  <c r="Q12" i="2" s="1"/>
  <c r="BS12" i="4"/>
  <c r="N9" i="2"/>
  <c r="BS38" i="4"/>
  <c r="N10" i="2"/>
  <c r="BS10" i="4"/>
  <c r="BS34" i="4"/>
  <c r="AT14" i="3"/>
  <c r="AU14" i="3" s="1"/>
  <c r="N17" i="2"/>
  <c r="R17" i="3"/>
  <c r="S17" i="3" s="1"/>
  <c r="BR43" i="4" s="1"/>
  <c r="P17" i="3"/>
  <c r="Q17" i="3" s="1"/>
  <c r="P5" i="3"/>
  <c r="Q5" i="3" s="1"/>
  <c r="R5" i="3"/>
  <c r="S5" i="3" s="1"/>
  <c r="BR31" i="4" s="1"/>
  <c r="P12" i="3"/>
  <c r="Q12" i="3" s="1"/>
  <c r="R12" i="3"/>
  <c r="S12" i="3" s="1"/>
  <c r="BR38" i="4" s="1"/>
  <c r="P8" i="3"/>
  <c r="Q8" i="3" s="1"/>
  <c r="R8" i="3"/>
  <c r="S8" i="3" s="1"/>
  <c r="BR34" i="4" s="1"/>
  <c r="P19" i="3"/>
  <c r="Q19" i="3" s="1"/>
  <c r="R19" i="3"/>
  <c r="S19" i="3" s="1"/>
  <c r="BR45" i="4" s="1"/>
  <c r="AT15" i="3"/>
  <c r="AU15" i="3" s="1"/>
  <c r="P15" i="3"/>
  <c r="Q15" i="3" s="1"/>
  <c r="R15" i="3"/>
  <c r="S15" i="3" s="1"/>
  <c r="BR41" i="4" s="1"/>
  <c r="P9" i="2"/>
  <c r="Q9" i="2" s="1"/>
  <c r="BS33" i="4"/>
  <c r="P10" i="3"/>
  <c r="Q10" i="3" s="1"/>
  <c r="R10" i="3"/>
  <c r="S10" i="3" s="1"/>
  <c r="BR36" i="4" s="1"/>
  <c r="BS36" i="4"/>
  <c r="K17" i="2"/>
  <c r="L17" i="2" s="1"/>
  <c r="O9" i="2"/>
  <c r="U9" i="2"/>
  <c r="W14" i="2"/>
  <c r="R14" i="3"/>
  <c r="S14" i="3" s="1"/>
  <c r="BR40" i="4" s="1"/>
  <c r="P14" i="3"/>
  <c r="Q14" i="3" s="1"/>
  <c r="P11" i="3"/>
  <c r="Q11" i="3" s="1"/>
  <c r="R11" i="3"/>
  <c r="S11" i="3" s="1"/>
  <c r="BR37" i="4" s="1"/>
  <c r="V9" i="2"/>
  <c r="P16" i="3"/>
  <c r="Q16" i="3" s="1"/>
  <c r="R16" i="3"/>
  <c r="S16" i="3" s="1"/>
  <c r="BR42" i="4" s="1"/>
  <c r="R9" i="3"/>
  <c r="S9" i="3" s="1"/>
  <c r="BR35" i="4" s="1"/>
  <c r="P9" i="3"/>
  <c r="Q9" i="3" s="1"/>
  <c r="P7" i="3"/>
  <c r="Q7" i="3" s="1"/>
  <c r="R7" i="3"/>
  <c r="S7" i="3" s="1"/>
  <c r="BR33" i="4" s="1"/>
  <c r="BS7" i="4"/>
  <c r="M19" i="2"/>
  <c r="P18" i="3"/>
  <c r="Q18" i="3" s="1"/>
  <c r="R18" i="3"/>
  <c r="S18" i="3" s="1"/>
  <c r="BR44" i="4" s="1"/>
  <c r="P13" i="3"/>
  <c r="Q13" i="3" s="1"/>
  <c r="R13" i="3"/>
  <c r="S13" i="3" s="1"/>
  <c r="BR39" i="4" s="1"/>
  <c r="BT33" i="4"/>
  <c r="AT19" i="3"/>
  <c r="AU19" i="3" s="1"/>
  <c r="R6" i="3"/>
  <c r="S6" i="3" s="1"/>
  <c r="BR32" i="4" s="1"/>
  <c r="P6" i="3"/>
  <c r="Q6" i="3" s="1"/>
  <c r="AE4" i="3"/>
  <c r="K6" i="2"/>
  <c r="R4" i="3"/>
  <c r="S4" i="3" s="1"/>
  <c r="P4" i="3"/>
  <c r="AE12" i="3"/>
  <c r="N14" i="2"/>
  <c r="P13" i="2"/>
  <c r="Q13" i="2" s="1"/>
  <c r="P17" i="2"/>
  <c r="Q17" i="2" s="1"/>
  <c r="BT67" i="4"/>
  <c r="BS19" i="4"/>
  <c r="BS41" i="4"/>
  <c r="W12" i="2"/>
  <c r="N13" i="2"/>
  <c r="T20" i="2"/>
  <c r="U12" i="2"/>
  <c r="O12" i="2"/>
  <c r="BT66" i="4"/>
  <c r="BT41" i="4"/>
  <c r="P15" i="2"/>
  <c r="Q15" i="2" s="1"/>
  <c r="M8" i="2"/>
  <c r="U10" i="2"/>
  <c r="BT38" i="4"/>
  <c r="N18" i="2"/>
  <c r="BT64" i="4"/>
  <c r="U18" i="2"/>
  <c r="S9" i="2"/>
  <c r="S14" i="2"/>
  <c r="U17" i="2"/>
  <c r="V17" i="2"/>
  <c r="W17" i="2"/>
  <c r="BS15" i="4"/>
  <c r="BU64" i="4"/>
  <c r="N12" i="2"/>
  <c r="W18" i="2"/>
  <c r="M16" i="2"/>
  <c r="T12" i="3"/>
  <c r="U12" i="3" s="1"/>
  <c r="BR64" i="4" s="1"/>
  <c r="O18" i="2"/>
  <c r="BS42" i="4"/>
  <c r="BS16" i="4"/>
  <c r="S19" i="2"/>
  <c r="K20" i="2"/>
  <c r="L20" i="2" s="1"/>
  <c r="W21" i="2"/>
  <c r="P21" i="2"/>
  <c r="Q21" i="2" s="1"/>
  <c r="U21" i="2"/>
  <c r="V21" i="2"/>
  <c r="K14" i="2"/>
  <c r="L14" i="2" s="1"/>
  <c r="R14" i="2"/>
  <c r="V18" i="2"/>
  <c r="T14" i="2"/>
  <c r="S16" i="2"/>
  <c r="I14" i="2"/>
  <c r="T7" i="3"/>
  <c r="U7" i="3" s="1"/>
  <c r="BR59" i="4" s="1"/>
  <c r="BT59" i="4"/>
  <c r="T9" i="2"/>
  <c r="R9" i="2"/>
  <c r="K9" i="2"/>
  <c r="L9" i="2" s="1"/>
  <c r="AE6" i="3"/>
  <c r="K8" i="2"/>
  <c r="L8" i="2" s="1"/>
  <c r="R8" i="2"/>
  <c r="BS4" i="4"/>
  <c r="AE9" i="3"/>
  <c r="BS8" i="4"/>
  <c r="P10" i="2"/>
  <c r="Q10" i="2" s="1"/>
  <c r="V10" i="2"/>
  <c r="O10" i="2"/>
  <c r="T8" i="2"/>
  <c r="S8" i="2"/>
  <c r="BS6" i="4"/>
  <c r="BT68" i="4"/>
  <c r="T16" i="3"/>
  <c r="U16" i="3" s="1"/>
  <c r="BR68" i="4" s="1"/>
  <c r="BT42" i="4"/>
  <c r="T11" i="3"/>
  <c r="U11" i="3" s="1"/>
  <c r="BR63" i="4" s="1"/>
  <c r="BT63" i="4"/>
  <c r="BT60" i="4"/>
  <c r="T8" i="3"/>
  <c r="U8" i="3" s="1"/>
  <c r="BR60" i="4" s="1"/>
  <c r="BT34" i="4"/>
  <c r="BT62" i="4"/>
  <c r="T10" i="3"/>
  <c r="U10" i="3" s="1"/>
  <c r="BR62" i="4" s="1"/>
  <c r="BT36" i="4"/>
  <c r="BT58" i="4"/>
  <c r="T6" i="3"/>
  <c r="U6" i="3" s="1"/>
  <c r="BR58" i="4" s="1"/>
  <c r="BT32" i="4"/>
  <c r="BS18" i="4"/>
  <c r="BT44" i="4"/>
  <c r="BS44" i="4"/>
  <c r="U20" i="2"/>
  <c r="W20" i="2"/>
  <c r="V20" i="2"/>
  <c r="BU67" i="4"/>
  <c r="S17" i="2"/>
  <c r="M7" i="2"/>
  <c r="N7" i="2"/>
  <c r="AT9" i="3"/>
  <c r="AU9" i="3" s="1"/>
  <c r="AR9" i="3"/>
  <c r="AS9" i="3" s="1"/>
  <c r="BU70" i="4"/>
  <c r="S20" i="2"/>
  <c r="R20" i="2"/>
  <c r="T17" i="2"/>
  <c r="BT30" i="4"/>
  <c r="BS30" i="4"/>
  <c r="O6" i="2"/>
  <c r="U6" i="2"/>
  <c r="V6" i="2"/>
  <c r="W6" i="2"/>
  <c r="P6" i="2"/>
  <c r="R13" i="2"/>
  <c r="S13" i="2"/>
  <c r="T13" i="2"/>
  <c r="R7" i="2"/>
  <c r="T7" i="2"/>
  <c r="K7" i="2"/>
  <c r="I7" i="2"/>
  <c r="S7" i="2"/>
  <c r="K13" i="2"/>
  <c r="L13" i="2" s="1"/>
  <c r="AR17" i="3"/>
  <c r="AS17" i="3" s="1"/>
  <c r="AT17" i="3"/>
  <c r="AU17" i="3" s="1"/>
  <c r="R17" i="2"/>
  <c r="T10" i="2"/>
  <c r="S10" i="2"/>
  <c r="K10" i="2"/>
  <c r="L10" i="2" s="1"/>
  <c r="R10" i="2"/>
  <c r="I10" i="2"/>
  <c r="T18" i="3"/>
  <c r="U18" i="3" s="1"/>
  <c r="BR70" i="4" s="1"/>
  <c r="R19" i="2"/>
  <c r="BS11" i="4"/>
  <c r="BT37" i="4"/>
  <c r="V13" i="2"/>
  <c r="BS37" i="4"/>
  <c r="U13" i="2"/>
  <c r="W13" i="2"/>
  <c r="BU61" i="4"/>
  <c r="R21" i="2"/>
  <c r="S21" i="2"/>
  <c r="T21" i="2"/>
  <c r="I21" i="2"/>
  <c r="T16" i="2"/>
  <c r="N15" i="2"/>
  <c r="R11" i="2"/>
  <c r="T11" i="2"/>
  <c r="I11" i="2"/>
  <c r="K11" i="2"/>
  <c r="L11" i="2" s="1"/>
  <c r="S11" i="2"/>
  <c r="BT45" i="4"/>
  <c r="BU56" i="4"/>
  <c r="BT57" i="4"/>
  <c r="T5" i="3"/>
  <c r="U5" i="3" s="1"/>
  <c r="BR57" i="4" s="1"/>
  <c r="BT71" i="4"/>
  <c r="T19" i="3"/>
  <c r="U19" i="3" s="1"/>
  <c r="BR71" i="4" s="1"/>
  <c r="AY9" i="2"/>
  <c r="AX9" i="2"/>
  <c r="BT61" i="4"/>
  <c r="T9" i="3"/>
  <c r="U9" i="3" s="1"/>
  <c r="BR61" i="4" s="1"/>
  <c r="BT65" i="4"/>
  <c r="T13" i="3"/>
  <c r="U13" i="3" s="1"/>
  <c r="BR65" i="4" s="1"/>
  <c r="R6" i="2"/>
  <c r="BS14" i="4"/>
  <c r="BS40" i="4"/>
  <c r="BT40" i="4"/>
  <c r="W16" i="2"/>
  <c r="V16" i="2"/>
  <c r="U16" i="2"/>
  <c r="O16" i="2"/>
  <c r="BU65" i="4"/>
  <c r="R15" i="2"/>
  <c r="T15" i="2"/>
  <c r="S15" i="2"/>
  <c r="T19" i="2"/>
  <c r="I13" i="2"/>
  <c r="R16" i="2"/>
  <c r="AR6" i="3"/>
  <c r="AS6" i="3" s="1"/>
  <c r="AT6" i="3"/>
  <c r="AU6" i="3" s="1"/>
  <c r="BS17" i="4"/>
  <c r="BT43" i="4"/>
  <c r="BS43" i="4"/>
  <c r="V19" i="2"/>
  <c r="W19" i="2"/>
  <c r="U19" i="2"/>
  <c r="AR10" i="3"/>
  <c r="AS10" i="3" s="1"/>
  <c r="AT10" i="3"/>
  <c r="AU10" i="3" s="1"/>
  <c r="N11" i="2"/>
  <c r="T14" i="3"/>
  <c r="U14" i="3" s="1"/>
  <c r="BR66" i="4" s="1"/>
  <c r="AT5" i="3"/>
  <c r="AU5" i="3" s="1"/>
  <c r="AR5" i="3"/>
  <c r="AS5" i="3" s="1"/>
  <c r="BT70" i="4"/>
  <c r="K15" i="2"/>
  <c r="L15" i="2" s="1"/>
  <c r="AR13" i="3"/>
  <c r="AS13" i="3" s="1"/>
  <c r="AT13" i="3"/>
  <c r="AU13" i="3" s="1"/>
  <c r="O20" i="2"/>
  <c r="S12" i="2"/>
  <c r="T12" i="2"/>
  <c r="R12" i="2"/>
  <c r="AT4" i="3"/>
  <c r="AU4" i="3" s="1"/>
  <c r="AR4" i="3"/>
  <c r="AS4" i="3" s="1"/>
  <c r="T18" i="2"/>
  <c r="R18" i="2"/>
  <c r="S18" i="2"/>
  <c r="K18" i="2"/>
  <c r="L18" i="2" s="1"/>
  <c r="I18" i="2"/>
  <c r="I12" i="2"/>
  <c r="N6" i="2"/>
  <c r="M6" i="2"/>
  <c r="BT69" i="4"/>
  <c r="T17" i="3"/>
  <c r="U17" i="3" s="1"/>
  <c r="BR69" i="4" s="1"/>
  <c r="AR8" i="3"/>
  <c r="AS8" i="3" s="1"/>
  <c r="AT8" i="3"/>
  <c r="AU8" i="3" s="1"/>
  <c r="S6" i="2"/>
  <c r="BT56" i="4"/>
  <c r="T4" i="3"/>
  <c r="AR16" i="3"/>
  <c r="AS16" i="3" s="1"/>
  <c r="AT16" i="3"/>
  <c r="AU16" i="3" s="1"/>
  <c r="BU57" i="4"/>
  <c r="BS31" i="4"/>
  <c r="BS5" i="4"/>
  <c r="BT31" i="4"/>
  <c r="P7" i="2"/>
  <c r="U7" i="2"/>
  <c r="V7" i="2"/>
  <c r="W7" i="2"/>
  <c r="T15" i="3"/>
  <c r="U15" i="3" s="1"/>
  <c r="BR67" i="4" s="1"/>
  <c r="K12" i="2"/>
  <c r="L12" i="2" s="1"/>
  <c r="AT11" i="3"/>
  <c r="AU11" i="3" s="1"/>
  <c r="AR11" i="3"/>
  <c r="AS11" i="3" s="1"/>
  <c r="BS35" i="4"/>
  <c r="BS9" i="4"/>
  <c r="BT35" i="4"/>
  <c r="W11" i="2"/>
  <c r="V11" i="2"/>
  <c r="O11" i="2"/>
  <c r="U11" i="2"/>
  <c r="T6" i="2"/>
  <c r="BS13" i="4"/>
  <c r="BS39" i="4"/>
  <c r="BT39" i="4"/>
  <c r="V15" i="2"/>
  <c r="W15" i="2"/>
  <c r="U15" i="2"/>
  <c r="P19" i="2"/>
  <c r="Q19" i="2" s="1"/>
  <c r="P20" i="2"/>
  <c r="Q20" i="2" s="1"/>
  <c r="ES13" i="2" l="1"/>
  <c r="S20" i="1" s="1"/>
  <c r="ER14" i="2"/>
  <c r="EV14" i="2" s="1"/>
  <c r="C37" i="2"/>
  <c r="ER6" i="2"/>
  <c r="EV6" i="2" s="1"/>
  <c r="ES9" i="2"/>
  <c r="S16" i="1" s="1"/>
  <c r="EQ19" i="2"/>
  <c r="ES19" i="2" s="1"/>
  <c r="EX19" i="2" s="1"/>
  <c r="EQ17" i="2"/>
  <c r="ES17" i="2" s="1"/>
  <c r="S24" i="1" s="1"/>
  <c r="ER10" i="2"/>
  <c r="EV10" i="2" s="1"/>
  <c r="ER7" i="2"/>
  <c r="EV7" i="2" s="1"/>
  <c r="ER5" i="2"/>
  <c r="EV5" i="2" s="1"/>
  <c r="ER12" i="2"/>
  <c r="EV12" i="2" s="1"/>
  <c r="ER20" i="2"/>
  <c r="EV20" i="2" s="1"/>
  <c r="EQ18" i="2"/>
  <c r="ES18" i="2" s="1"/>
  <c r="S25" i="1" s="1"/>
  <c r="ER8" i="2"/>
  <c r="EV8" i="2" s="1"/>
  <c r="M27" i="2"/>
  <c r="W27" i="2"/>
  <c r="P27" i="2"/>
  <c r="K27" i="2"/>
  <c r="S27" i="2"/>
  <c r="O27" i="2"/>
  <c r="I27" i="2"/>
  <c r="T27" i="2"/>
  <c r="V27" i="2"/>
  <c r="U27" i="2"/>
  <c r="R27" i="2"/>
  <c r="N27" i="2"/>
  <c r="AH22" i="3"/>
  <c r="AI22" i="3" s="1"/>
  <c r="V20" i="3"/>
  <c r="AI20" i="3" s="1"/>
  <c r="BJ20" i="3" s="1"/>
  <c r="BK20" i="3" s="1"/>
  <c r="P28" i="1" s="1"/>
  <c r="AH21" i="3"/>
  <c r="GR20" i="2"/>
  <c r="GQ15" i="2"/>
  <c r="GR16" i="2"/>
  <c r="GR15" i="2"/>
  <c r="GQ20" i="2"/>
  <c r="GQ24" i="2"/>
  <c r="GR24" i="2"/>
  <c r="BP109" i="4"/>
  <c r="GQ16" i="2"/>
  <c r="BR109" i="4"/>
  <c r="BQ109" i="4"/>
  <c r="GU23" i="2"/>
  <c r="GS12" i="2"/>
  <c r="GU20" i="2"/>
  <c r="GU9" i="2"/>
  <c r="GS13" i="2"/>
  <c r="GS15" i="2"/>
  <c r="GU8" i="2"/>
  <c r="GS20" i="2"/>
  <c r="GS16" i="2"/>
  <c r="GS24" i="2"/>
  <c r="GS9" i="2"/>
  <c r="GS23" i="2"/>
  <c r="GU12" i="2"/>
  <c r="GT12" i="2"/>
  <c r="GU18" i="2"/>
  <c r="GT22" i="2"/>
  <c r="GT24" i="2"/>
  <c r="GT20" i="2"/>
  <c r="GT18" i="2"/>
  <c r="GT13" i="2"/>
  <c r="GT9" i="2"/>
  <c r="GU22" i="2"/>
  <c r="GT23" i="2"/>
  <c r="GS8" i="2"/>
  <c r="GU13" i="2"/>
  <c r="GT15" i="2"/>
  <c r="GU16" i="2"/>
  <c r="GT16" i="2"/>
  <c r="GT8" i="2"/>
  <c r="GS22" i="2"/>
  <c r="GT21" i="2"/>
  <c r="GU21" i="2"/>
  <c r="GU15" i="2"/>
  <c r="GU24" i="2"/>
  <c r="GS21" i="2"/>
  <c r="GS18" i="2"/>
  <c r="DC6" i="3"/>
  <c r="C99" i="2"/>
  <c r="CY4" i="3" s="1"/>
  <c r="B33" i="2"/>
  <c r="B37" i="2" s="1"/>
  <c r="ES11" i="2"/>
  <c r="ES15" i="2"/>
  <c r="ES14" i="2"/>
  <c r="FB16" i="2"/>
  <c r="FA16" i="2"/>
  <c r="EZ16" i="2"/>
  <c r="FC16" i="2"/>
  <c r="FE16" i="2"/>
  <c r="FD16" i="2"/>
  <c r="EY16" i="2"/>
  <c r="EX16" i="2"/>
  <c r="EW16" i="2"/>
  <c r="G20" i="2"/>
  <c r="H19" i="2"/>
  <c r="G9" i="2"/>
  <c r="H9" i="2"/>
  <c r="G8" i="2"/>
  <c r="G15" i="2"/>
  <c r="H17" i="2"/>
  <c r="H20" i="2"/>
  <c r="H8" i="2"/>
  <c r="G19" i="2"/>
  <c r="H15" i="2"/>
  <c r="G17" i="2"/>
  <c r="J16" i="2"/>
  <c r="G16" i="2" s="1"/>
  <c r="L6" i="2"/>
  <c r="Q6" i="2"/>
  <c r="AG11" i="3"/>
  <c r="AG12" i="3"/>
  <c r="AG14" i="3"/>
  <c r="AG17" i="3"/>
  <c r="AG15" i="3"/>
  <c r="AG16" i="3"/>
  <c r="AG18" i="3"/>
  <c r="AG19" i="3"/>
  <c r="AG10" i="3"/>
  <c r="AG9" i="3"/>
  <c r="AG13" i="3"/>
  <c r="ER6" i="4"/>
  <c r="EV6" i="4" s="1"/>
  <c r="J14" i="2"/>
  <c r="G14" i="2" s="1"/>
  <c r="ER7" i="4"/>
  <c r="EV7" i="4" s="1"/>
  <c r="ER18" i="4"/>
  <c r="EV18" i="4" s="1"/>
  <c r="ER16" i="4"/>
  <c r="EV16" i="4" s="1"/>
  <c r="EQ8" i="4"/>
  <c r="ES8" i="4" s="1"/>
  <c r="ER17" i="4"/>
  <c r="EV17" i="4" s="1"/>
  <c r="ER15" i="4"/>
  <c r="EV15" i="4" s="1"/>
  <c r="EQ10" i="4"/>
  <c r="ER13" i="4"/>
  <c r="EV13" i="4" s="1"/>
  <c r="EQ9" i="4"/>
  <c r="ER12" i="4"/>
  <c r="EV12" i="4" s="1"/>
  <c r="EQ14" i="4"/>
  <c r="EQ11" i="4"/>
  <c r="EQ7" i="4"/>
  <c r="EQ17" i="4"/>
  <c r="EQ13" i="4"/>
  <c r="EQ15" i="4"/>
  <c r="EQ12" i="4"/>
  <c r="EQ3" i="4"/>
  <c r="EQ18" i="4"/>
  <c r="ER3" i="4"/>
  <c r="EV3" i="4" s="1"/>
  <c r="EQ4" i="4"/>
  <c r="ER14" i="4"/>
  <c r="ER10" i="4"/>
  <c r="EV10" i="4" s="1"/>
  <c r="ES5" i="4"/>
  <c r="ER9" i="4"/>
  <c r="EV9" i="4" s="1"/>
  <c r="ER11" i="4"/>
  <c r="EV8" i="4"/>
  <c r="EV4" i="4"/>
  <c r="BV33" i="4"/>
  <c r="BW33" i="4" s="1"/>
  <c r="BV62" i="4"/>
  <c r="BV66" i="4"/>
  <c r="Q4" i="3"/>
  <c r="BR30" i="4"/>
  <c r="U4" i="3"/>
  <c r="BR56" i="4" s="1"/>
  <c r="BV56" i="4" s="1"/>
  <c r="BV68" i="4"/>
  <c r="BV38" i="4"/>
  <c r="BW38" i="4" s="1"/>
  <c r="BR12" i="4"/>
  <c r="BU12" i="4" s="1"/>
  <c r="BV12" i="4" s="1"/>
  <c r="BV67" i="4"/>
  <c r="BV64" i="4"/>
  <c r="BV59" i="4"/>
  <c r="BV65" i="4"/>
  <c r="BR7" i="4"/>
  <c r="BU7" i="4" s="1"/>
  <c r="BV7" i="4" s="1"/>
  <c r="BX7" i="4" s="1"/>
  <c r="Z12" i="16556"/>
  <c r="BV60" i="4"/>
  <c r="BV63" i="4"/>
  <c r="BV61" i="4"/>
  <c r="BV58" i="4"/>
  <c r="J21" i="2"/>
  <c r="H21" i="2" s="1"/>
  <c r="BR13" i="4"/>
  <c r="BU13" i="4" s="1"/>
  <c r="BV13" i="4" s="1"/>
  <c r="BV39" i="4"/>
  <c r="BW39" i="4" s="1"/>
  <c r="BV35" i="4"/>
  <c r="BW35" i="4" s="1"/>
  <c r="BR9" i="4"/>
  <c r="BU9" i="4" s="1"/>
  <c r="BV9" i="4" s="1"/>
  <c r="J7" i="2"/>
  <c r="BR10" i="4"/>
  <c r="BU10" i="4" s="1"/>
  <c r="BV10" i="4" s="1"/>
  <c r="BV36" i="4"/>
  <c r="BW36" i="4" s="1"/>
  <c r="BV69" i="4"/>
  <c r="BR15" i="4"/>
  <c r="BU15" i="4" s="1"/>
  <c r="BV15" i="4" s="1"/>
  <c r="BV41" i="4"/>
  <c r="BW41" i="4" s="1"/>
  <c r="BR18" i="4"/>
  <c r="BU18" i="4" s="1"/>
  <c r="BV18" i="4" s="1"/>
  <c r="BV44" i="4"/>
  <c r="BW44" i="4" s="1"/>
  <c r="J10" i="2"/>
  <c r="G10" i="2" s="1"/>
  <c r="L7" i="2"/>
  <c r="J13" i="2"/>
  <c r="H13" i="2" s="1"/>
  <c r="BR19" i="4"/>
  <c r="BU19" i="4" s="1"/>
  <c r="BV19" i="4" s="1"/>
  <c r="BV45" i="4"/>
  <c r="BW45" i="4" s="1"/>
  <c r="J18" i="2"/>
  <c r="G18" i="2" s="1"/>
  <c r="BV40" i="4"/>
  <c r="BW40" i="4" s="1"/>
  <c r="BR14" i="4"/>
  <c r="BU14" i="4" s="1"/>
  <c r="BV14" i="4" s="1"/>
  <c r="BV31" i="4"/>
  <c r="BW31" i="4" s="1"/>
  <c r="BR5" i="4"/>
  <c r="BU5" i="4" s="1"/>
  <c r="BV5" i="4" s="1"/>
  <c r="BV70" i="4"/>
  <c r="J12" i="2"/>
  <c r="H12" i="2" s="1"/>
  <c r="BV57" i="4"/>
  <c r="BR6" i="4"/>
  <c r="BU6" i="4" s="1"/>
  <c r="BV6" i="4" s="1"/>
  <c r="BV32" i="4"/>
  <c r="BW32" i="4" s="1"/>
  <c r="BV42" i="4"/>
  <c r="BW42" i="4" s="1"/>
  <c r="BR16" i="4"/>
  <c r="BU16" i="4" s="1"/>
  <c r="BV16" i="4" s="1"/>
  <c r="BR11" i="4"/>
  <c r="BU11" i="4" s="1"/>
  <c r="BV11" i="4" s="1"/>
  <c r="BV37" i="4"/>
  <c r="BW37" i="4" s="1"/>
  <c r="Q7" i="2"/>
  <c r="BV43" i="4"/>
  <c r="BW43" i="4" s="1"/>
  <c r="BR17" i="4"/>
  <c r="BU17" i="4" s="1"/>
  <c r="BV17" i="4" s="1"/>
  <c r="J11" i="2"/>
  <c r="H11" i="2" s="1"/>
  <c r="BR8" i="4"/>
  <c r="BU8" i="4" s="1"/>
  <c r="BV8" i="4" s="1"/>
  <c r="BV34" i="4"/>
  <c r="BW34" i="4" s="1"/>
  <c r="BV71" i="4"/>
  <c r="FB13" i="2" l="1"/>
  <c r="EZ13" i="2"/>
  <c r="FC13" i="2"/>
  <c r="FD13" i="2"/>
  <c r="EY13" i="2"/>
  <c r="FA13" i="2"/>
  <c r="FE13" i="2"/>
  <c r="EW13" i="2"/>
  <c r="EX13" i="2"/>
  <c r="EW19" i="2"/>
  <c r="FC19" i="2"/>
  <c r="S26" i="1"/>
  <c r="EY19" i="2"/>
  <c r="ES20" i="2"/>
  <c r="S27" i="1" s="1"/>
  <c r="FA9" i="2"/>
  <c r="EW9" i="2"/>
  <c r="EZ9" i="2"/>
  <c r="FD9" i="2"/>
  <c r="FE9" i="2"/>
  <c r="ES5" i="2"/>
  <c r="EW5" i="2" s="1"/>
  <c r="EX9" i="2"/>
  <c r="FB9" i="2"/>
  <c r="FC9" i="2"/>
  <c r="EY9" i="2"/>
  <c r="ES6" i="2"/>
  <c r="S13" i="1" s="1"/>
  <c r="FE19" i="2"/>
  <c r="EY17" i="2"/>
  <c r="EZ19" i="2"/>
  <c r="FC17" i="2"/>
  <c r="EZ17" i="2"/>
  <c r="FA17" i="2"/>
  <c r="FD19" i="2"/>
  <c r="FB17" i="2"/>
  <c r="FA19" i="2"/>
  <c r="FB19" i="2"/>
  <c r="EX17" i="2"/>
  <c r="FE17" i="2"/>
  <c r="ES7" i="2"/>
  <c r="S14" i="1" s="1"/>
  <c r="R14" i="1" s="1"/>
  <c r="ES10" i="2"/>
  <c r="EZ10" i="2" s="1"/>
  <c r="ES12" i="2"/>
  <c r="EX12" i="2" s="1"/>
  <c r="FC18" i="2"/>
  <c r="EZ18" i="2"/>
  <c r="FD17" i="2"/>
  <c r="EW17" i="2"/>
  <c r="FD18" i="2"/>
  <c r="FB18" i="2"/>
  <c r="EX18" i="2"/>
  <c r="EY18" i="2"/>
  <c r="FE18" i="2"/>
  <c r="FA18" i="2"/>
  <c r="EW18" i="2"/>
  <c r="ES8" i="2"/>
  <c r="S15" i="1" s="1"/>
  <c r="Q27" i="2"/>
  <c r="L27" i="2"/>
  <c r="J27" i="2"/>
  <c r="BJ22" i="3"/>
  <c r="BK22" i="3" s="1"/>
  <c r="P30" i="1" s="1"/>
  <c r="AI21" i="3"/>
  <c r="BJ21" i="3" s="1"/>
  <c r="R14" i="16556"/>
  <c r="Q14" i="16556" s="1"/>
  <c r="R14" i="16562"/>
  <c r="Q14" i="16562" s="1"/>
  <c r="R17" i="16556"/>
  <c r="Q17" i="16556" s="1"/>
  <c r="R17" i="16562"/>
  <c r="Q17" i="16562" s="1"/>
  <c r="BU109" i="4"/>
  <c r="BS109" i="4"/>
  <c r="BZ133" i="4" s="1"/>
  <c r="BY133" i="4" s="1"/>
  <c r="BT109" i="4"/>
  <c r="BW133" i="4" s="1"/>
  <c r="CS14" i="2"/>
  <c r="CP14" i="2"/>
  <c r="CM14" i="2"/>
  <c r="DK14" i="2"/>
  <c r="CV14" i="2"/>
  <c r="DH14" i="2"/>
  <c r="DE14" i="2"/>
  <c r="DB14" i="2"/>
  <c r="CJ14" i="2"/>
  <c r="CY14" i="2"/>
  <c r="CS15" i="2"/>
  <c r="CM15" i="2"/>
  <c r="CP15" i="2"/>
  <c r="DK15" i="2"/>
  <c r="CJ15" i="2"/>
  <c r="DH15" i="2"/>
  <c r="DE15" i="2"/>
  <c r="DB15" i="2"/>
  <c r="CY15" i="2"/>
  <c r="CV15" i="2"/>
  <c r="DK70" i="2"/>
  <c r="CY70" i="2"/>
  <c r="DB70" i="2"/>
  <c r="CP70" i="2"/>
  <c r="CV70" i="2"/>
  <c r="CM70" i="2"/>
  <c r="DE70" i="2"/>
  <c r="CS70" i="2"/>
  <c r="DH70" i="2"/>
  <c r="DH75" i="2"/>
  <c r="CV75" i="2"/>
  <c r="DK75" i="2"/>
  <c r="CY75" i="2"/>
  <c r="CM75" i="2"/>
  <c r="DB75" i="2"/>
  <c r="CP75" i="2"/>
  <c r="DE75" i="2"/>
  <c r="CS75" i="2"/>
  <c r="DH76" i="2"/>
  <c r="CV76" i="2"/>
  <c r="DK76" i="2"/>
  <c r="CY76" i="2"/>
  <c r="CM76" i="2"/>
  <c r="DB76" i="2"/>
  <c r="CP76" i="2"/>
  <c r="DE76" i="2"/>
  <c r="CS76" i="2"/>
  <c r="CJ66" i="2"/>
  <c r="CK66" i="2" s="1"/>
  <c r="BP16" i="16562" s="1"/>
  <c r="DE66" i="2"/>
  <c r="DH66" i="2"/>
  <c r="CV66" i="2"/>
  <c r="CS66" i="2"/>
  <c r="DK66" i="2"/>
  <c r="CY66" i="2"/>
  <c r="CM66" i="2"/>
  <c r="DB66" i="2"/>
  <c r="CP66" i="2"/>
  <c r="DB72" i="2"/>
  <c r="DE72" i="2"/>
  <c r="CS72" i="2"/>
  <c r="CY72" i="2"/>
  <c r="CM72" i="2"/>
  <c r="DH72" i="2"/>
  <c r="CV72" i="2"/>
  <c r="DK72" i="2"/>
  <c r="CP72" i="2"/>
  <c r="DB71" i="2"/>
  <c r="CP71" i="2"/>
  <c r="DE71" i="2"/>
  <c r="CS71" i="2"/>
  <c r="CY71" i="2"/>
  <c r="CM71" i="2"/>
  <c r="DH71" i="2"/>
  <c r="CV71" i="2"/>
  <c r="DK71" i="2"/>
  <c r="DE74" i="2"/>
  <c r="CS74" i="2"/>
  <c r="DH74" i="2"/>
  <c r="CV74" i="2"/>
  <c r="DB74" i="2"/>
  <c r="CP74" i="2"/>
  <c r="DK74" i="2"/>
  <c r="CY74" i="2"/>
  <c r="CM74" i="2"/>
  <c r="DB64" i="2"/>
  <c r="DE64" i="2"/>
  <c r="CS64" i="2"/>
  <c r="DH64" i="2"/>
  <c r="CV64" i="2"/>
  <c r="DK64" i="2"/>
  <c r="CY64" i="2"/>
  <c r="CP64" i="2"/>
  <c r="DE73" i="2"/>
  <c r="CS73" i="2"/>
  <c r="DH73" i="2"/>
  <c r="CV73" i="2"/>
  <c r="DB73" i="2"/>
  <c r="CP73" i="2"/>
  <c r="DK73" i="2"/>
  <c r="CY73" i="2"/>
  <c r="CM73" i="2"/>
  <c r="DE65" i="2"/>
  <c r="CS65" i="2"/>
  <c r="DH65" i="2"/>
  <c r="CV65" i="2"/>
  <c r="DK65" i="2"/>
  <c r="CY65" i="2"/>
  <c r="CM65" i="2"/>
  <c r="DB65" i="2"/>
  <c r="CP65" i="2"/>
  <c r="EZ11" i="2"/>
  <c r="S18" i="1"/>
  <c r="FB14" i="2"/>
  <c r="S21" i="1"/>
  <c r="EZ15" i="2"/>
  <c r="S22" i="1"/>
  <c r="CZ4" i="3"/>
  <c r="FD11" i="2"/>
  <c r="FB11" i="2"/>
  <c r="EX11" i="2"/>
  <c r="EY11" i="2"/>
  <c r="FA11" i="2"/>
  <c r="FE11" i="2"/>
  <c r="FC11" i="2"/>
  <c r="EW11" i="2"/>
  <c r="CJ75" i="2"/>
  <c r="CK75" i="2" s="1"/>
  <c r="BP25" i="16562" s="1"/>
  <c r="CJ48" i="2"/>
  <c r="CJ47" i="2"/>
  <c r="CJ74" i="2"/>
  <c r="CJ76" i="2"/>
  <c r="CK76" i="2" s="1"/>
  <c r="BP26" i="16562" s="1"/>
  <c r="CJ49" i="2"/>
  <c r="CJ71" i="2"/>
  <c r="CK71" i="2" s="1"/>
  <c r="BP21" i="16562" s="1"/>
  <c r="CJ70" i="2"/>
  <c r="CJ46" i="2"/>
  <c r="CJ73" i="2"/>
  <c r="CJ64" i="2"/>
  <c r="CK64" i="2" s="1"/>
  <c r="BP14" i="16562" s="1"/>
  <c r="CJ65" i="2"/>
  <c r="CK65" i="2" s="1"/>
  <c r="BP15" i="16562" s="1"/>
  <c r="CJ72" i="2"/>
  <c r="FD15" i="2"/>
  <c r="FA15" i="2"/>
  <c r="EW15" i="2"/>
  <c r="EY14" i="2"/>
  <c r="FE15" i="2"/>
  <c r="FA14" i="2"/>
  <c r="EX15" i="2"/>
  <c r="FB15" i="2"/>
  <c r="EY15" i="2"/>
  <c r="FC15" i="2"/>
  <c r="FE14" i="2"/>
  <c r="EX14" i="2"/>
  <c r="EW14" i="2"/>
  <c r="FC14" i="2"/>
  <c r="EZ14" i="2"/>
  <c r="FD14" i="2"/>
  <c r="ES4" i="4"/>
  <c r="R13" i="16562" s="1"/>
  <c r="Q13" i="16562" s="1"/>
  <c r="G21" i="2"/>
  <c r="CM64" i="2"/>
  <c r="H18" i="2"/>
  <c r="H16" i="2"/>
  <c r="H6" i="2"/>
  <c r="H14" i="2"/>
  <c r="H7" i="2"/>
  <c r="G12" i="2"/>
  <c r="G11" i="2"/>
  <c r="G13" i="2"/>
  <c r="G6" i="2"/>
  <c r="CJ6" i="2" s="1"/>
  <c r="G7" i="2"/>
  <c r="H10" i="2"/>
  <c r="CS48" i="2"/>
  <c r="DB48" i="2"/>
  <c r="DK48" i="2"/>
  <c r="CM48" i="2"/>
  <c r="DE48" i="2"/>
  <c r="CV48" i="2"/>
  <c r="CY48" i="2"/>
  <c r="CP48" i="2"/>
  <c r="DH48" i="2"/>
  <c r="DB49" i="2"/>
  <c r="DK49" i="2"/>
  <c r="CV49" i="2"/>
  <c r="DE49" i="2"/>
  <c r="CM49" i="2"/>
  <c r="CY49" i="2"/>
  <c r="CP49" i="2"/>
  <c r="CS49" i="2"/>
  <c r="DH49" i="2"/>
  <c r="EY8" i="4"/>
  <c r="EX5" i="4"/>
  <c r="ES13" i="4"/>
  <c r="ES16" i="4"/>
  <c r="ES12" i="4"/>
  <c r="BY38" i="4"/>
  <c r="AJ12" i="3" s="1"/>
  <c r="AK12" i="3" s="1"/>
  <c r="BY33" i="4"/>
  <c r="AJ7" i="3" s="1"/>
  <c r="ES7" i="4"/>
  <c r="ES18" i="4"/>
  <c r="R27" i="16556" s="1"/>
  <c r="Q27" i="16556" s="1"/>
  <c r="ES6" i="4"/>
  <c r="R15" i="16562" s="1"/>
  <c r="Q15" i="16562" s="1"/>
  <c r="ES15" i="4"/>
  <c r="ES17" i="4"/>
  <c r="ES14" i="4"/>
  <c r="ES11" i="4"/>
  <c r="EV11" i="4"/>
  <c r="ES3" i="4"/>
  <c r="ES10" i="4"/>
  <c r="ES9" i="4"/>
  <c r="EV14" i="4"/>
  <c r="EW5" i="4"/>
  <c r="EW8" i="4"/>
  <c r="FE5" i="4"/>
  <c r="FC5" i="4"/>
  <c r="EY5" i="4"/>
  <c r="EZ8" i="4"/>
  <c r="EZ5" i="4"/>
  <c r="FD8" i="4"/>
  <c r="FB8" i="4"/>
  <c r="FA5" i="4"/>
  <c r="FC8" i="4"/>
  <c r="FD5" i="4"/>
  <c r="FB5" i="4"/>
  <c r="EX8" i="4"/>
  <c r="FE8" i="4"/>
  <c r="FA8" i="4"/>
  <c r="BX12" i="4"/>
  <c r="BX33" i="4"/>
  <c r="BX38" i="4"/>
  <c r="BY12" i="4"/>
  <c r="V12" i="3" s="1"/>
  <c r="BY7" i="4"/>
  <c r="BX6" i="4"/>
  <c r="BY6" i="4"/>
  <c r="BY40" i="4"/>
  <c r="AJ14" i="3" s="1"/>
  <c r="AK14" i="3" s="1"/>
  <c r="BX40" i="4"/>
  <c r="BY45" i="4"/>
  <c r="BX45" i="4"/>
  <c r="BX44" i="4"/>
  <c r="BY44" i="4"/>
  <c r="AJ18" i="3" s="1"/>
  <c r="BY43" i="4"/>
  <c r="AJ17" i="3" s="1"/>
  <c r="BX43" i="4"/>
  <c r="BX11" i="4"/>
  <c r="BY11" i="4"/>
  <c r="V11" i="3" s="1"/>
  <c r="BY41" i="4"/>
  <c r="AJ15" i="3" s="1"/>
  <c r="AK15" i="3" s="1"/>
  <c r="BX41" i="4"/>
  <c r="BX13" i="4"/>
  <c r="BY13" i="4"/>
  <c r="V13" i="3" s="1"/>
  <c r="BX19" i="4"/>
  <c r="BY19" i="4"/>
  <c r="BX18" i="4"/>
  <c r="BY18" i="4"/>
  <c r="BX8" i="4"/>
  <c r="BY8" i="4"/>
  <c r="V8" i="3" s="1"/>
  <c r="BX42" i="4"/>
  <c r="BY42" i="4"/>
  <c r="AJ16" i="3" s="1"/>
  <c r="BY31" i="4"/>
  <c r="AH24" i="3" s="1"/>
  <c r="BX31" i="4"/>
  <c r="BX10" i="4"/>
  <c r="BY10" i="4"/>
  <c r="V10" i="3" s="1"/>
  <c r="BX35" i="4"/>
  <c r="BY35" i="4"/>
  <c r="BX14" i="4"/>
  <c r="BY14" i="4"/>
  <c r="V14" i="3" s="1"/>
  <c r="BX34" i="4"/>
  <c r="BY34" i="4"/>
  <c r="AJ8" i="3" s="1"/>
  <c r="BY16" i="4"/>
  <c r="V16" i="3" s="1"/>
  <c r="BX16" i="4"/>
  <c r="BY5" i="4"/>
  <c r="BX5" i="4"/>
  <c r="BX9" i="4"/>
  <c r="BY9" i="4"/>
  <c r="V9" i="3" s="1"/>
  <c r="BX32" i="4"/>
  <c r="BY32" i="4"/>
  <c r="AJ6" i="3" s="1"/>
  <c r="BX15" i="4"/>
  <c r="BY15" i="4"/>
  <c r="V15" i="3" s="1"/>
  <c r="BY36" i="4"/>
  <c r="BX36" i="4"/>
  <c r="BX17" i="4"/>
  <c r="BY17" i="4"/>
  <c r="V17" i="3" s="1"/>
  <c r="BX37" i="4"/>
  <c r="BY37" i="4"/>
  <c r="BY39" i="4"/>
  <c r="AJ13" i="3" s="1"/>
  <c r="BX39" i="4"/>
  <c r="FB5" i="2" l="1"/>
  <c r="EY20" i="2"/>
  <c r="FD5" i="2"/>
  <c r="EX10" i="2"/>
  <c r="EW20" i="2"/>
  <c r="FD20" i="2"/>
  <c r="EX20" i="2"/>
  <c r="FC20" i="2"/>
  <c r="FB20" i="2"/>
  <c r="FA20" i="2"/>
  <c r="EZ20" i="2"/>
  <c r="FE20" i="2"/>
  <c r="EX5" i="2"/>
  <c r="EY5" i="2"/>
  <c r="FE5" i="2"/>
  <c r="FA5" i="2"/>
  <c r="S11" i="1"/>
  <c r="R11" i="1" s="1"/>
  <c r="FC5" i="2"/>
  <c r="EZ5" i="2"/>
  <c r="EW6" i="2"/>
  <c r="FC6" i="2"/>
  <c r="EY6" i="2"/>
  <c r="FA6" i="2"/>
  <c r="FB6" i="2"/>
  <c r="EZ6" i="2"/>
  <c r="FE6" i="2"/>
  <c r="S17" i="1"/>
  <c r="R17" i="1" s="1"/>
  <c r="EX6" i="2"/>
  <c r="FD6" i="2"/>
  <c r="FC10" i="2"/>
  <c r="FB10" i="2"/>
  <c r="FE10" i="2"/>
  <c r="FA7" i="2"/>
  <c r="FD10" i="2"/>
  <c r="EW7" i="2"/>
  <c r="EX7" i="2"/>
  <c r="FK8" i="2" s="1"/>
  <c r="FD12" i="2"/>
  <c r="EZ7" i="2"/>
  <c r="FC12" i="2"/>
  <c r="FD7" i="2"/>
  <c r="FB12" i="2"/>
  <c r="FC7" i="2"/>
  <c r="EY7" i="2"/>
  <c r="FE7" i="2"/>
  <c r="FR8" i="2" s="1"/>
  <c r="FB7" i="2"/>
  <c r="EZ12" i="2"/>
  <c r="S19" i="1"/>
  <c r="R19" i="1" s="1"/>
  <c r="FA10" i="2"/>
  <c r="FA12" i="2"/>
  <c r="EW12" i="2"/>
  <c r="EY8" i="2"/>
  <c r="FE12" i="2"/>
  <c r="EW10" i="2"/>
  <c r="EY12" i="2"/>
  <c r="EY10" i="2"/>
  <c r="FA8" i="2"/>
  <c r="FC8" i="2"/>
  <c r="EW8" i="2"/>
  <c r="FE8" i="2"/>
  <c r="EZ8" i="2"/>
  <c r="FD8" i="2"/>
  <c r="FB8" i="2"/>
  <c r="EX8" i="2"/>
  <c r="BK21" i="3"/>
  <c r="P29" i="1" s="1"/>
  <c r="AI24" i="3"/>
  <c r="BJ24" i="3" s="1"/>
  <c r="BK24" i="3" s="1"/>
  <c r="P32" i="1" s="1"/>
  <c r="AJ19" i="3"/>
  <c r="AK19" i="3" s="1"/>
  <c r="AJ5" i="3"/>
  <c r="AK5" i="3" s="1"/>
  <c r="V24" i="3"/>
  <c r="V18" i="3"/>
  <c r="V19" i="3"/>
  <c r="R26" i="16556"/>
  <c r="Q26" i="16556" s="1"/>
  <c r="R26" i="16562"/>
  <c r="Q26" i="16562" s="1"/>
  <c r="R24" i="16556"/>
  <c r="Q24" i="16556" s="1"/>
  <c r="R24" i="16562"/>
  <c r="Q24" i="16562" s="1"/>
  <c r="R25" i="16556"/>
  <c r="Q25" i="16556" s="1"/>
  <c r="R25" i="16562"/>
  <c r="Q25" i="16562" s="1"/>
  <c r="R28" i="16562"/>
  <c r="Q28" i="16562" s="1"/>
  <c r="R11" i="16556"/>
  <c r="Q11" i="16556" s="1"/>
  <c r="R11" i="16562"/>
  <c r="Q11" i="16562" s="1"/>
  <c r="R23" i="16556"/>
  <c r="Q23" i="16556" s="1"/>
  <c r="R23" i="16562"/>
  <c r="Q23" i="16562" s="1"/>
  <c r="R22" i="16556"/>
  <c r="Q22" i="16556" s="1"/>
  <c r="R22" i="16562"/>
  <c r="Q22" i="16562" s="1"/>
  <c r="R21" i="16556"/>
  <c r="Q21" i="16556" s="1"/>
  <c r="R21" i="16562"/>
  <c r="Q21" i="16562" s="1"/>
  <c r="R20" i="16556"/>
  <c r="Q20" i="16556" s="1"/>
  <c r="R20" i="16562"/>
  <c r="Q20" i="16562" s="1"/>
  <c r="R19" i="16556"/>
  <c r="Q19" i="16556" s="1"/>
  <c r="R19" i="16562"/>
  <c r="Q19" i="16562" s="1"/>
  <c r="R18" i="16556"/>
  <c r="Q18" i="16556" s="1"/>
  <c r="R18" i="16562"/>
  <c r="Q18" i="16562" s="1"/>
  <c r="R16" i="16556"/>
  <c r="Q16" i="16556" s="1"/>
  <c r="R16" i="16562"/>
  <c r="Q16" i="16562" s="1"/>
  <c r="BV133" i="4"/>
  <c r="CS7" i="2"/>
  <c r="CP7" i="2"/>
  <c r="DK7" i="2"/>
  <c r="CY7" i="2"/>
  <c r="CV7" i="2"/>
  <c r="CM7" i="2"/>
  <c r="DH7" i="2"/>
  <c r="DE7" i="2"/>
  <c r="DB7" i="2"/>
  <c r="BX133" i="4"/>
  <c r="DH68" i="2"/>
  <c r="DK68" i="2"/>
  <c r="CY68" i="2"/>
  <c r="CM68" i="2"/>
  <c r="DB68" i="2"/>
  <c r="CP68" i="2"/>
  <c r="DE68" i="2"/>
  <c r="CS68" i="2"/>
  <c r="CV68" i="2"/>
  <c r="CJ67" i="2"/>
  <c r="CK67" i="2" s="1"/>
  <c r="BP17" i="16562" s="1"/>
  <c r="DH67" i="2"/>
  <c r="CV67" i="2"/>
  <c r="DK67" i="2"/>
  <c r="CY67" i="2"/>
  <c r="CM67" i="2"/>
  <c r="CS67" i="2"/>
  <c r="DB67" i="2"/>
  <c r="CP67" i="2"/>
  <c r="DE67" i="2"/>
  <c r="DK77" i="2"/>
  <c r="CY77" i="2"/>
  <c r="CM77" i="2"/>
  <c r="DB77" i="2"/>
  <c r="CP77" i="2"/>
  <c r="DH77" i="2"/>
  <c r="DE77" i="2"/>
  <c r="CS77" i="2"/>
  <c r="CV77" i="2"/>
  <c r="DK69" i="2"/>
  <c r="CY69" i="2"/>
  <c r="CM69" i="2"/>
  <c r="DB69" i="2"/>
  <c r="CP69" i="2"/>
  <c r="CV69" i="2"/>
  <c r="DE69" i="2"/>
  <c r="CS69" i="2"/>
  <c r="DH69" i="2"/>
  <c r="CJ77" i="2"/>
  <c r="CK77" i="2" s="1"/>
  <c r="CJ50" i="2"/>
  <c r="CJ69" i="2"/>
  <c r="CK69" i="2" s="1"/>
  <c r="BP19" i="16562" s="1"/>
  <c r="CJ68" i="2"/>
  <c r="CK68" i="2" s="1"/>
  <c r="BP18" i="16562" s="1"/>
  <c r="CJ36" i="2"/>
  <c r="CJ63" i="2"/>
  <c r="CK63" i="2" s="1"/>
  <c r="BP13" i="16562" s="1"/>
  <c r="R15" i="1"/>
  <c r="R15" i="16556"/>
  <c r="Q15" i="16556" s="1"/>
  <c r="R13" i="1"/>
  <c r="R13" i="16556"/>
  <c r="Q13" i="16556" s="1"/>
  <c r="BQ26" i="1"/>
  <c r="BP26" i="16556"/>
  <c r="BQ25" i="1"/>
  <c r="BP25" i="16556"/>
  <c r="BQ16" i="1"/>
  <c r="BP16" i="16556"/>
  <c r="BQ14" i="1"/>
  <c r="BP14" i="16556"/>
  <c r="BQ21" i="1"/>
  <c r="BP21" i="16556"/>
  <c r="AA12" i="16556"/>
  <c r="BQ15" i="1"/>
  <c r="BP15" i="16556"/>
  <c r="FB4" i="4"/>
  <c r="FE4" i="4"/>
  <c r="FA4" i="4"/>
  <c r="FC4" i="4"/>
  <c r="FD4" i="4"/>
  <c r="EW4" i="4"/>
  <c r="EY4" i="4"/>
  <c r="EX4" i="4"/>
  <c r="EZ4" i="4"/>
  <c r="CK6" i="2"/>
  <c r="X11" i="16562" s="1"/>
  <c r="AK7" i="3"/>
  <c r="AK18" i="3"/>
  <c r="AK17" i="3"/>
  <c r="AK16" i="3"/>
  <c r="AK13" i="3"/>
  <c r="DK36" i="2"/>
  <c r="DK63" i="2"/>
  <c r="CM63" i="2"/>
  <c r="DH36" i="2"/>
  <c r="DH63" i="2"/>
  <c r="DE36" i="2"/>
  <c r="DB63" i="2"/>
  <c r="CY36" i="2"/>
  <c r="CY63" i="2"/>
  <c r="CV36" i="2"/>
  <c r="CV63" i="2"/>
  <c r="CS36" i="2"/>
  <c r="CS63" i="2"/>
  <c r="CP36" i="2"/>
  <c r="CP63" i="2"/>
  <c r="CM36" i="2"/>
  <c r="DE63" i="2"/>
  <c r="DB36" i="2"/>
  <c r="CK70" i="2"/>
  <c r="BP20" i="16562" s="1"/>
  <c r="CK72" i="2"/>
  <c r="BP22" i="16562" s="1"/>
  <c r="DH47" i="2"/>
  <c r="CS47" i="2"/>
  <c r="CM47" i="2"/>
  <c r="DB47" i="2"/>
  <c r="DK47" i="2"/>
  <c r="DE47" i="2"/>
  <c r="CV47" i="2"/>
  <c r="CY47" i="2"/>
  <c r="CP47" i="2"/>
  <c r="DK50" i="2"/>
  <c r="CV50" i="2"/>
  <c r="DE50" i="2"/>
  <c r="CY50" i="2"/>
  <c r="CP50" i="2"/>
  <c r="CM50" i="2"/>
  <c r="DB50" i="2"/>
  <c r="CS50" i="2"/>
  <c r="DH50" i="2"/>
  <c r="AH18" i="3"/>
  <c r="AH17" i="3"/>
  <c r="FD17" i="4"/>
  <c r="R26" i="1"/>
  <c r="EX9" i="4"/>
  <c r="R18" i="1"/>
  <c r="FC10" i="4"/>
  <c r="EY18" i="4"/>
  <c r="R27" i="1"/>
  <c r="FD13" i="4"/>
  <c r="R22" i="1"/>
  <c r="FA15" i="4"/>
  <c r="R24" i="1"/>
  <c r="FE16" i="4"/>
  <c r="R25" i="1"/>
  <c r="EW7" i="4"/>
  <c r="R16" i="1"/>
  <c r="FE12" i="4"/>
  <c r="R21" i="1"/>
  <c r="EY11" i="4"/>
  <c r="R20" i="1"/>
  <c r="FD14" i="4"/>
  <c r="R23" i="1"/>
  <c r="FA3" i="4"/>
  <c r="AH19" i="3"/>
  <c r="CL6" i="2"/>
  <c r="AH16" i="3"/>
  <c r="AH15" i="3"/>
  <c r="AH14" i="3"/>
  <c r="AH13" i="3"/>
  <c r="EY13" i="4"/>
  <c r="EZ13" i="4"/>
  <c r="EZ12" i="4"/>
  <c r="FD12" i="4"/>
  <c r="FC16" i="4"/>
  <c r="EZ16" i="4"/>
  <c r="EX13" i="4"/>
  <c r="EW12" i="4"/>
  <c r="FB12" i="4"/>
  <c r="EY12" i="4"/>
  <c r="FE13" i="4"/>
  <c r="FA16" i="4"/>
  <c r="FA13" i="4"/>
  <c r="FB13" i="4"/>
  <c r="EW13" i="4"/>
  <c r="EX16" i="4"/>
  <c r="FC13" i="4"/>
  <c r="FD16" i="4"/>
  <c r="FB16" i="4"/>
  <c r="FA12" i="4"/>
  <c r="EW16" i="4"/>
  <c r="EY16" i="4"/>
  <c r="EX12" i="4"/>
  <c r="FC12" i="4"/>
  <c r="FC7" i="4"/>
  <c r="EZ7" i="4"/>
  <c r="FD7" i="4"/>
  <c r="AH12" i="3"/>
  <c r="AH11" i="3"/>
  <c r="AJ11" i="3"/>
  <c r="FB7" i="4"/>
  <c r="AH10" i="3"/>
  <c r="AH9" i="3"/>
  <c r="AJ10" i="3"/>
  <c r="AK10" i="3" s="1"/>
  <c r="AJ9" i="3"/>
  <c r="AK9" i="3" s="1"/>
  <c r="FE7" i="4"/>
  <c r="EY7" i="4"/>
  <c r="EX7" i="4"/>
  <c r="FA7" i="4"/>
  <c r="EZ18" i="4"/>
  <c r="EX18" i="4"/>
  <c r="EW18" i="4"/>
  <c r="FA18" i="4"/>
  <c r="FD18" i="4"/>
  <c r="FB18" i="4"/>
  <c r="FE18" i="4"/>
  <c r="FC18" i="4"/>
  <c r="FA6" i="4"/>
  <c r="FB6" i="4"/>
  <c r="FC6" i="4"/>
  <c r="FE6" i="4"/>
  <c r="EY6" i="4"/>
  <c r="FD6" i="4"/>
  <c r="EW6" i="4"/>
  <c r="EZ6" i="4"/>
  <c r="EX6" i="4"/>
  <c r="FE15" i="4"/>
  <c r="EZ15" i="4"/>
  <c r="EX15" i="4"/>
  <c r="FB15" i="4"/>
  <c r="AL4" i="3"/>
  <c r="AM4" i="3" s="1"/>
  <c r="AK8" i="3"/>
  <c r="EW15" i="4"/>
  <c r="EY14" i="4"/>
  <c r="EY15" i="4"/>
  <c r="FC15" i="4"/>
  <c r="FD15" i="4"/>
  <c r="AH8" i="3"/>
  <c r="FC17" i="4"/>
  <c r="EZ17" i="4"/>
  <c r="EX17" i="4"/>
  <c r="FA17" i="4"/>
  <c r="EW17" i="4"/>
  <c r="FB17" i="4"/>
  <c r="EY17" i="4"/>
  <c r="FE17" i="4"/>
  <c r="EW14" i="4"/>
  <c r="FA14" i="4"/>
  <c r="FE14" i="4"/>
  <c r="EW11" i="4"/>
  <c r="FC14" i="4"/>
  <c r="EX14" i="4"/>
  <c r="FB11" i="4"/>
  <c r="FB14" i="4"/>
  <c r="EZ14" i="4"/>
  <c r="FA11" i="4"/>
  <c r="FE11" i="4"/>
  <c r="EZ11" i="4"/>
  <c r="FD11" i="4"/>
  <c r="FC11" i="4"/>
  <c r="EX11" i="4"/>
  <c r="EW3" i="4"/>
  <c r="AK6" i="3"/>
  <c r="V7" i="3"/>
  <c r="AH7" i="3"/>
  <c r="V6" i="3"/>
  <c r="AH6" i="3"/>
  <c r="V5" i="3"/>
  <c r="AH5" i="3"/>
  <c r="EX3" i="4"/>
  <c r="FB3" i="4"/>
  <c r="FD3" i="4"/>
  <c r="FC3" i="4"/>
  <c r="FE3" i="4"/>
  <c r="EW9" i="4"/>
  <c r="EX10" i="4"/>
  <c r="EW10" i="4"/>
  <c r="FB10" i="4"/>
  <c r="EY9" i="4"/>
  <c r="FD10" i="4"/>
  <c r="FD9" i="4"/>
  <c r="FA10" i="4"/>
  <c r="EY3" i="4"/>
  <c r="EZ3" i="4"/>
  <c r="FC9" i="4"/>
  <c r="EY10" i="4"/>
  <c r="FE9" i="4"/>
  <c r="EZ9" i="4"/>
  <c r="FB9" i="4"/>
  <c r="FA9" i="4"/>
  <c r="FE10" i="4"/>
  <c r="EZ10" i="4"/>
  <c r="FJ5" i="2" l="1"/>
  <c r="FJ11" i="2" s="1"/>
  <c r="FJ12" i="2" s="1"/>
  <c r="FO5" i="2"/>
  <c r="FO15" i="2" s="1"/>
  <c r="FO16" i="2" s="1"/>
  <c r="FQ5" i="2"/>
  <c r="FQ15" i="2" s="1"/>
  <c r="FQ16" i="2" s="1"/>
  <c r="FP5" i="2"/>
  <c r="FP11" i="2" s="1"/>
  <c r="FP12" i="2" s="1"/>
  <c r="FN5" i="2"/>
  <c r="FN15" i="2" s="1"/>
  <c r="FN16" i="2" s="1"/>
  <c r="FL5" i="2"/>
  <c r="FL6" i="2" s="1"/>
  <c r="FL7" i="2" s="1"/>
  <c r="FK5" i="2"/>
  <c r="FK6" i="2" s="1"/>
  <c r="FK7" i="2" s="1"/>
  <c r="FR5" i="2"/>
  <c r="FR15" i="2" s="1"/>
  <c r="FR16" i="2" s="1"/>
  <c r="FM5" i="2"/>
  <c r="FM11" i="2" s="1"/>
  <c r="FM12" i="2" s="1"/>
  <c r="FO8" i="2"/>
  <c r="FO9" i="2" s="1"/>
  <c r="FO10" i="2" s="1"/>
  <c r="FJ8" i="2"/>
  <c r="FJ13" i="2" s="1"/>
  <c r="FJ14" i="2" s="1"/>
  <c r="FP8" i="2"/>
  <c r="FP13" i="2" s="1"/>
  <c r="FP14" i="2" s="1"/>
  <c r="FN8" i="2"/>
  <c r="FN13" i="2" s="1"/>
  <c r="FN14" i="2" s="1"/>
  <c r="FQ8" i="2"/>
  <c r="FQ13" i="2" s="1"/>
  <c r="FQ14" i="2" s="1"/>
  <c r="FM8" i="2"/>
  <c r="FM13" i="2" s="1"/>
  <c r="FM14" i="2" s="1"/>
  <c r="EY26" i="2"/>
  <c r="FA26" i="2"/>
  <c r="FL8" i="2"/>
  <c r="FL9" i="2" s="1"/>
  <c r="FL10" i="2" s="1"/>
  <c r="EX26" i="2"/>
  <c r="FB26" i="2"/>
  <c r="FD26" i="2"/>
  <c r="FC26" i="2"/>
  <c r="EZ26" i="2"/>
  <c r="FE26" i="2"/>
  <c r="EW26" i="2"/>
  <c r="BP28" i="16562"/>
  <c r="BP27" i="16556"/>
  <c r="Y11" i="16562"/>
  <c r="FK13" i="2"/>
  <c r="FK14" i="2" s="1"/>
  <c r="FK9" i="2"/>
  <c r="FK10" i="2" s="1"/>
  <c r="FK17" i="2"/>
  <c r="FK18" i="2" s="1"/>
  <c r="FR13" i="2"/>
  <c r="FR14" i="2" s="1"/>
  <c r="FR9" i="2"/>
  <c r="FR10" i="2" s="1"/>
  <c r="FR17" i="2"/>
  <c r="FR18" i="2" s="1"/>
  <c r="CJ7" i="2"/>
  <c r="BU133" i="4"/>
  <c r="BS133" i="4"/>
  <c r="BT133" i="4"/>
  <c r="FK3" i="4"/>
  <c r="FP3" i="4"/>
  <c r="FP4" i="4" s="1"/>
  <c r="BQ22" i="1"/>
  <c r="BP22" i="16556"/>
  <c r="BQ20" i="1"/>
  <c r="BP20" i="16556"/>
  <c r="BQ17" i="1"/>
  <c r="BP17" i="16556"/>
  <c r="BQ18" i="1"/>
  <c r="BP18" i="16556"/>
  <c r="BQ19" i="1"/>
  <c r="BP19" i="16556"/>
  <c r="BQ13" i="1"/>
  <c r="BP13" i="16556"/>
  <c r="BQ27" i="1"/>
  <c r="Z11" i="1"/>
  <c r="Y11" i="16556"/>
  <c r="Y11" i="1"/>
  <c r="X11" i="16556"/>
  <c r="CK50" i="2"/>
  <c r="CK47" i="2"/>
  <c r="AT24" i="16562" s="1"/>
  <c r="AK11" i="3"/>
  <c r="X12" i="16556"/>
  <c r="AI18" i="3"/>
  <c r="AI17" i="3"/>
  <c r="BJ17" i="3" s="1"/>
  <c r="BK17" i="3" s="1"/>
  <c r="FO3" i="4"/>
  <c r="FO4" i="4" s="1"/>
  <c r="AI19" i="3"/>
  <c r="AI16" i="3"/>
  <c r="BJ16" i="3" s="1"/>
  <c r="BK16" i="3" s="1"/>
  <c r="AI15" i="3"/>
  <c r="BJ15" i="3" s="1"/>
  <c r="BK15" i="3" s="1"/>
  <c r="AI14" i="3"/>
  <c r="BJ14" i="3" s="1"/>
  <c r="BK14" i="3" s="1"/>
  <c r="AI13" i="3"/>
  <c r="BJ13" i="3" s="1"/>
  <c r="BK13" i="3" s="1"/>
  <c r="P21" i="1" s="1"/>
  <c r="FR6" i="4"/>
  <c r="FR7" i="4" s="1"/>
  <c r="FR8" i="4" s="1"/>
  <c r="FP6" i="4"/>
  <c r="FP11" i="4" s="1"/>
  <c r="FP12" i="4" s="1"/>
  <c r="FK6" i="4"/>
  <c r="FK11" i="4" s="1"/>
  <c r="FK12" i="4" s="1"/>
  <c r="FN6" i="4"/>
  <c r="FN11" i="4" s="1"/>
  <c r="FN12" i="4" s="1"/>
  <c r="FO6" i="4"/>
  <c r="FL6" i="4"/>
  <c r="FL15" i="4" s="1"/>
  <c r="FL16" i="4" s="1"/>
  <c r="FS6" i="4"/>
  <c r="FS11" i="4" s="1"/>
  <c r="FS12" i="4" s="1"/>
  <c r="FQ6" i="4"/>
  <c r="FQ7" i="4" s="1"/>
  <c r="FQ8" i="4" s="1"/>
  <c r="AI10" i="3"/>
  <c r="AI9" i="3"/>
  <c r="FM3" i="4"/>
  <c r="FM6" i="4"/>
  <c r="FL3" i="4"/>
  <c r="FN3" i="4"/>
  <c r="FR3" i="4"/>
  <c r="FS3" i="4"/>
  <c r="FQ3" i="4"/>
  <c r="AI12" i="3"/>
  <c r="BJ12" i="3" s="1"/>
  <c r="BK12" i="3" s="1"/>
  <c r="P20" i="1" s="1"/>
  <c r="AI5" i="3"/>
  <c r="AI6" i="3"/>
  <c r="AI7" i="3"/>
  <c r="AI8" i="3"/>
  <c r="FN6" i="2" l="1"/>
  <c r="FN11" i="2"/>
  <c r="FN12" i="2" s="1"/>
  <c r="FP6" i="2"/>
  <c r="FP7" i="2" s="1"/>
  <c r="FP15" i="2"/>
  <c r="FP16" i="2" s="1"/>
  <c r="FL11" i="2"/>
  <c r="FL12" i="2" s="1"/>
  <c r="FJ15" i="2"/>
  <c r="FJ16" i="2" s="1"/>
  <c r="FL15" i="2"/>
  <c r="FL16" i="2" s="1"/>
  <c r="FO6" i="2"/>
  <c r="FO11" i="2"/>
  <c r="FO12" i="2" s="1"/>
  <c r="FJ6" i="2"/>
  <c r="FJ7" i="2" s="1"/>
  <c r="FK15" i="2"/>
  <c r="FK16" i="2" s="1"/>
  <c r="FR6" i="2"/>
  <c r="FR7" i="2" s="1"/>
  <c r="FK11" i="2"/>
  <c r="FK12" i="2" s="1"/>
  <c r="FR11" i="2"/>
  <c r="FR12" i="2" s="1"/>
  <c r="FM6" i="2"/>
  <c r="FM7" i="2" s="1"/>
  <c r="FM15" i="2"/>
  <c r="FM16" i="2" s="1"/>
  <c r="FQ11" i="2"/>
  <c r="FQ12" i="2" s="1"/>
  <c r="FQ6" i="2"/>
  <c r="FQ7" i="2" s="1"/>
  <c r="FJ9" i="2"/>
  <c r="FJ10" i="2" s="1"/>
  <c r="FO13" i="2"/>
  <c r="FO14" i="2" s="1"/>
  <c r="FO17" i="2"/>
  <c r="FO18" i="2" s="1"/>
  <c r="FJ17" i="2"/>
  <c r="FJ18" i="2" s="1"/>
  <c r="FM9" i="2"/>
  <c r="FM10" i="2" s="1"/>
  <c r="FP17" i="2"/>
  <c r="FP18" i="2" s="1"/>
  <c r="FM17" i="2"/>
  <c r="FM18" i="2" s="1"/>
  <c r="FN17" i="2"/>
  <c r="FN18" i="2" s="1"/>
  <c r="FQ17" i="2"/>
  <c r="FQ18" i="2" s="1"/>
  <c r="FQ9" i="2"/>
  <c r="FQ10" i="2" s="1"/>
  <c r="FN9" i="2"/>
  <c r="FN10" i="2" s="1"/>
  <c r="FP9" i="2"/>
  <c r="FP10" i="2" s="1"/>
  <c r="FL13" i="2"/>
  <c r="FL14" i="2" s="1"/>
  <c r="FL17" i="2"/>
  <c r="FL18" i="2" s="1"/>
  <c r="AT28" i="16562"/>
  <c r="AT27" i="16556"/>
  <c r="BO133" i="4"/>
  <c r="BR133" i="4" s="1"/>
  <c r="FM13" i="4"/>
  <c r="FM14" i="4" s="1"/>
  <c r="FM4" i="4"/>
  <c r="FM5" i="4" s="1"/>
  <c r="FQ4" i="4"/>
  <c r="FQ5" i="4" s="1"/>
  <c r="FS13" i="4"/>
  <c r="FS14" i="4" s="1"/>
  <c r="FS4" i="4"/>
  <c r="FS5" i="4" s="1"/>
  <c r="FR13" i="4"/>
  <c r="FR14" i="4" s="1"/>
  <c r="FR4" i="4"/>
  <c r="FR5" i="4" s="1"/>
  <c r="FN13" i="4"/>
  <c r="FN14" i="4" s="1"/>
  <c r="FN4" i="4"/>
  <c r="FN5" i="4" s="1"/>
  <c r="FL13" i="4"/>
  <c r="FL14" i="4" s="1"/>
  <c r="FL4" i="4"/>
  <c r="FL5" i="4" s="1"/>
  <c r="CN47" i="2"/>
  <c r="AT24" i="16556"/>
  <c r="CN50" i="2"/>
  <c r="AV27" i="16556" s="1"/>
  <c r="CL47" i="2"/>
  <c r="AU24" i="16562" s="1"/>
  <c r="AU24" i="1"/>
  <c r="CL50" i="2"/>
  <c r="AU27" i="1"/>
  <c r="Y12" i="16556"/>
  <c r="P25" i="1"/>
  <c r="BJ18" i="3"/>
  <c r="BK18" i="3" s="1"/>
  <c r="CK49" i="2"/>
  <c r="AT26" i="16562" s="1"/>
  <c r="P22" i="1"/>
  <c r="FO13" i="4"/>
  <c r="FO14" i="4" s="1"/>
  <c r="FO9" i="4"/>
  <c r="FO10" i="4" s="1"/>
  <c r="P24" i="1"/>
  <c r="P23" i="1"/>
  <c r="FP15" i="4"/>
  <c r="FP16" i="4" s="1"/>
  <c r="FP7" i="4"/>
  <c r="FP8" i="4" s="1"/>
  <c r="FK7" i="4"/>
  <c r="FK8" i="4" s="1"/>
  <c r="FR15" i="4"/>
  <c r="FR16" i="4" s="1"/>
  <c r="FR11" i="4"/>
  <c r="FR12" i="4" s="1"/>
  <c r="FN7" i="4"/>
  <c r="FN8" i="4" s="1"/>
  <c r="FN15" i="4"/>
  <c r="FN16" i="4" s="1"/>
  <c r="FQ15" i="4"/>
  <c r="FQ16" i="4" s="1"/>
  <c r="FK15" i="4"/>
  <c r="FK16" i="4" s="1"/>
  <c r="FQ11" i="4"/>
  <c r="FQ12" i="4" s="1"/>
  <c r="FS15" i="4"/>
  <c r="FS16" i="4" s="1"/>
  <c r="FS7" i="4"/>
  <c r="FS8" i="4" s="1"/>
  <c r="FL7" i="4"/>
  <c r="FL8" i="4" s="1"/>
  <c r="FL11" i="4"/>
  <c r="FL12" i="4" s="1"/>
  <c r="FO7" i="4"/>
  <c r="FO8" i="4" s="1"/>
  <c r="FO15" i="4"/>
  <c r="FO16" i="4" s="1"/>
  <c r="FO11" i="4"/>
  <c r="FO12" i="4" s="1"/>
  <c r="FL9" i="4"/>
  <c r="FL10" i="4" s="1"/>
  <c r="FM9" i="4"/>
  <c r="FM10" i="4" s="1"/>
  <c r="FN9" i="4"/>
  <c r="FN10" i="4" s="1"/>
  <c r="FK13" i="4"/>
  <c r="FM11" i="4"/>
  <c r="FM12" i="4" s="1"/>
  <c r="FM7" i="4"/>
  <c r="FM8" i="4" s="1"/>
  <c r="FM15" i="4"/>
  <c r="FM16" i="4" s="1"/>
  <c r="FK9" i="4"/>
  <c r="FQ13" i="4"/>
  <c r="FQ14" i="4" s="1"/>
  <c r="FQ9" i="4"/>
  <c r="FQ10" i="4" s="1"/>
  <c r="FS9" i="4"/>
  <c r="FS10" i="4" s="1"/>
  <c r="FP13" i="4"/>
  <c r="FP14" i="4" s="1"/>
  <c r="FP9" i="4"/>
  <c r="FP10" i="4" s="1"/>
  <c r="FR9" i="4"/>
  <c r="FR10" i="4" s="1"/>
  <c r="FS15" i="2" l="1"/>
  <c r="FS11" i="2"/>
  <c r="FS13" i="2"/>
  <c r="FS17" i="2"/>
  <c r="AU28" i="16562"/>
  <c r="AU27" i="16556"/>
  <c r="AV24" i="16556"/>
  <c r="AV24" i="16562"/>
  <c r="AV28" i="16562"/>
  <c r="BQ133" i="4"/>
  <c r="BP133" i="4"/>
  <c r="FK14" i="4"/>
  <c r="FT13" i="4" s="1"/>
  <c r="FK10" i="4"/>
  <c r="FT9" i="4" s="1"/>
  <c r="CQ50" i="2"/>
  <c r="AX27" i="16556" s="1"/>
  <c r="AW27" i="1"/>
  <c r="CO50" i="2"/>
  <c r="AW27" i="16556" s="1"/>
  <c r="AV24" i="1"/>
  <c r="AU24" i="16556"/>
  <c r="CQ47" i="2"/>
  <c r="AW24" i="1"/>
  <c r="AU26" i="1"/>
  <c r="AT26" i="16556"/>
  <c r="CO47" i="2"/>
  <c r="AW24" i="16562" s="1"/>
  <c r="AV27" i="1"/>
  <c r="P26" i="1"/>
  <c r="CK7" i="2"/>
  <c r="X13" i="16562" s="1"/>
  <c r="CL49" i="2"/>
  <c r="AU26" i="16562" s="1"/>
  <c r="CN49" i="2"/>
  <c r="CK48" i="2"/>
  <c r="AT25" i="16562" s="1"/>
  <c r="FT11" i="4"/>
  <c r="FT7" i="4"/>
  <c r="FT15" i="4"/>
  <c r="AX24" i="16556" l="1"/>
  <c r="AX24" i="16562"/>
  <c r="AV26" i="16556"/>
  <c r="AV26" i="16562"/>
  <c r="AX28" i="16562"/>
  <c r="AX27" i="1"/>
  <c r="AW28" i="16562"/>
  <c r="X13" i="16556"/>
  <c r="BV109" i="4"/>
  <c r="BP110" i="4" s="1"/>
  <c r="FV9" i="4"/>
  <c r="FV13" i="4"/>
  <c r="CT50" i="2"/>
  <c r="AZ27" i="16556" s="1"/>
  <c r="AY27" i="1"/>
  <c r="CR50" i="2"/>
  <c r="AY27" i="16556" s="1"/>
  <c r="AY24" i="1"/>
  <c r="AU25" i="1"/>
  <c r="AT25" i="16556"/>
  <c r="AV26" i="1"/>
  <c r="AU26" i="16556"/>
  <c r="CT47" i="2"/>
  <c r="CR47" i="2"/>
  <c r="AY24" i="16562" s="1"/>
  <c r="AX24" i="1"/>
  <c r="AW24" i="16556"/>
  <c r="CO49" i="2"/>
  <c r="AW26" i="16562" s="1"/>
  <c r="AW26" i="1"/>
  <c r="CL7" i="2"/>
  <c r="Y13" i="1"/>
  <c r="CN7" i="2"/>
  <c r="Z13" i="16562" s="1"/>
  <c r="CQ49" i="2"/>
  <c r="CL48" i="2"/>
  <c r="AU25" i="16562" s="1"/>
  <c r="CN48" i="2"/>
  <c r="Y13" i="16562" l="1"/>
  <c r="AZ24" i="16556"/>
  <c r="AZ24" i="16562"/>
  <c r="AX26" i="16556"/>
  <c r="AX26" i="16562"/>
  <c r="AV25" i="16556"/>
  <c r="AV25" i="16562"/>
  <c r="AZ27" i="1"/>
  <c r="AY28" i="16562"/>
  <c r="AZ28" i="16562"/>
  <c r="BT110" i="4"/>
  <c r="BS110" i="4"/>
  <c r="BZ134" i="4" s="1"/>
  <c r="BY134" i="4" s="1"/>
  <c r="CJ8" i="2"/>
  <c r="CK8" i="2" s="1"/>
  <c r="CQ7" i="2"/>
  <c r="Z13" i="16556"/>
  <c r="BV85" i="4"/>
  <c r="BX109" i="4"/>
  <c r="BR110" i="4" s="1"/>
  <c r="BU110" i="4" s="1"/>
  <c r="BW109" i="4"/>
  <c r="BQ110" i="4" s="1"/>
  <c r="Y13" i="16556"/>
  <c r="CU50" i="2"/>
  <c r="BA27" i="16556" s="1"/>
  <c r="CW50" i="2"/>
  <c r="BB27" i="16556" s="1"/>
  <c r="BA27" i="1"/>
  <c r="AV25" i="1"/>
  <c r="AU25" i="16556"/>
  <c r="AX26" i="1"/>
  <c r="AW26" i="16556"/>
  <c r="AZ24" i="1"/>
  <c r="AY24" i="16556"/>
  <c r="CW47" i="2"/>
  <c r="BA24" i="1"/>
  <c r="CU47" i="2"/>
  <c r="BA24" i="16562" s="1"/>
  <c r="CR49" i="2"/>
  <c r="AY26" i="16562" s="1"/>
  <c r="AY26" i="1"/>
  <c r="CO48" i="2"/>
  <c r="AW25" i="16562" s="1"/>
  <c r="AW25" i="1"/>
  <c r="CO7" i="2"/>
  <c r="AA13" i="1"/>
  <c r="Z13" i="1"/>
  <c r="CM46" i="2"/>
  <c r="CT49" i="2"/>
  <c r="CQ48" i="2"/>
  <c r="S13" i="16562" l="1"/>
  <c r="S13" i="16556"/>
  <c r="AA13" i="16562"/>
  <c r="BB24" i="16556"/>
  <c r="BB24" i="16562"/>
  <c r="CR7" i="2"/>
  <c r="CP8" i="2" s="1"/>
  <c r="AB13" i="16562"/>
  <c r="X14" i="16556"/>
  <c r="X14" i="16562"/>
  <c r="AZ26" i="16556"/>
  <c r="AZ26" i="16562"/>
  <c r="AX25" i="16556"/>
  <c r="AX25" i="16562"/>
  <c r="BB27" i="1"/>
  <c r="BA28" i="16562"/>
  <c r="CZ50" i="2"/>
  <c r="BB28" i="16562"/>
  <c r="BV134" i="4"/>
  <c r="BY85" i="4"/>
  <c r="CT7" i="2"/>
  <c r="AB13" i="16556"/>
  <c r="CM8" i="2"/>
  <c r="CN8" i="2" s="1"/>
  <c r="Z14" i="16562" s="1"/>
  <c r="BW85" i="4"/>
  <c r="BX85" i="4"/>
  <c r="BX134" i="4"/>
  <c r="BW134" i="4"/>
  <c r="CX50" i="2"/>
  <c r="BC27" i="16556" s="1"/>
  <c r="BC27" i="1"/>
  <c r="BC24" i="1"/>
  <c r="CX47" i="2"/>
  <c r="AB13" i="1"/>
  <c r="AA13" i="16556"/>
  <c r="CZ47" i="2"/>
  <c r="AX25" i="1"/>
  <c r="AW25" i="16556"/>
  <c r="AZ26" i="1"/>
  <c r="AY26" i="16556"/>
  <c r="BB24" i="1"/>
  <c r="BA24" i="16556"/>
  <c r="CR48" i="2"/>
  <c r="AY25" i="16562" s="1"/>
  <c r="AY25" i="1"/>
  <c r="CU49" i="2"/>
  <c r="BA26" i="16562" s="1"/>
  <c r="BA26" i="1"/>
  <c r="CK46" i="2"/>
  <c r="AT23" i="16562" s="1"/>
  <c r="AC13" i="1"/>
  <c r="CL8" i="2"/>
  <c r="Y14" i="1"/>
  <c r="CP46" i="2"/>
  <c r="CW49" i="2"/>
  <c r="CT48" i="2"/>
  <c r="T13" i="16562" l="1"/>
  <c r="T13" i="16556"/>
  <c r="U13" i="16562"/>
  <c r="U13" i="16556"/>
  <c r="GS14" i="2"/>
  <c r="GP7" i="2"/>
  <c r="BD28" i="16562"/>
  <c r="BD27" i="16556"/>
  <c r="CA85" i="4"/>
  <c r="GR7" i="2" s="1"/>
  <c r="AC13" i="16562"/>
  <c r="Y14" i="16562"/>
  <c r="BC24" i="16556"/>
  <c r="BC24" i="16562"/>
  <c r="CU7" i="2"/>
  <c r="CS8" i="2" s="1"/>
  <c r="AD13" i="16562"/>
  <c r="BD24" i="16556"/>
  <c r="BD24" i="16562"/>
  <c r="AZ25" i="16556"/>
  <c r="AZ25" i="16562"/>
  <c r="DC50" i="2"/>
  <c r="BB26" i="16556"/>
  <c r="BB26" i="16562"/>
  <c r="DA50" i="2"/>
  <c r="BD27" i="1"/>
  <c r="BC28" i="16562"/>
  <c r="BE27" i="1"/>
  <c r="CJ9" i="2"/>
  <c r="CK9" i="2" s="1"/>
  <c r="X15" i="16562" s="1"/>
  <c r="GR22" i="2"/>
  <c r="BZ85" i="4"/>
  <c r="GQ7" i="2" s="1"/>
  <c r="CW7" i="2"/>
  <c r="Z14" i="16556"/>
  <c r="CQ8" i="2"/>
  <c r="AD13" i="16556"/>
  <c r="BS134" i="4"/>
  <c r="BT134" i="4"/>
  <c r="BU134" i="4"/>
  <c r="AC13" i="16556"/>
  <c r="BD24" i="1"/>
  <c r="BB26" i="1"/>
  <c r="BA26" i="16556"/>
  <c r="Z14" i="1"/>
  <c r="Y14" i="16556"/>
  <c r="AZ25" i="1"/>
  <c r="AY25" i="16556"/>
  <c r="DA47" i="2"/>
  <c r="BE24" i="16562" s="1"/>
  <c r="BE24" i="1"/>
  <c r="CN46" i="2"/>
  <c r="AT23" i="16556"/>
  <c r="DC47" i="2"/>
  <c r="CU48" i="2"/>
  <c r="BA25" i="16562" s="1"/>
  <c r="BA25" i="1"/>
  <c r="CZ49" i="2"/>
  <c r="BC26" i="1"/>
  <c r="AU23" i="1"/>
  <c r="CL46" i="2"/>
  <c r="AU23" i="16562" s="1"/>
  <c r="CO8" i="2"/>
  <c r="AA14" i="1"/>
  <c r="AD13" i="1"/>
  <c r="AE13" i="1"/>
  <c r="CS46" i="2"/>
  <c r="CX49" i="2"/>
  <c r="BC26" i="16562" s="1"/>
  <c r="CW48" i="2"/>
  <c r="GU14" i="2" l="1"/>
  <c r="GT14" i="2"/>
  <c r="BF28" i="16562"/>
  <c r="BF27" i="16556"/>
  <c r="BE28" i="16562"/>
  <c r="BE27" i="16556"/>
  <c r="AA14" i="16562"/>
  <c r="AE13" i="16562"/>
  <c r="BG27" i="1"/>
  <c r="DF50" i="2"/>
  <c r="DD50" i="2"/>
  <c r="DD47" i="2"/>
  <c r="BG24" i="16562" s="1"/>
  <c r="BF24" i="16562"/>
  <c r="AV23" i="16556"/>
  <c r="AV23" i="16562"/>
  <c r="CR8" i="2"/>
  <c r="CP9" i="2" s="1"/>
  <c r="AB14" i="16562"/>
  <c r="CX7" i="2"/>
  <c r="AF13" i="16562"/>
  <c r="BF27" i="1"/>
  <c r="BD26" i="16556"/>
  <c r="BD26" i="16562"/>
  <c r="BB25" i="16556"/>
  <c r="BB25" i="16562"/>
  <c r="CM9" i="2"/>
  <c r="CN9" i="2" s="1"/>
  <c r="Z15" i="16562" s="1"/>
  <c r="CV8" i="2"/>
  <c r="GQ22" i="2"/>
  <c r="AF13" i="16556"/>
  <c r="CT8" i="2"/>
  <c r="CZ7" i="2"/>
  <c r="AH13" i="16562" s="1"/>
  <c r="AB14" i="16556"/>
  <c r="BO134" i="4"/>
  <c r="AA14" i="16556"/>
  <c r="AE13" i="16556"/>
  <c r="X15" i="16556"/>
  <c r="CL9" i="2"/>
  <c r="Y15" i="1"/>
  <c r="BG24" i="1"/>
  <c r="BB25" i="1"/>
  <c r="BA25" i="16556"/>
  <c r="BF24" i="1"/>
  <c r="BE24" i="16556"/>
  <c r="AV23" i="1"/>
  <c r="AU23" i="16556"/>
  <c r="DF47" i="2"/>
  <c r="BH24" i="16562" s="1"/>
  <c r="BF24" i="16556"/>
  <c r="BD26" i="1"/>
  <c r="BC26" i="16556"/>
  <c r="CQ46" i="2"/>
  <c r="AW23" i="1"/>
  <c r="CO46" i="2"/>
  <c r="AW23" i="16562" s="1"/>
  <c r="DC49" i="2"/>
  <c r="BE26" i="1"/>
  <c r="CX48" i="2"/>
  <c r="BC25" i="16562" s="1"/>
  <c r="BC25" i="1"/>
  <c r="DA49" i="2"/>
  <c r="BE26" i="16562" s="1"/>
  <c r="AG13" i="1"/>
  <c r="AF13" i="1"/>
  <c r="AC14" i="1"/>
  <c r="AB14" i="1"/>
  <c r="CZ48" i="2"/>
  <c r="BH28" i="16562" l="1"/>
  <c r="BH27" i="16556"/>
  <c r="BG28" i="16562"/>
  <c r="BG27" i="16556"/>
  <c r="AG13" i="16562"/>
  <c r="Y15" i="16562"/>
  <c r="AC14" i="16562"/>
  <c r="BG24" i="16556"/>
  <c r="BH27" i="1"/>
  <c r="DG50" i="2"/>
  <c r="DI50" i="2"/>
  <c r="BI27" i="1"/>
  <c r="BH24" i="1"/>
  <c r="AX23" i="16556"/>
  <c r="AX23" i="16562"/>
  <c r="CU8" i="2"/>
  <c r="CS9" i="2" s="1"/>
  <c r="AD14" i="16562"/>
  <c r="BF26" i="16556"/>
  <c r="BF26" i="16562"/>
  <c r="BD25" i="16556"/>
  <c r="BD25" i="16562"/>
  <c r="CJ10" i="2"/>
  <c r="CK10" i="2" s="1"/>
  <c r="X16" i="16562" s="1"/>
  <c r="CW8" i="2"/>
  <c r="AF14" i="16562" s="1"/>
  <c r="AD14" i="16556"/>
  <c r="DA7" i="2"/>
  <c r="DC7" i="2"/>
  <c r="AJ13" i="16562" s="1"/>
  <c r="CQ9" i="2"/>
  <c r="AB15" i="16562" s="1"/>
  <c r="Z15" i="16556"/>
  <c r="BQ134" i="4"/>
  <c r="BP134" i="4"/>
  <c r="BV110" i="4" s="1"/>
  <c r="BP111" i="4" s="1"/>
  <c r="BR134" i="4"/>
  <c r="Y15" i="16556"/>
  <c r="Z15" i="1"/>
  <c r="AC14" i="16556"/>
  <c r="AY23" i="1"/>
  <c r="CR46" i="2"/>
  <c r="CT46" i="2"/>
  <c r="BD25" i="1"/>
  <c r="BC25" i="16556"/>
  <c r="BH24" i="16556"/>
  <c r="DI47" i="2"/>
  <c r="DG47" i="2"/>
  <c r="BI24" i="16562" s="1"/>
  <c r="BI24" i="1"/>
  <c r="AH13" i="16556"/>
  <c r="AH13" i="1"/>
  <c r="AG13" i="16556"/>
  <c r="BF26" i="1"/>
  <c r="BE26" i="16556"/>
  <c r="AX23" i="1"/>
  <c r="AW23" i="16556"/>
  <c r="DA48" i="2"/>
  <c r="BE25" i="16562" s="1"/>
  <c r="BE25" i="1"/>
  <c r="DD49" i="2"/>
  <c r="BG26" i="16562" s="1"/>
  <c r="BG26" i="1"/>
  <c r="DF49" i="2"/>
  <c r="AE14" i="1"/>
  <c r="CO9" i="2"/>
  <c r="AA15" i="1"/>
  <c r="AI13" i="1"/>
  <c r="AD14" i="1"/>
  <c r="CY46" i="2"/>
  <c r="DC48" i="2"/>
  <c r="BI28" i="16562" l="1"/>
  <c r="BI27" i="16556"/>
  <c r="BJ28" i="16562"/>
  <c r="BJ27" i="16556"/>
  <c r="AI13" i="16562"/>
  <c r="AA15" i="16562"/>
  <c r="AE14" i="16562"/>
  <c r="BJ27" i="1"/>
  <c r="DL50" i="2"/>
  <c r="BK27" i="1"/>
  <c r="DJ50" i="2"/>
  <c r="DL47" i="2"/>
  <c r="BM24" i="1" s="1"/>
  <c r="BJ24" i="16562"/>
  <c r="BA23" i="1"/>
  <c r="AZ23" i="16562"/>
  <c r="AZ23" i="1"/>
  <c r="AY23" i="16562"/>
  <c r="BH26" i="16556"/>
  <c r="BH26" i="16562"/>
  <c r="BF25" i="16556"/>
  <c r="BF25" i="16562"/>
  <c r="CY8" i="2"/>
  <c r="CZ8" i="2" s="1"/>
  <c r="CT9" i="2"/>
  <c r="BU111" i="4"/>
  <c r="BS111" i="4"/>
  <c r="BZ135" i="4" s="1"/>
  <c r="BY135" i="4" s="1"/>
  <c r="CM10" i="2"/>
  <c r="CN10" i="2" s="1"/>
  <c r="Z16" i="16562" s="1"/>
  <c r="AF14" i="16556"/>
  <c r="CX8" i="2"/>
  <c r="DD7" i="2"/>
  <c r="DF7" i="2"/>
  <c r="CR9" i="2"/>
  <c r="AB15" i="16556"/>
  <c r="BV86" i="4"/>
  <c r="BX110" i="4"/>
  <c r="BR111" i="4" s="1"/>
  <c r="BW110" i="4"/>
  <c r="BQ111" i="4" s="1"/>
  <c r="BT111" i="4" s="1"/>
  <c r="AJ13" i="16556"/>
  <c r="X16" i="16556"/>
  <c r="CL10" i="2"/>
  <c r="Y16" i="1"/>
  <c r="AE14" i="16556"/>
  <c r="AK13" i="1"/>
  <c r="AY23" i="16556"/>
  <c r="AZ23" i="16556"/>
  <c r="CU46" i="2"/>
  <c r="BI24" i="16556"/>
  <c r="BJ24" i="1"/>
  <c r="AJ13" i="1"/>
  <c r="AI13" i="16556"/>
  <c r="BH26" i="1"/>
  <c r="BG26" i="16556"/>
  <c r="BF25" i="1"/>
  <c r="BE25" i="16556"/>
  <c r="BJ24" i="16556"/>
  <c r="BK24" i="1"/>
  <c r="DJ47" i="2"/>
  <c r="BK24" i="16562" s="1"/>
  <c r="AB15" i="1"/>
  <c r="AA15" i="16556"/>
  <c r="DD48" i="2"/>
  <c r="BG25" i="16562" s="1"/>
  <c r="BG25" i="1"/>
  <c r="DG49" i="2"/>
  <c r="BI26" i="1"/>
  <c r="DI49" i="2"/>
  <c r="AC15" i="1"/>
  <c r="AF14" i="1"/>
  <c r="AG14" i="1"/>
  <c r="DF48" i="2"/>
  <c r="DB46" i="2"/>
  <c r="S14" i="16562" l="1"/>
  <c r="S14" i="16556"/>
  <c r="BL27" i="1"/>
  <c r="BK27" i="16556"/>
  <c r="DM50" i="2"/>
  <c r="BM27" i="16556" s="1"/>
  <c r="BL27" i="16556"/>
  <c r="Y16" i="16562"/>
  <c r="AK13" i="16562"/>
  <c r="AG14" i="16562"/>
  <c r="AC15" i="16562"/>
  <c r="BL28" i="16562"/>
  <c r="BM27" i="1"/>
  <c r="BK28" i="16562"/>
  <c r="DM47" i="2"/>
  <c r="BM24" i="16556" s="1"/>
  <c r="DA8" i="2"/>
  <c r="AH14" i="16562"/>
  <c r="BB23" i="1"/>
  <c r="BA23" i="16562"/>
  <c r="DG7" i="2"/>
  <c r="DE8" i="2" s="1"/>
  <c r="AL13" i="16562"/>
  <c r="CU9" i="2"/>
  <c r="CS10" i="2" s="1"/>
  <c r="AD15" i="16562"/>
  <c r="BL24" i="16556"/>
  <c r="BL24" i="16562"/>
  <c r="BI26" i="16556"/>
  <c r="BI26" i="16562"/>
  <c r="BJ26" i="16556"/>
  <c r="BJ26" i="16562"/>
  <c r="BM28" i="16562"/>
  <c r="BH25" i="16556"/>
  <c r="BH25" i="16562"/>
  <c r="AD15" i="16556"/>
  <c r="DB8" i="2"/>
  <c r="DC8" i="2" s="1"/>
  <c r="CV9" i="2"/>
  <c r="CW9" i="2" s="1"/>
  <c r="CJ11" i="2"/>
  <c r="CK11" i="2" s="1"/>
  <c r="X17" i="16562" s="1"/>
  <c r="CP10" i="2"/>
  <c r="CQ10" i="2" s="1"/>
  <c r="BY86" i="4"/>
  <c r="AH14" i="16556"/>
  <c r="DI7" i="2"/>
  <c r="AL13" i="16556"/>
  <c r="Z16" i="16556"/>
  <c r="BW86" i="4"/>
  <c r="BX86" i="4"/>
  <c r="BV135" i="4"/>
  <c r="CO10" i="2"/>
  <c r="AA16" i="1"/>
  <c r="Z16" i="1"/>
  <c r="Y16" i="16556"/>
  <c r="AG14" i="16556"/>
  <c r="AK13" i="16556"/>
  <c r="AM13" i="1"/>
  <c r="AL13" i="1"/>
  <c r="BA23" i="16556"/>
  <c r="BH25" i="1"/>
  <c r="BG25" i="16556"/>
  <c r="AD15" i="1"/>
  <c r="AC15" i="16556"/>
  <c r="BK24" i="16556"/>
  <c r="BL24" i="1"/>
  <c r="BJ26" i="1"/>
  <c r="CV46" i="2"/>
  <c r="DG48" i="2"/>
  <c r="BI25" i="1"/>
  <c r="DJ49" i="2"/>
  <c r="BK26" i="1"/>
  <c r="DL49" i="2"/>
  <c r="AI14" i="1"/>
  <c r="AE15" i="1"/>
  <c r="AH14" i="1"/>
  <c r="DI48" i="2"/>
  <c r="DE46" i="2"/>
  <c r="T14" i="16562" l="1"/>
  <c r="T14" i="16556"/>
  <c r="U14" i="16562"/>
  <c r="U14" i="16556"/>
  <c r="BN27" i="1"/>
  <c r="CA86" i="4"/>
  <c r="AE15" i="16562"/>
  <c r="AA16" i="16562"/>
  <c r="AM13" i="16562"/>
  <c r="BN24" i="1"/>
  <c r="BM24" i="16562"/>
  <c r="DD8" i="2"/>
  <c r="DB9" i="2" s="1"/>
  <c r="AJ14" i="16562"/>
  <c r="DJ7" i="2"/>
  <c r="DH8" i="2" s="1"/>
  <c r="AN13" i="16562"/>
  <c r="CR10" i="2"/>
  <c r="AB16" i="16562"/>
  <c r="AF15" i="16562"/>
  <c r="CY9" i="2"/>
  <c r="CZ9" i="2" s="1"/>
  <c r="AH15" i="16562" s="1"/>
  <c r="AI14" i="16562"/>
  <c r="BL26" i="16556"/>
  <c r="BL26" i="16562"/>
  <c r="BJ25" i="16556"/>
  <c r="BJ25" i="16562"/>
  <c r="BK26" i="16556"/>
  <c r="BK26" i="16562"/>
  <c r="BI25" i="16556"/>
  <c r="BI25" i="16562"/>
  <c r="CX9" i="2"/>
  <c r="CV10" i="2" s="1"/>
  <c r="CM11" i="2"/>
  <c r="CN11" i="2" s="1"/>
  <c r="BZ86" i="4"/>
  <c r="DF8" i="2"/>
  <c r="AN13" i="16556"/>
  <c r="DL7" i="2"/>
  <c r="CT10" i="2"/>
  <c r="AD16" i="16562" s="1"/>
  <c r="X17" i="16556"/>
  <c r="AF15" i="16556"/>
  <c r="AB16" i="16556"/>
  <c r="BX135" i="4"/>
  <c r="BW135" i="4"/>
  <c r="Y17" i="1"/>
  <c r="CL11" i="2"/>
  <c r="AA16" i="16556"/>
  <c r="AC16" i="1"/>
  <c r="AB16" i="1"/>
  <c r="AI14" i="16556"/>
  <c r="AM13" i="16556"/>
  <c r="AN13" i="1"/>
  <c r="AO13" i="1"/>
  <c r="AF15" i="1"/>
  <c r="AE15" i="16556"/>
  <c r="AJ14" i="16556"/>
  <c r="BJ25" i="1"/>
  <c r="BL26" i="1"/>
  <c r="CW46" i="2"/>
  <c r="BB23" i="16562" s="1"/>
  <c r="DJ48" i="2"/>
  <c r="BK25" i="1"/>
  <c r="DM49" i="2"/>
  <c r="BM26" i="1"/>
  <c r="AG15" i="1"/>
  <c r="AJ14" i="1"/>
  <c r="AK14" i="1"/>
  <c r="DL48" i="2"/>
  <c r="DH46" i="2"/>
  <c r="Y17" i="16562" l="1"/>
  <c r="AG15" i="16562"/>
  <c r="AO13" i="16562"/>
  <c r="AK14" i="16562"/>
  <c r="DA9" i="2"/>
  <c r="CY10" i="2" s="1"/>
  <c r="CP11" i="2"/>
  <c r="CQ11" i="2" s="1"/>
  <c r="AC16" i="16562"/>
  <c r="Z17" i="16562"/>
  <c r="DC9" i="2"/>
  <c r="DM7" i="2"/>
  <c r="DK8" i="2" s="1"/>
  <c r="AP13" i="16562"/>
  <c r="DG8" i="2"/>
  <c r="DE9" i="2" s="1"/>
  <c r="AL14" i="16562"/>
  <c r="BK25" i="16556"/>
  <c r="BK25" i="16562"/>
  <c r="BL25" i="16556"/>
  <c r="BL25" i="16562"/>
  <c r="BM26" i="16556"/>
  <c r="BM26" i="16562"/>
  <c r="CJ12" i="2"/>
  <c r="CK12" i="2" s="1"/>
  <c r="X18" i="16562" s="1"/>
  <c r="CW10" i="2"/>
  <c r="AL14" i="16556"/>
  <c r="DI8" i="2"/>
  <c r="AP13" i="16556"/>
  <c r="CU10" i="2"/>
  <c r="AD16" i="16556"/>
  <c r="AH15" i="16556"/>
  <c r="BS135" i="4"/>
  <c r="BT135" i="4"/>
  <c r="BU135" i="4"/>
  <c r="Y17" i="16556"/>
  <c r="Z17" i="1"/>
  <c r="Z17" i="16556"/>
  <c r="CO11" i="2"/>
  <c r="AA17" i="1"/>
  <c r="AD16" i="1"/>
  <c r="AC16" i="16556"/>
  <c r="AE16" i="1"/>
  <c r="AP13" i="1"/>
  <c r="AQ13" i="1"/>
  <c r="AO13" i="16556"/>
  <c r="AM14" i="1"/>
  <c r="AH15" i="1"/>
  <c r="AG15" i="16556"/>
  <c r="AL14" i="1"/>
  <c r="AK14" i="16556"/>
  <c r="CX46" i="2"/>
  <c r="BC23" i="16562" s="1"/>
  <c r="BB23" i="16556"/>
  <c r="BN26" i="1"/>
  <c r="BL25" i="1"/>
  <c r="CZ46" i="2"/>
  <c r="BD23" i="16562" s="1"/>
  <c r="BC23" i="1"/>
  <c r="DM48" i="2"/>
  <c r="BM25" i="1"/>
  <c r="AI15" i="1"/>
  <c r="DK46" i="2"/>
  <c r="AE16" i="16562" l="1"/>
  <c r="AI15" i="16562"/>
  <c r="AM14" i="16562"/>
  <c r="AQ13" i="16562"/>
  <c r="AA17" i="16562"/>
  <c r="CR11" i="2"/>
  <c r="AB17" i="16562"/>
  <c r="CX10" i="2"/>
  <c r="CV11" i="2" s="1"/>
  <c r="AF16" i="16562"/>
  <c r="DD9" i="2"/>
  <c r="DB10" i="2" s="1"/>
  <c r="AJ15" i="16562"/>
  <c r="DF9" i="2"/>
  <c r="AJ15" i="16556"/>
  <c r="DJ8" i="2"/>
  <c r="DH9" i="2" s="1"/>
  <c r="AN14" i="16562"/>
  <c r="BM25" i="16556"/>
  <c r="BM25" i="16562"/>
  <c r="CM12" i="2"/>
  <c r="CN12" i="2" s="1"/>
  <c r="CZ10" i="2"/>
  <c r="AG16" i="1"/>
  <c r="CS11" i="2"/>
  <c r="CT11" i="2" s="1"/>
  <c r="DL8" i="2"/>
  <c r="BO135" i="4"/>
  <c r="X18" i="16556"/>
  <c r="Y18" i="1"/>
  <c r="CL12" i="2"/>
  <c r="Y18" i="16562" s="1"/>
  <c r="AB17" i="1"/>
  <c r="AA17" i="16556"/>
  <c r="AB17" i="16556"/>
  <c r="AC17" i="1"/>
  <c r="AF16" i="1"/>
  <c r="AE16" i="16556"/>
  <c r="AF16" i="16556"/>
  <c r="AR13" i="1"/>
  <c r="AQ13" i="16556"/>
  <c r="DC46" i="2"/>
  <c r="BD23" i="16556"/>
  <c r="AJ15" i="1"/>
  <c r="AI15" i="16556"/>
  <c r="BD23" i="1"/>
  <c r="BC23" i="16556"/>
  <c r="AN14" i="1"/>
  <c r="AM14" i="16556"/>
  <c r="BE23" i="1"/>
  <c r="DA46" i="2"/>
  <c r="BE23" i="16562" s="1"/>
  <c r="BN25" i="1"/>
  <c r="AK15" i="1"/>
  <c r="AG16" i="16562" l="1"/>
  <c r="AO14" i="16562"/>
  <c r="AK15" i="16562"/>
  <c r="DI9" i="2"/>
  <c r="AN15" i="16562" s="1"/>
  <c r="Z18" i="16562"/>
  <c r="DM8" i="2"/>
  <c r="DK9" i="2" s="1"/>
  <c r="AP14" i="16562"/>
  <c r="DG9" i="2"/>
  <c r="DE10" i="2" s="1"/>
  <c r="AL15" i="16562"/>
  <c r="BG23" i="1"/>
  <c r="BF23" i="16562"/>
  <c r="CU11" i="2"/>
  <c r="AD17" i="16562"/>
  <c r="DA10" i="2"/>
  <c r="CY11" i="2" s="1"/>
  <c r="AH16" i="16562"/>
  <c r="CP12" i="2"/>
  <c r="CQ12" i="2" s="1"/>
  <c r="AC17" i="16562"/>
  <c r="CP13" i="2"/>
  <c r="CJ13" i="2"/>
  <c r="CK13" i="2" s="1"/>
  <c r="X19" i="16562" s="1"/>
  <c r="AI16" i="1"/>
  <c r="DC10" i="2"/>
  <c r="CW11" i="2"/>
  <c r="BR135" i="4"/>
  <c r="BX111" i="4" s="1"/>
  <c r="BR112" i="4" s="1"/>
  <c r="BQ135" i="4"/>
  <c r="BW111" i="4" s="1"/>
  <c r="BQ112" i="4" s="1"/>
  <c r="BP135" i="4"/>
  <c r="BV111" i="4" s="1"/>
  <c r="BP112" i="4" s="1"/>
  <c r="AA18" i="1"/>
  <c r="Z18" i="16556"/>
  <c r="CO12" i="2"/>
  <c r="AA18" i="16562" s="1"/>
  <c r="Z18" i="1"/>
  <c r="Y18" i="16556"/>
  <c r="AP14" i="16556"/>
  <c r="AO14" i="1"/>
  <c r="AN14" i="16556"/>
  <c r="AP14" i="1"/>
  <c r="AO14" i="16556"/>
  <c r="AG16" i="16556"/>
  <c r="AC17" i="16556"/>
  <c r="AD17" i="1"/>
  <c r="AD17" i="16556"/>
  <c r="AE17" i="1"/>
  <c r="AH16" i="16556"/>
  <c r="AH16" i="1"/>
  <c r="DD46" i="2"/>
  <c r="AL15" i="1"/>
  <c r="AK15" i="16556"/>
  <c r="DF46" i="2"/>
  <c r="BH23" i="16562" s="1"/>
  <c r="BF23" i="16556"/>
  <c r="AL15" i="16556"/>
  <c r="BF23" i="1"/>
  <c r="BE23" i="16556"/>
  <c r="AM15" i="1"/>
  <c r="AN15" i="16556" l="1"/>
  <c r="DL9" i="2"/>
  <c r="DM9" i="2" s="1"/>
  <c r="DK10" i="2" s="1"/>
  <c r="AM15" i="16562"/>
  <c r="DJ9" i="2"/>
  <c r="DH10" i="2" s="1"/>
  <c r="AI16" i="16562"/>
  <c r="AQ14" i="16562"/>
  <c r="CR12" i="2"/>
  <c r="AC18" i="16562" s="1"/>
  <c r="AB18" i="16562"/>
  <c r="CS12" i="2"/>
  <c r="CT12" i="2" s="1"/>
  <c r="AD18" i="16562" s="1"/>
  <c r="AE17" i="16562"/>
  <c r="BH23" i="1"/>
  <c r="BG23" i="16562"/>
  <c r="DF10" i="2"/>
  <c r="AJ16" i="16562"/>
  <c r="CX11" i="2"/>
  <c r="CV12" i="2" s="1"/>
  <c r="AF17" i="16562"/>
  <c r="CM13" i="2"/>
  <c r="CN13" i="2" s="1"/>
  <c r="BU112" i="4"/>
  <c r="BT112" i="4"/>
  <c r="BS112" i="4"/>
  <c r="BZ136" i="4" s="1"/>
  <c r="BY136" i="4" s="1"/>
  <c r="AJ16" i="16556"/>
  <c r="DD10" i="2"/>
  <c r="CZ11" i="2"/>
  <c r="AB18" i="1"/>
  <c r="BW87" i="4"/>
  <c r="BV87" i="4"/>
  <c r="BX87" i="4"/>
  <c r="AA18" i="16556"/>
  <c r="AB18" i="16556"/>
  <c r="X19" i="16556"/>
  <c r="CL13" i="2"/>
  <c r="Y19" i="16562" s="1"/>
  <c r="Y19" i="1"/>
  <c r="AC18" i="1"/>
  <c r="AM15" i="16556"/>
  <c r="AQ14" i="1"/>
  <c r="AF17" i="16556"/>
  <c r="AG17" i="1"/>
  <c r="AI16" i="16556"/>
  <c r="AE17" i="16556"/>
  <c r="AF17" i="1"/>
  <c r="AJ16" i="1"/>
  <c r="AK16" i="1"/>
  <c r="BG23" i="16556"/>
  <c r="AO15" i="1"/>
  <c r="BH23" i="16556"/>
  <c r="DI46" i="2"/>
  <c r="BJ23" i="16562" s="1"/>
  <c r="DG46" i="2"/>
  <c r="BI23" i="16562" s="1"/>
  <c r="BI23" i="1"/>
  <c r="AN15" i="1"/>
  <c r="U15" i="16562" l="1"/>
  <c r="U15" i="16556"/>
  <c r="S15" i="16562"/>
  <c r="S15" i="16556"/>
  <c r="T15" i="16562"/>
  <c r="T15" i="16556"/>
  <c r="DI10" i="2"/>
  <c r="AN16" i="16562" s="1"/>
  <c r="CA87" i="4"/>
  <c r="AD18" i="1"/>
  <c r="AQ15" i="16562"/>
  <c r="AO15" i="16562"/>
  <c r="AK16" i="16562"/>
  <c r="AG17" i="16562"/>
  <c r="AC18" i="16556"/>
  <c r="AP15" i="16562"/>
  <c r="CU12" i="2"/>
  <c r="AE18" i="16562" s="1"/>
  <c r="AL16" i="16556"/>
  <c r="CQ13" i="2"/>
  <c r="Z19" i="16562"/>
  <c r="DA11" i="2"/>
  <c r="CY12" i="2" s="1"/>
  <c r="AH17" i="16562"/>
  <c r="CW12" i="2"/>
  <c r="AF18" i="16556" s="1"/>
  <c r="AD18" i="16556"/>
  <c r="DG10" i="2"/>
  <c r="DE11" i="2" s="1"/>
  <c r="AL16" i="16562"/>
  <c r="DB11" i="2"/>
  <c r="DC11" i="2" s="1"/>
  <c r="CV13" i="2"/>
  <c r="CS13" i="2"/>
  <c r="BV136" i="4"/>
  <c r="BY87" i="4"/>
  <c r="BZ87" i="4"/>
  <c r="BX136" i="4"/>
  <c r="BW136" i="4"/>
  <c r="Z19" i="16556"/>
  <c r="CO13" i="2"/>
  <c r="AA19" i="16562" s="1"/>
  <c r="AA19" i="1"/>
  <c r="AE18" i="1"/>
  <c r="Y19" i="16556"/>
  <c r="Z19" i="1"/>
  <c r="CK14" i="2"/>
  <c r="X20" i="16562" s="1"/>
  <c r="AO15" i="16556"/>
  <c r="AQ14" i="16556"/>
  <c r="AR14" i="1"/>
  <c r="AP15" i="16556"/>
  <c r="AH17" i="16556"/>
  <c r="AI17" i="1"/>
  <c r="AH17" i="1"/>
  <c r="AG17" i="16556"/>
  <c r="AK16" i="16556"/>
  <c r="AL16" i="1"/>
  <c r="AP15" i="1"/>
  <c r="BI23" i="16556"/>
  <c r="BJ23" i="1"/>
  <c r="DL46" i="2"/>
  <c r="BL23" i="16562" s="1"/>
  <c r="BJ23" i="16556"/>
  <c r="BK23" i="1"/>
  <c r="DJ46" i="2"/>
  <c r="BK23" i="16562" s="1"/>
  <c r="AM16" i="1"/>
  <c r="GP11" i="2" l="1"/>
  <c r="DL10" i="2"/>
  <c r="DM10" i="2" s="1"/>
  <c r="DK11" i="2" s="1"/>
  <c r="DJ10" i="2"/>
  <c r="AO16" i="16562" s="1"/>
  <c r="AI17" i="16562"/>
  <c r="AE18" i="16556"/>
  <c r="AM16" i="16562"/>
  <c r="CT13" i="2"/>
  <c r="CW13" i="2" s="1"/>
  <c r="DF11" i="2"/>
  <c r="AL17" i="16562" s="1"/>
  <c r="AJ17" i="16562"/>
  <c r="CZ12" i="2"/>
  <c r="AH18" i="16556" s="1"/>
  <c r="CX12" i="2"/>
  <c r="AG18" i="16562" s="1"/>
  <c r="AF18" i="16562"/>
  <c r="CR13" i="2"/>
  <c r="AC19" i="16562" s="1"/>
  <c r="AB19" i="16562"/>
  <c r="CY13" i="2"/>
  <c r="DD11" i="2"/>
  <c r="BS136" i="4"/>
  <c r="BT136" i="4"/>
  <c r="BU136" i="4"/>
  <c r="AG18" i="1"/>
  <c r="AB19" i="16556"/>
  <c r="AC19" i="1"/>
  <c r="X20" i="16556"/>
  <c r="Y20" i="1"/>
  <c r="CL14" i="2"/>
  <c r="Y20" i="16562" s="1"/>
  <c r="AB19" i="1"/>
  <c r="AA19" i="16556"/>
  <c r="CN14" i="2"/>
  <c r="Z20" i="16562" s="1"/>
  <c r="AF18" i="1"/>
  <c r="AM16" i="16556"/>
  <c r="AQ15" i="1"/>
  <c r="AN16" i="16556"/>
  <c r="AJ17" i="16556"/>
  <c r="AK17" i="1"/>
  <c r="AI17" i="16556"/>
  <c r="AJ17" i="1"/>
  <c r="BK23" i="16556"/>
  <c r="BL23" i="1"/>
  <c r="BL23" i="16556"/>
  <c r="BM23" i="1"/>
  <c r="DM46" i="2"/>
  <c r="BM23" i="16562" s="1"/>
  <c r="AN16" i="1"/>
  <c r="BV30" i="4"/>
  <c r="BW30" i="4" s="1"/>
  <c r="BR4" i="4"/>
  <c r="BU4" i="4" s="1"/>
  <c r="BV4" i="4" s="1"/>
  <c r="DH11" i="2" l="1"/>
  <c r="DI11" i="2" s="1"/>
  <c r="AN17" i="16562" s="1"/>
  <c r="AP16" i="16562"/>
  <c r="AK17" i="16562"/>
  <c r="AQ16" i="16562"/>
  <c r="AD19" i="16562"/>
  <c r="CU13" i="2"/>
  <c r="AE19" i="16562" s="1"/>
  <c r="DG11" i="2"/>
  <c r="DE12" i="2" s="1"/>
  <c r="AL17" i="16556"/>
  <c r="CX13" i="2"/>
  <c r="AG19" i="16562" s="1"/>
  <c r="AF19" i="16562"/>
  <c r="DA12" i="2"/>
  <c r="AI18" i="16562" s="1"/>
  <c r="AH18" i="16562"/>
  <c r="DB12" i="2"/>
  <c r="DC12" i="2" s="1"/>
  <c r="CZ13" i="2"/>
  <c r="AH19" i="16562" s="1"/>
  <c r="CQ14" i="2"/>
  <c r="AB20" i="16562" s="1"/>
  <c r="BO136" i="4"/>
  <c r="AH18" i="1"/>
  <c r="AG18" i="16556"/>
  <c r="AI18" i="1"/>
  <c r="Z20" i="1"/>
  <c r="Y20" i="16556"/>
  <c r="CK15" i="2"/>
  <c r="X21" i="16562" s="1"/>
  <c r="AD19" i="1"/>
  <c r="AC19" i="16556"/>
  <c r="AD19" i="16556"/>
  <c r="AE19" i="1"/>
  <c r="Z20" i="16556"/>
  <c r="AA20" i="1"/>
  <c r="CO14" i="2"/>
  <c r="AA20" i="16562" s="1"/>
  <c r="AQ15" i="16556"/>
  <c r="AR15" i="1"/>
  <c r="AO16" i="1"/>
  <c r="AL17" i="1"/>
  <c r="AK17" i="16556"/>
  <c r="BM23" i="16556"/>
  <c r="BN23" i="1"/>
  <c r="AM17" i="1"/>
  <c r="BX4" i="4"/>
  <c r="BW4" i="4" s="1"/>
  <c r="BX30" i="4"/>
  <c r="BY30" i="4"/>
  <c r="AH23" i="3" s="1"/>
  <c r="AJ4" i="3" l="1"/>
  <c r="AK4" i="3" s="1"/>
  <c r="V23" i="3"/>
  <c r="AI23" i="3" s="1"/>
  <c r="BJ23" i="3" s="1"/>
  <c r="AM17" i="16562"/>
  <c r="DL11" i="2"/>
  <c r="AP17" i="16562" s="1"/>
  <c r="DJ11" i="2"/>
  <c r="DH12" i="2" s="1"/>
  <c r="AJ18" i="16556"/>
  <c r="AJ18" i="16562"/>
  <c r="DD12" i="2"/>
  <c r="AK18" i="16562" s="1"/>
  <c r="DF12" i="2"/>
  <c r="DB13" i="2"/>
  <c r="DC13" i="2" s="1"/>
  <c r="DA13" i="2"/>
  <c r="AI19" i="16562" s="1"/>
  <c r="CR14" i="2"/>
  <c r="AC20" i="16562" s="1"/>
  <c r="CT14" i="2"/>
  <c r="AD20" i="16562" s="1"/>
  <c r="BR136" i="4"/>
  <c r="BX112" i="4" s="1"/>
  <c r="BR113" i="4" s="1"/>
  <c r="BQ136" i="4"/>
  <c r="BP136" i="4"/>
  <c r="AF19" i="16556"/>
  <c r="AG19" i="1"/>
  <c r="AC20" i="1"/>
  <c r="AB20" i="16556"/>
  <c r="AE19" i="16556"/>
  <c r="AF19" i="1"/>
  <c r="AI18" i="16556"/>
  <c r="AJ18" i="1"/>
  <c r="AB20" i="1"/>
  <c r="AA20" i="16556"/>
  <c r="CN15" i="2"/>
  <c r="Z21" i="16562" s="1"/>
  <c r="X21" i="16556"/>
  <c r="Y21" i="1"/>
  <c r="CL15" i="2"/>
  <c r="AK18" i="1"/>
  <c r="AH19" i="1"/>
  <c r="AG19" i="16556"/>
  <c r="AO16" i="16556"/>
  <c r="AP16" i="1"/>
  <c r="AN17" i="16556"/>
  <c r="AP16" i="16556"/>
  <c r="AQ16" i="1"/>
  <c r="AR16" i="1"/>
  <c r="AQ16" i="16556"/>
  <c r="AN17" i="1"/>
  <c r="AM17" i="16556"/>
  <c r="BW11" i="4"/>
  <c r="BW14" i="4" s="1"/>
  <c r="BW16" i="4" s="1"/>
  <c r="BY4" i="4" s="1"/>
  <c r="AH4" i="3" s="1"/>
  <c r="BK23" i="3" l="1"/>
  <c r="P31" i="1" s="1"/>
  <c r="DM11" i="2"/>
  <c r="DK12" i="2" s="1"/>
  <c r="AO17" i="16562"/>
  <c r="Y21" i="16562"/>
  <c r="CJ16" i="2"/>
  <c r="CK16" i="2" s="1"/>
  <c r="X22" i="16562" s="1"/>
  <c r="DG12" i="2"/>
  <c r="AM18" i="16562" s="1"/>
  <c r="AL18" i="16562"/>
  <c r="AK18" i="16556"/>
  <c r="DD13" i="2"/>
  <c r="AK19" i="16562" s="1"/>
  <c r="AJ19" i="16562"/>
  <c r="DI12" i="2"/>
  <c r="AN18" i="16562" s="1"/>
  <c r="DE13" i="2"/>
  <c r="DF13" i="2" s="1"/>
  <c r="CW14" i="2"/>
  <c r="CQ15" i="2"/>
  <c r="AB21" i="16562" s="1"/>
  <c r="CU14" i="2"/>
  <c r="AE20" i="16562" s="1"/>
  <c r="BX88" i="4"/>
  <c r="BV112" i="4"/>
  <c r="BP113" i="4" s="1"/>
  <c r="BW112" i="4"/>
  <c r="BQ113" i="4" s="1"/>
  <c r="GS5" i="2"/>
  <c r="GS17" i="2"/>
  <c r="AL18" i="1"/>
  <c r="AH19" i="16556"/>
  <c r="AI19" i="1"/>
  <c r="Z21" i="16556"/>
  <c r="AA21" i="1"/>
  <c r="CO15" i="2"/>
  <c r="AM18" i="1"/>
  <c r="AL18" i="16556"/>
  <c r="AC20" i="16556"/>
  <c r="AD20" i="1"/>
  <c r="Y21" i="16556"/>
  <c r="Z21" i="1"/>
  <c r="AD20" i="16556"/>
  <c r="AE20" i="1"/>
  <c r="AP17" i="16556"/>
  <c r="AO17" i="1"/>
  <c r="AI11" i="3"/>
  <c r="V4" i="3"/>
  <c r="AI4" i="3" s="1"/>
  <c r="U16" i="16562" l="1"/>
  <c r="U16" i="16556"/>
  <c r="CA88" i="4"/>
  <c r="AA21" i="16562"/>
  <c r="CM16" i="2"/>
  <c r="CN16" i="2" s="1"/>
  <c r="Z22" i="16562" s="1"/>
  <c r="AQ17" i="16562"/>
  <c r="AM18" i="16556"/>
  <c r="AN18" i="1"/>
  <c r="CX14" i="2"/>
  <c r="AG20" i="16562" s="1"/>
  <c r="AF20" i="16562"/>
  <c r="DG13" i="2"/>
  <c r="AM19" i="16562" s="1"/>
  <c r="AL19" i="16562"/>
  <c r="DL12" i="2"/>
  <c r="DJ12" i="2"/>
  <c r="DH13" i="2"/>
  <c r="DI13" i="2" s="1"/>
  <c r="DK13" i="2"/>
  <c r="BS113" i="4"/>
  <c r="BZ137" i="4" s="1"/>
  <c r="BY137" i="4" s="1"/>
  <c r="BT113" i="4"/>
  <c r="BW137" i="4" s="1"/>
  <c r="BU113" i="4"/>
  <c r="BX137" i="4" s="1"/>
  <c r="CR15" i="2"/>
  <c r="CT15" i="2"/>
  <c r="CZ14" i="2"/>
  <c r="BW88" i="4"/>
  <c r="BV88" i="4"/>
  <c r="GT17" i="2"/>
  <c r="GT5" i="2"/>
  <c r="AG20" i="1"/>
  <c r="AF20" i="16556"/>
  <c r="AA21" i="16556"/>
  <c r="AB21" i="1"/>
  <c r="AB21" i="16556"/>
  <c r="AC21" i="1"/>
  <c r="AJ19" i="16556"/>
  <c r="AK19" i="1"/>
  <c r="X22" i="16556"/>
  <c r="CL16" i="2"/>
  <c r="Y22" i="1"/>
  <c r="AE20" i="16556"/>
  <c r="AF20" i="1"/>
  <c r="AI19" i="16556"/>
  <c r="AJ19" i="1"/>
  <c r="AP17" i="1"/>
  <c r="AO17" i="16556"/>
  <c r="AQ17" i="1"/>
  <c r="BY88" i="4" l="1"/>
  <c r="S16" i="16562"/>
  <c r="S16" i="16556"/>
  <c r="BZ88" i="4"/>
  <c r="T16" i="16562"/>
  <c r="T16" i="16556"/>
  <c r="AH20" i="1"/>
  <c r="AO18" i="16562"/>
  <c r="AC21" i="16562"/>
  <c r="CP16" i="2"/>
  <c r="CQ16" i="2" s="1"/>
  <c r="AB22" i="16562" s="1"/>
  <c r="AG20" i="16556"/>
  <c r="DJ13" i="2"/>
  <c r="AO19" i="16562" s="1"/>
  <c r="AN19" i="16562"/>
  <c r="DM12" i="2"/>
  <c r="AQ18" i="16562" s="1"/>
  <c r="AP18" i="16562"/>
  <c r="CU15" i="2"/>
  <c r="AD21" i="16562"/>
  <c r="CJ17" i="2"/>
  <c r="CK17" i="2" s="1"/>
  <c r="X23" i="16562" s="1"/>
  <c r="Y22" i="16562"/>
  <c r="DC14" i="2"/>
  <c r="AH20" i="16562"/>
  <c r="BV137" i="4"/>
  <c r="BS137" i="4" s="1"/>
  <c r="DL13" i="2"/>
  <c r="CW15" i="2"/>
  <c r="DA14" i="2"/>
  <c r="AI20" i="16562" s="1"/>
  <c r="GU17" i="2"/>
  <c r="GU5" i="2"/>
  <c r="AC21" i="16556"/>
  <c r="AD21" i="1"/>
  <c r="Z22" i="1"/>
  <c r="Y22" i="16556"/>
  <c r="AL19" i="16556"/>
  <c r="AM19" i="1"/>
  <c r="AL19" i="1"/>
  <c r="AK19" i="16556"/>
  <c r="AD21" i="16556"/>
  <c r="AE21" i="1"/>
  <c r="AI20" i="1"/>
  <c r="AH20" i="16556"/>
  <c r="Z22" i="16556"/>
  <c r="CO16" i="2"/>
  <c r="AA22" i="1"/>
  <c r="AR17" i="1"/>
  <c r="AN18" i="16556"/>
  <c r="AO18" i="1"/>
  <c r="AQ17" i="16556"/>
  <c r="AE21" i="16562" l="1"/>
  <c r="CS16" i="2"/>
  <c r="CT16" i="2" s="1"/>
  <c r="AD22" i="16562" s="1"/>
  <c r="DD14" i="2"/>
  <c r="AK20" i="16562" s="1"/>
  <c r="AJ20" i="16562"/>
  <c r="CX15" i="2"/>
  <c r="AF21" i="16562"/>
  <c r="CM17" i="2"/>
  <c r="CN17" i="2" s="1"/>
  <c r="Z23" i="16562" s="1"/>
  <c r="AA22" i="16562"/>
  <c r="DF14" i="2"/>
  <c r="DI14" i="2" s="1"/>
  <c r="DM13" i="2"/>
  <c r="AQ19" i="16562" s="1"/>
  <c r="AP19" i="16562"/>
  <c r="BT137" i="4"/>
  <c r="BU137" i="4"/>
  <c r="AG21" i="1"/>
  <c r="CZ15" i="2"/>
  <c r="CR16" i="2"/>
  <c r="AF21" i="16556"/>
  <c r="AJ20" i="16556"/>
  <c r="AK20" i="1"/>
  <c r="AN19" i="1"/>
  <c r="AM19" i="16556"/>
  <c r="AB22" i="1"/>
  <c r="AA22" i="16556"/>
  <c r="AB22" i="16556"/>
  <c r="AC22" i="1"/>
  <c r="AE21" i="16556"/>
  <c r="AF21" i="1"/>
  <c r="X23" i="16556"/>
  <c r="CL17" i="2"/>
  <c r="Y23" i="1"/>
  <c r="AJ20" i="1"/>
  <c r="AI20" i="16556"/>
  <c r="AO18" i="16556"/>
  <c r="AP18" i="1"/>
  <c r="AP18" i="16556"/>
  <c r="AQ18" i="1"/>
  <c r="AG21" i="16562" l="1"/>
  <c r="CV16" i="2"/>
  <c r="CW16" i="2" s="1"/>
  <c r="AF22" i="16562" s="1"/>
  <c r="DJ14" i="2"/>
  <c r="AO20" i="16562" s="1"/>
  <c r="AN20" i="16562"/>
  <c r="CP17" i="2"/>
  <c r="CQ17" i="2" s="1"/>
  <c r="AB23" i="16562" s="1"/>
  <c r="AC22" i="16562"/>
  <c r="DA15" i="2"/>
  <c r="AH21" i="16562"/>
  <c r="DG14" i="2"/>
  <c r="AM20" i="16562" s="1"/>
  <c r="AL20" i="16562"/>
  <c r="CJ18" i="2"/>
  <c r="CK18" i="2" s="1"/>
  <c r="X24" i="16562" s="1"/>
  <c r="Y23" i="16562"/>
  <c r="BO137" i="4"/>
  <c r="BP137" i="4" s="1"/>
  <c r="BV113" i="4" s="1"/>
  <c r="BP114" i="4" s="1"/>
  <c r="DL14" i="2"/>
  <c r="DC15" i="2"/>
  <c r="CU16" i="2"/>
  <c r="GS11" i="2"/>
  <c r="GS19" i="2"/>
  <c r="GS6" i="2"/>
  <c r="GS10" i="2"/>
  <c r="AG21" i="16556"/>
  <c r="AH21" i="1"/>
  <c r="Z23" i="16556"/>
  <c r="CO17" i="2"/>
  <c r="AA23" i="1"/>
  <c r="AH21" i="16556"/>
  <c r="AI21" i="1"/>
  <c r="Z23" i="1"/>
  <c r="Y23" i="16556"/>
  <c r="AD22" i="16556"/>
  <c r="AE22" i="1"/>
  <c r="AD22" i="1"/>
  <c r="AC22" i="16556"/>
  <c r="AL20" i="1"/>
  <c r="AK20" i="16556"/>
  <c r="AN19" i="16556"/>
  <c r="AO19" i="1"/>
  <c r="AL20" i="16556"/>
  <c r="AM20" i="1"/>
  <c r="AR18" i="1"/>
  <c r="AQ18" i="16556"/>
  <c r="CL63" i="2"/>
  <c r="CN63" i="2"/>
  <c r="BQ13" i="16562" l="1"/>
  <c r="AI21" i="16562"/>
  <c r="CY16" i="2"/>
  <c r="CZ16" i="2" s="1"/>
  <c r="CS17" i="2"/>
  <c r="CT17" i="2" s="1"/>
  <c r="AE22" i="16562"/>
  <c r="DD15" i="2"/>
  <c r="AJ21" i="16562"/>
  <c r="BR13" i="16556"/>
  <c r="BR13" i="16562"/>
  <c r="DM14" i="2"/>
  <c r="AQ20" i="16562" s="1"/>
  <c r="AP20" i="16562"/>
  <c r="CM18" i="2"/>
  <c r="CN18" i="2" s="1"/>
  <c r="Z24" i="16562" s="1"/>
  <c r="AA23" i="16562"/>
  <c r="BQ137" i="4"/>
  <c r="BW113" i="4" s="1"/>
  <c r="BQ114" i="4" s="1"/>
  <c r="BR137" i="4"/>
  <c r="BX113" i="4" s="1"/>
  <c r="BR114" i="4" s="1"/>
  <c r="BU114" i="4"/>
  <c r="BS114" i="4"/>
  <c r="BZ138" i="4" s="1"/>
  <c r="BY138" i="4" s="1"/>
  <c r="BT114" i="4"/>
  <c r="DF15" i="2"/>
  <c r="CX16" i="2"/>
  <c r="AF22" i="16556"/>
  <c r="CR17" i="2"/>
  <c r="BV89" i="4"/>
  <c r="S17" i="16556" s="1"/>
  <c r="GT11" i="2"/>
  <c r="GT19" i="2"/>
  <c r="GT6" i="2"/>
  <c r="GT10" i="2"/>
  <c r="AG22" i="1"/>
  <c r="X24" i="16556"/>
  <c r="Y24" i="1"/>
  <c r="CL18" i="2"/>
  <c r="AB23" i="16556"/>
  <c r="AC23" i="1"/>
  <c r="AJ21" i="16556"/>
  <c r="AK21" i="1"/>
  <c r="AP19" i="16556"/>
  <c r="AQ19" i="1"/>
  <c r="AP19" i="1"/>
  <c r="AO19" i="16556"/>
  <c r="AI21" i="16556"/>
  <c r="AJ21" i="1"/>
  <c r="AN20" i="1"/>
  <c r="AM20" i="16556"/>
  <c r="AF22" i="1"/>
  <c r="AE22" i="16556"/>
  <c r="AB23" i="1"/>
  <c r="AA23" i="16556"/>
  <c r="BR13" i="1"/>
  <c r="BQ13" i="16556"/>
  <c r="CQ63" i="2"/>
  <c r="BT13" i="16562" s="1"/>
  <c r="BS13" i="1"/>
  <c r="CO63" i="2"/>
  <c r="BS13" i="16562" l="1"/>
  <c r="AK21" i="16562"/>
  <c r="DB16" i="2"/>
  <c r="DC16" i="2" s="1"/>
  <c r="CU17" i="2"/>
  <c r="AD23" i="16562"/>
  <c r="CP18" i="2"/>
  <c r="CQ18" i="2" s="1"/>
  <c r="AB24" i="16562" s="1"/>
  <c r="AC23" i="16562"/>
  <c r="CJ19" i="2"/>
  <c r="CK19" i="2" s="1"/>
  <c r="X25" i="16562" s="1"/>
  <c r="Y24" i="16562"/>
  <c r="DA16" i="2"/>
  <c r="AH22" i="16562"/>
  <c r="CV17" i="2"/>
  <c r="CW17" i="2" s="1"/>
  <c r="AG22" i="16562"/>
  <c r="DG15" i="2"/>
  <c r="AL21" i="16562"/>
  <c r="BW89" i="4"/>
  <c r="BV138" i="4"/>
  <c r="BX89" i="4"/>
  <c r="DI15" i="2"/>
  <c r="AH22" i="1"/>
  <c r="BY89" i="4"/>
  <c r="BW138" i="4"/>
  <c r="BX138" i="4"/>
  <c r="GU11" i="2"/>
  <c r="GU19" i="2"/>
  <c r="GU6" i="2"/>
  <c r="GU10" i="2"/>
  <c r="AG22" i="16556"/>
  <c r="Z24" i="16556"/>
  <c r="CO18" i="2"/>
  <c r="AA24" i="1"/>
  <c r="AL21" i="16556"/>
  <c r="AM21" i="1"/>
  <c r="AK21" i="16556"/>
  <c r="AL21" i="1"/>
  <c r="AD23" i="16556"/>
  <c r="AE23" i="1"/>
  <c r="AD23" i="1"/>
  <c r="AC23" i="16556"/>
  <c r="Y24" i="16556"/>
  <c r="Z24" i="1"/>
  <c r="AQ19" i="16556"/>
  <c r="AR19" i="1"/>
  <c r="AN20" i="16556"/>
  <c r="AO20" i="1"/>
  <c r="AH22" i="16556"/>
  <c r="AI22" i="1"/>
  <c r="CR63" i="2"/>
  <c r="BT13" i="16556"/>
  <c r="BT13" i="1"/>
  <c r="BS13" i="16556"/>
  <c r="CT63" i="2"/>
  <c r="BU13" i="1"/>
  <c r="T17" i="1" l="1"/>
  <c r="BU13" i="16562"/>
  <c r="AM21" i="16562"/>
  <c r="DE16" i="2"/>
  <c r="DF16" i="2" s="1"/>
  <c r="AL22" i="16562" s="1"/>
  <c r="CX17" i="2"/>
  <c r="AF23" i="16562"/>
  <c r="CM19" i="2"/>
  <c r="CN19" i="2" s="1"/>
  <c r="AA24" i="16562"/>
  <c r="BV13" i="16556"/>
  <c r="BV13" i="16562"/>
  <c r="CY17" i="2"/>
  <c r="CZ17" i="2" s="1"/>
  <c r="AI22" i="16562"/>
  <c r="DD16" i="2"/>
  <c r="AJ22" i="16562"/>
  <c r="DL15" i="2"/>
  <c r="AN21" i="16562"/>
  <c r="CS18" i="2"/>
  <c r="CT18" i="2" s="1"/>
  <c r="AD24" i="16562" s="1"/>
  <c r="AE23" i="16562"/>
  <c r="AG23" i="1"/>
  <c r="CA89" i="4"/>
  <c r="V17" i="1" s="1"/>
  <c r="U17" i="16556"/>
  <c r="BZ89" i="4"/>
  <c r="U17" i="1" s="1"/>
  <c r="T17" i="16556"/>
  <c r="GR10" i="2"/>
  <c r="DJ15" i="2"/>
  <c r="CR18" i="2"/>
  <c r="BS138" i="4"/>
  <c r="BU138" i="4"/>
  <c r="BT138" i="4"/>
  <c r="AF23" i="16556"/>
  <c r="AJ22" i="1"/>
  <c r="AI22" i="16556"/>
  <c r="AB24" i="16556"/>
  <c r="AC24" i="1"/>
  <c r="AJ22" i="16556"/>
  <c r="AK22" i="1"/>
  <c r="AM21" i="16556"/>
  <c r="AN21" i="1"/>
  <c r="X25" i="16556"/>
  <c r="CL19" i="2"/>
  <c r="Y25" i="1"/>
  <c r="AE23" i="16556"/>
  <c r="AF23" i="1"/>
  <c r="AP20" i="16556"/>
  <c r="AQ20" i="1"/>
  <c r="AP20" i="1"/>
  <c r="AO20" i="16556"/>
  <c r="AA24" i="16556"/>
  <c r="AB24" i="1"/>
  <c r="BV13" i="1"/>
  <c r="BU13" i="16556"/>
  <c r="CU63" i="2"/>
  <c r="BW13" i="1"/>
  <c r="CW63" i="2"/>
  <c r="GQ10" i="2" l="1"/>
  <c r="BW13" i="16562"/>
  <c r="AO21" i="16562"/>
  <c r="DH16" i="2"/>
  <c r="DI16" i="2" s="1"/>
  <c r="AN22" i="16562" s="1"/>
  <c r="DA17" i="2"/>
  <c r="AH23" i="16562"/>
  <c r="DM15" i="2"/>
  <c r="AP21" i="16562"/>
  <c r="BX13" i="16556"/>
  <c r="BX13" i="16562"/>
  <c r="CP19" i="2"/>
  <c r="CQ19" i="2" s="1"/>
  <c r="AC24" i="16562"/>
  <c r="DB17" i="2"/>
  <c r="DC17" i="2" s="1"/>
  <c r="AK22" i="16562"/>
  <c r="CV18" i="2"/>
  <c r="CW18" i="2" s="1"/>
  <c r="AG23" i="16562"/>
  <c r="Z25" i="16562"/>
  <c r="CJ20" i="2"/>
  <c r="CK20" i="2" s="1"/>
  <c r="X26" i="16562" s="1"/>
  <c r="Y25" i="16562"/>
  <c r="DG16" i="2"/>
  <c r="CU18" i="2"/>
  <c r="AH23" i="1"/>
  <c r="BO138" i="4"/>
  <c r="AG23" i="16556"/>
  <c r="AL22" i="1"/>
  <c r="AK22" i="16556"/>
  <c r="AL22" i="16556"/>
  <c r="AM22" i="1"/>
  <c r="AC24" i="16556"/>
  <c r="AD24" i="1"/>
  <c r="AN21" i="16556"/>
  <c r="AO21" i="1"/>
  <c r="AQ20" i="16556"/>
  <c r="AR20" i="1"/>
  <c r="Z25" i="16556"/>
  <c r="CO19" i="2"/>
  <c r="AA25" i="1"/>
  <c r="Y25" i="16556"/>
  <c r="Z25" i="1"/>
  <c r="AH23" i="16556"/>
  <c r="AI23" i="1"/>
  <c r="AD24" i="16556"/>
  <c r="AE24" i="1"/>
  <c r="BX13" i="1"/>
  <c r="BW13" i="16556"/>
  <c r="BY13" i="1"/>
  <c r="CX63" i="2"/>
  <c r="CZ63" i="2"/>
  <c r="BY13" i="16562" l="1"/>
  <c r="AQ21" i="16562"/>
  <c r="DK16" i="2"/>
  <c r="DL16" i="2" s="1"/>
  <c r="DD17" i="2"/>
  <c r="AJ23" i="16562"/>
  <c r="BZ13" i="16556"/>
  <c r="BZ13" i="16562"/>
  <c r="CY18" i="2"/>
  <c r="CZ18" i="2" s="1"/>
  <c r="AH24" i="16562" s="1"/>
  <c r="AI23" i="16562"/>
  <c r="CS19" i="2"/>
  <c r="CT19" i="2" s="1"/>
  <c r="CU19" i="2" s="1"/>
  <c r="AE24" i="16562"/>
  <c r="DE17" i="2"/>
  <c r="DF17" i="2" s="1"/>
  <c r="AL23" i="16562" s="1"/>
  <c r="AM22" i="16562"/>
  <c r="CX18" i="2"/>
  <c r="AF24" i="16562"/>
  <c r="CM20" i="2"/>
  <c r="CN20" i="2" s="1"/>
  <c r="Z26" i="16562" s="1"/>
  <c r="AA25" i="16562"/>
  <c r="CR19" i="2"/>
  <c r="AB25" i="16562"/>
  <c r="AF24" i="16556"/>
  <c r="DJ16" i="2"/>
  <c r="BQ138" i="4"/>
  <c r="BW114" i="4" s="1"/>
  <c r="BQ115" i="4" s="1"/>
  <c r="BP138" i="4"/>
  <c r="BV114" i="4" s="1"/>
  <c r="BP115" i="4" s="1"/>
  <c r="BR138" i="4"/>
  <c r="BX114" i="4" s="1"/>
  <c r="BR115" i="4" s="1"/>
  <c r="AG24" i="1"/>
  <c r="AM22" i="16556"/>
  <c r="AN22" i="1"/>
  <c r="AF24" i="1"/>
  <c r="AE24" i="16556"/>
  <c r="X26" i="16556"/>
  <c r="CL20" i="2"/>
  <c r="Y26" i="1"/>
  <c r="AP21" i="16556"/>
  <c r="AQ21" i="1"/>
  <c r="AA25" i="16556"/>
  <c r="AB25" i="1"/>
  <c r="AI23" i="16556"/>
  <c r="AJ23" i="1"/>
  <c r="AO21" i="16556"/>
  <c r="AP21" i="1"/>
  <c r="AB25" i="16556"/>
  <c r="AC25" i="1"/>
  <c r="AJ23" i="16556"/>
  <c r="AK23" i="1"/>
  <c r="BZ13" i="1"/>
  <c r="BY13" i="16556"/>
  <c r="CA13" i="1"/>
  <c r="DA63" i="2"/>
  <c r="DC63" i="2"/>
  <c r="CA13" i="16562" l="1"/>
  <c r="AE25" i="16562"/>
  <c r="CS20" i="2"/>
  <c r="DM16" i="2"/>
  <c r="AP22" i="16562"/>
  <c r="DB18" i="2"/>
  <c r="DC18" i="2" s="1"/>
  <c r="AJ24" i="16562" s="1"/>
  <c r="AK23" i="16562"/>
  <c r="DH17" i="2"/>
  <c r="DI17" i="2" s="1"/>
  <c r="AN23" i="16562" s="1"/>
  <c r="AO22" i="16562"/>
  <c r="AD25" i="16562"/>
  <c r="DG17" i="2"/>
  <c r="CB13" i="16556"/>
  <c r="CB13" i="16562"/>
  <c r="CV19" i="2"/>
  <c r="CW19" i="2" s="1"/>
  <c r="CX19" i="2" s="1"/>
  <c r="AG24" i="16562"/>
  <c r="CJ21" i="2"/>
  <c r="CK21" i="2" s="1"/>
  <c r="Y26" i="16562"/>
  <c r="CP20" i="2"/>
  <c r="CQ20" i="2" s="1"/>
  <c r="AB26" i="16562" s="1"/>
  <c r="AC25" i="16562"/>
  <c r="BU115" i="4"/>
  <c r="BT115" i="4"/>
  <c r="BS115" i="4"/>
  <c r="BZ139" i="4" s="1"/>
  <c r="BY139" i="4" s="1"/>
  <c r="DA18" i="2"/>
  <c r="AH24" i="1"/>
  <c r="BX90" i="4"/>
  <c r="BV90" i="4"/>
  <c r="BW90" i="4"/>
  <c r="AG24" i="16556"/>
  <c r="AN22" i="16556"/>
  <c r="AO22" i="1"/>
  <c r="AK23" i="16556"/>
  <c r="AL23" i="1"/>
  <c r="AH24" i="16556"/>
  <c r="AI24" i="1"/>
  <c r="Z26" i="1"/>
  <c r="Y26" i="16556"/>
  <c r="AQ21" i="16556"/>
  <c r="AR21" i="1"/>
  <c r="Z26" i="16556"/>
  <c r="CO20" i="2"/>
  <c r="AA26" i="1"/>
  <c r="AL23" i="16556"/>
  <c r="AM23" i="1"/>
  <c r="AC25" i="16556"/>
  <c r="AD25" i="1"/>
  <c r="AD25" i="16556"/>
  <c r="AE25" i="1"/>
  <c r="CB13" i="1"/>
  <c r="CA13" i="16556"/>
  <c r="DD63" i="2"/>
  <c r="CC13" i="1"/>
  <c r="DF63" i="2"/>
  <c r="CL70" i="2"/>
  <c r="BQ20" i="16562" s="1"/>
  <c r="CL67" i="2"/>
  <c r="BQ17" i="16562" s="1"/>
  <c r="CL68" i="2"/>
  <c r="BQ18" i="16562" s="1"/>
  <c r="CL72" i="2"/>
  <c r="BQ22" i="16562" s="1"/>
  <c r="CL66" i="2"/>
  <c r="BQ16" i="16562" s="1"/>
  <c r="CL77" i="2"/>
  <c r="CL75" i="2"/>
  <c r="BQ25" i="16562" s="1"/>
  <c r="CL71" i="2"/>
  <c r="BQ21" i="16562" s="1"/>
  <c r="CL76" i="2"/>
  <c r="BQ26" i="16562" s="1"/>
  <c r="CL64" i="2"/>
  <c r="CN67" i="2"/>
  <c r="BR17" i="16562" s="1"/>
  <c r="CN65" i="2"/>
  <c r="CL65" i="2"/>
  <c r="BQ15" i="16562" s="1"/>
  <c r="CL69" i="2"/>
  <c r="BQ19" i="16562" s="1"/>
  <c r="CN69" i="2"/>
  <c r="CN64" i="2"/>
  <c r="BR14" i="16562" s="1"/>
  <c r="CN72" i="2"/>
  <c r="BR22" i="16562" s="1"/>
  <c r="CN71" i="2"/>
  <c r="CN70" i="2"/>
  <c r="CN68" i="2"/>
  <c r="CN77" i="2"/>
  <c r="BR27" i="16556" s="1"/>
  <c r="CN66" i="2"/>
  <c r="CN76" i="2"/>
  <c r="CN75" i="2"/>
  <c r="X28" i="16562" l="1"/>
  <c r="X27" i="16556"/>
  <c r="BQ28" i="16562"/>
  <c r="BQ27" i="16556"/>
  <c r="BQ14" i="16562"/>
  <c r="CC13" i="16562"/>
  <c r="AF25" i="16556"/>
  <c r="BR15" i="16556"/>
  <c r="BR15" i="16562"/>
  <c r="CL21" i="2"/>
  <c r="Y27" i="16556" s="1"/>
  <c r="DE18" i="2"/>
  <c r="DF18" i="2" s="1"/>
  <c r="AM23" i="16562"/>
  <c r="BR18" i="16556"/>
  <c r="BR18" i="16562"/>
  <c r="BR20" i="16556"/>
  <c r="BR20" i="16562"/>
  <c r="BR21" i="16556"/>
  <c r="BR21" i="16562"/>
  <c r="Y27" i="1"/>
  <c r="AF25" i="16562"/>
  <c r="DJ17" i="2"/>
  <c r="CD13" i="16556"/>
  <c r="CD13" i="16562"/>
  <c r="BR19" i="16556"/>
  <c r="BR19" i="16562"/>
  <c r="BR16" i="16556"/>
  <c r="BR16" i="16562"/>
  <c r="CY19" i="2"/>
  <c r="CZ19" i="2" s="1"/>
  <c r="AH25" i="16562" s="1"/>
  <c r="AI24" i="16562"/>
  <c r="DK17" i="2"/>
  <c r="DL17" i="2" s="1"/>
  <c r="AQ22" i="16562"/>
  <c r="BR26" i="16556"/>
  <c r="BR26" i="16562"/>
  <c r="CV20" i="2"/>
  <c r="AG25" i="16562"/>
  <c r="BR25" i="16556"/>
  <c r="BR25" i="16562"/>
  <c r="BR28" i="16562"/>
  <c r="CM21" i="2"/>
  <c r="CN21" i="2" s="1"/>
  <c r="AA26" i="16562"/>
  <c r="BZ90" i="4"/>
  <c r="U18" i="1" s="1"/>
  <c r="T18" i="16556"/>
  <c r="BY90" i="4"/>
  <c r="S18" i="16556"/>
  <c r="CA90" i="4"/>
  <c r="V18" i="1" s="1"/>
  <c r="U18" i="16556"/>
  <c r="GQ11" i="2"/>
  <c r="GQ18" i="2"/>
  <c r="GR11" i="2"/>
  <c r="GR18" i="2"/>
  <c r="GQ12" i="2"/>
  <c r="GR12" i="2"/>
  <c r="BV139" i="4"/>
  <c r="DD18" i="2"/>
  <c r="AK24" i="16562" s="1"/>
  <c r="CR20" i="2"/>
  <c r="CT20" i="2"/>
  <c r="AD26" i="16562" s="1"/>
  <c r="BX139" i="4"/>
  <c r="BW139" i="4"/>
  <c r="AH25" i="1"/>
  <c r="AG25" i="1"/>
  <c r="AP22" i="16556"/>
  <c r="AQ22" i="1"/>
  <c r="AJ24" i="1"/>
  <c r="AI24" i="16556"/>
  <c r="AN23" i="1"/>
  <c r="AM23" i="16556"/>
  <c r="AP22" i="1"/>
  <c r="AO22" i="16556"/>
  <c r="AE25" i="16556"/>
  <c r="AF25" i="1"/>
  <c r="AA26" i="16556"/>
  <c r="AB26" i="1"/>
  <c r="AB26" i="16556"/>
  <c r="AC26" i="1"/>
  <c r="AJ24" i="16556"/>
  <c r="AK24" i="1"/>
  <c r="BS14" i="1"/>
  <c r="BR14" i="16556"/>
  <c r="BR21" i="1"/>
  <c r="BQ21" i="16556"/>
  <c r="BR14" i="1"/>
  <c r="BQ14" i="16556"/>
  <c r="BR17" i="1"/>
  <c r="BQ17" i="16556"/>
  <c r="BR25" i="1"/>
  <c r="BQ25" i="16556"/>
  <c r="BR19" i="1"/>
  <c r="BQ19" i="16556"/>
  <c r="BR15" i="1"/>
  <c r="BQ15" i="16556"/>
  <c r="BR16" i="1"/>
  <c r="BQ16" i="16556"/>
  <c r="BR27" i="1"/>
  <c r="CD13" i="1"/>
  <c r="CC13" i="16556"/>
  <c r="BR22" i="1"/>
  <c r="BQ22" i="16556"/>
  <c r="BS22" i="1"/>
  <c r="BR22" i="16556"/>
  <c r="BR26" i="1"/>
  <c r="BQ26" i="16556"/>
  <c r="BR20" i="1"/>
  <c r="BQ20" i="16556"/>
  <c r="BS17" i="1"/>
  <c r="BR17" i="16556"/>
  <c r="BR18" i="1"/>
  <c r="BQ18" i="16556"/>
  <c r="CQ70" i="2"/>
  <c r="BS20" i="1"/>
  <c r="CQ71" i="2"/>
  <c r="BT21" i="16562" s="1"/>
  <c r="BS21" i="1"/>
  <c r="CO75" i="2"/>
  <c r="BS25" i="16562" s="1"/>
  <c r="BS25" i="1"/>
  <c r="CO76" i="2"/>
  <c r="BS26" i="16562" s="1"/>
  <c r="BS26" i="1"/>
  <c r="CO69" i="2"/>
  <c r="BS19" i="16562" s="1"/>
  <c r="BS19" i="1"/>
  <c r="CO66" i="2"/>
  <c r="BS16" i="16562" s="1"/>
  <c r="BS16" i="1"/>
  <c r="CE13" i="1"/>
  <c r="DG63" i="2"/>
  <c r="DI63" i="2"/>
  <c r="CO77" i="2"/>
  <c r="BS27" i="1"/>
  <c r="CO68" i="2"/>
  <c r="BS18" i="16562" s="1"/>
  <c r="BS18" i="1"/>
  <c r="CO65" i="2"/>
  <c r="BS15" i="16562" s="1"/>
  <c r="BS15" i="1"/>
  <c r="CQ66" i="2"/>
  <c r="CQ69" i="2"/>
  <c r="CK73" i="2"/>
  <c r="BP23" i="16562" s="1"/>
  <c r="CO71" i="2"/>
  <c r="BS21" i="16562" s="1"/>
  <c r="CQ72" i="2"/>
  <c r="BT22" i="16562" s="1"/>
  <c r="CO72" i="2"/>
  <c r="BS22" i="16562" s="1"/>
  <c r="CQ77" i="2"/>
  <c r="BT27" i="16556" s="1"/>
  <c r="CQ76" i="2"/>
  <c r="CQ67" i="2"/>
  <c r="BT17" i="16562" s="1"/>
  <c r="CO70" i="2"/>
  <c r="BS20" i="16562" s="1"/>
  <c r="CQ65" i="2"/>
  <c r="CO64" i="2"/>
  <c r="CO67" i="2"/>
  <c r="BS17" i="16562" s="1"/>
  <c r="CQ68" i="2"/>
  <c r="BT18" i="16562" s="1"/>
  <c r="CQ75" i="2"/>
  <c r="BT25" i="16562" s="1"/>
  <c r="CQ64" i="2"/>
  <c r="Z28" i="16562" l="1"/>
  <c r="Z27" i="16556"/>
  <c r="BS28" i="16562"/>
  <c r="BS27" i="16556"/>
  <c r="Z27" i="1"/>
  <c r="CJ22" i="2"/>
  <c r="CK22" i="2" s="1"/>
  <c r="CE13" i="16562"/>
  <c r="BS14" i="16562"/>
  <c r="AA27" i="1"/>
  <c r="CO21" i="2"/>
  <c r="AA27" i="16556" s="1"/>
  <c r="Y28" i="16562"/>
  <c r="BT20" i="16556"/>
  <c r="BT20" i="16562"/>
  <c r="DH18" i="2"/>
  <c r="DI18" i="2" s="1"/>
  <c r="AN24" i="16562" s="1"/>
  <c r="AO23" i="16562"/>
  <c r="CF13" i="16556"/>
  <c r="CF13" i="16562"/>
  <c r="DA19" i="2"/>
  <c r="CY20" i="2" s="1"/>
  <c r="BT14" i="16556"/>
  <c r="BT14" i="16562"/>
  <c r="DG18" i="2"/>
  <c r="AL24" i="16562"/>
  <c r="BT15" i="16556"/>
  <c r="BT15" i="16562"/>
  <c r="BT19" i="16556"/>
  <c r="BT19" i="16562"/>
  <c r="BT16" i="16556"/>
  <c r="BT16" i="16562"/>
  <c r="DM17" i="2"/>
  <c r="AP23" i="16562"/>
  <c r="BT28" i="16562"/>
  <c r="CP21" i="2"/>
  <c r="CQ21" i="2" s="1"/>
  <c r="AC26" i="16562"/>
  <c r="BT26" i="16556"/>
  <c r="BT26" i="16562"/>
  <c r="DB19" i="2"/>
  <c r="DC19" i="2" s="1"/>
  <c r="AJ25" i="16562" s="1"/>
  <c r="CU20" i="2"/>
  <c r="CW20" i="2"/>
  <c r="BU139" i="4"/>
  <c r="BT139" i="4"/>
  <c r="BS139" i="4"/>
  <c r="AG25" i="16556"/>
  <c r="AK24" i="16556"/>
  <c r="AL24" i="1"/>
  <c r="AD26" i="1"/>
  <c r="AC26" i="16556"/>
  <c r="AH25" i="16556"/>
  <c r="AI25" i="1"/>
  <c r="AD26" i="16556"/>
  <c r="AE26" i="1"/>
  <c r="AL24" i="16556"/>
  <c r="AM24" i="1"/>
  <c r="AR22" i="1"/>
  <c r="AQ22" i="16556"/>
  <c r="AN23" i="16556"/>
  <c r="AO23" i="1"/>
  <c r="CT70" i="2"/>
  <c r="CF13" i="1"/>
  <c r="CE13" i="16556"/>
  <c r="BT21" i="1"/>
  <c r="BS21" i="16556"/>
  <c r="BT19" i="1"/>
  <c r="BS19" i="16556"/>
  <c r="BT20" i="1"/>
  <c r="BS20" i="16556"/>
  <c r="BQ23" i="1"/>
  <c r="BP23" i="16556"/>
  <c r="BT27" i="1"/>
  <c r="BT25" i="1"/>
  <c r="BS25" i="16556"/>
  <c r="BT17" i="1"/>
  <c r="BS17" i="16556"/>
  <c r="BT22" i="1"/>
  <c r="BS22" i="16556"/>
  <c r="BT16" i="1"/>
  <c r="BS16" i="16556"/>
  <c r="CT71" i="2"/>
  <c r="BT21" i="16556"/>
  <c r="BU17" i="1"/>
  <c r="BT17" i="16556"/>
  <c r="BU25" i="1"/>
  <c r="BT25" i="16556"/>
  <c r="BU18" i="1"/>
  <c r="BT18" i="16556"/>
  <c r="BT15" i="1"/>
  <c r="BS15" i="16556"/>
  <c r="BT14" i="1"/>
  <c r="BS14" i="16556"/>
  <c r="BU22" i="1"/>
  <c r="BT22" i="16556"/>
  <c r="BT18" i="1"/>
  <c r="BS18" i="16556"/>
  <c r="BT26" i="1"/>
  <c r="BS26" i="16556"/>
  <c r="CG13" i="1"/>
  <c r="DJ63" i="2"/>
  <c r="CR76" i="2"/>
  <c r="BU26" i="16562" s="1"/>
  <c r="BU26" i="1"/>
  <c r="CR71" i="2"/>
  <c r="BU21" i="16562" s="1"/>
  <c r="BU21" i="1"/>
  <c r="CT65" i="2"/>
  <c r="BU15" i="1"/>
  <c r="CR70" i="2"/>
  <c r="BU20" i="16562" s="1"/>
  <c r="BU20" i="1"/>
  <c r="CT64" i="2"/>
  <c r="BV14" i="16562" s="1"/>
  <c r="BU14" i="1"/>
  <c r="CR66" i="2"/>
  <c r="BU16" i="16562" s="1"/>
  <c r="BU16" i="1"/>
  <c r="CR77" i="2"/>
  <c r="BU27" i="1"/>
  <c r="CR69" i="2"/>
  <c r="BU19" i="16562" s="1"/>
  <c r="BU19" i="1"/>
  <c r="DL63" i="2"/>
  <c r="CT66" i="2"/>
  <c r="CT69" i="2"/>
  <c r="CN73" i="2"/>
  <c r="BR23" i="16562" s="1"/>
  <c r="CL73" i="2"/>
  <c r="CT68" i="2"/>
  <c r="CT72" i="2"/>
  <c r="CR72" i="2"/>
  <c r="BU22" i="16562" s="1"/>
  <c r="CT77" i="2"/>
  <c r="BV27" i="16556" s="1"/>
  <c r="CT76" i="2"/>
  <c r="CR75" i="2"/>
  <c r="BU25" i="16562" s="1"/>
  <c r="CT75" i="2"/>
  <c r="BV25" i="16562" s="1"/>
  <c r="CR68" i="2"/>
  <c r="BU18" i="16562" s="1"/>
  <c r="CT67" i="2"/>
  <c r="BV17" i="16562" s="1"/>
  <c r="CR67" i="2"/>
  <c r="BU17" i="16562" s="1"/>
  <c r="CR64" i="2"/>
  <c r="CR65" i="2"/>
  <c r="BU15" i="16562" s="1"/>
  <c r="AB28" i="16562" l="1"/>
  <c r="AB27" i="16556"/>
  <c r="CL22" i="2"/>
  <c r="X28" i="16556"/>
  <c r="BU28" i="16562"/>
  <c r="BU27" i="16556"/>
  <c r="AB27" i="1"/>
  <c r="CM22" i="2"/>
  <c r="CN22" i="2" s="1"/>
  <c r="BQ23" i="16562"/>
  <c r="BU14" i="16562"/>
  <c r="CG13" i="16562"/>
  <c r="AA28" i="16562"/>
  <c r="CR21" i="2"/>
  <c r="AC27" i="16556" s="1"/>
  <c r="BV16" i="16556"/>
  <c r="BV16" i="16562"/>
  <c r="BV18" i="16556"/>
  <c r="BV18" i="16562"/>
  <c r="CH13" i="16556"/>
  <c r="CH13" i="16562"/>
  <c r="BV20" i="16556"/>
  <c r="BV20" i="16562"/>
  <c r="BV22" i="16556"/>
  <c r="BV22" i="16562"/>
  <c r="BV15" i="16556"/>
  <c r="BV15" i="16562"/>
  <c r="BV21" i="16556"/>
  <c r="BV21" i="16562"/>
  <c r="AI25" i="16562"/>
  <c r="BV19" i="16556"/>
  <c r="BV19" i="16562"/>
  <c r="DK18" i="2"/>
  <c r="DL18" i="2" s="1"/>
  <c r="AQ23" i="16562"/>
  <c r="DE19" i="2"/>
  <c r="DF19" i="2" s="1"/>
  <c r="AM24" i="16562"/>
  <c r="AC27" i="1"/>
  <c r="BV28" i="16562"/>
  <c r="CX20" i="2"/>
  <c r="AF26" i="16562"/>
  <c r="CS21" i="2"/>
  <c r="CT21" i="2" s="1"/>
  <c r="AE26" i="16562"/>
  <c r="BV26" i="16556"/>
  <c r="BV26" i="16562"/>
  <c r="DD19" i="2"/>
  <c r="DJ18" i="2"/>
  <c r="CZ20" i="2"/>
  <c r="BO139" i="4"/>
  <c r="AF26" i="16556"/>
  <c r="AG26" i="1"/>
  <c r="AE26" i="16556"/>
  <c r="AF26" i="1"/>
  <c r="AJ25" i="16556"/>
  <c r="AK25" i="1"/>
  <c r="AP23" i="1"/>
  <c r="AO23" i="16556"/>
  <c r="AI25" i="16556"/>
  <c r="AJ25" i="1"/>
  <c r="AP23" i="16556"/>
  <c r="AQ23" i="1"/>
  <c r="AM24" i="16556"/>
  <c r="AN24" i="1"/>
  <c r="CW71" i="2"/>
  <c r="CU70" i="2"/>
  <c r="BW20" i="1"/>
  <c r="CW70" i="2"/>
  <c r="BV27" i="1"/>
  <c r="BS23" i="1"/>
  <c r="BR23" i="16556"/>
  <c r="CW64" i="2"/>
  <c r="BX14" i="16562" s="1"/>
  <c r="BV14" i="16556"/>
  <c r="BV26" i="1"/>
  <c r="BU26" i="16556"/>
  <c r="BV25" i="1"/>
  <c r="BU25" i="16556"/>
  <c r="CH13" i="1"/>
  <c r="CG13" i="16556"/>
  <c r="BV20" i="1"/>
  <c r="BU20" i="16556"/>
  <c r="BV14" i="1"/>
  <c r="BU14" i="16556"/>
  <c r="BV17" i="1"/>
  <c r="BU17" i="16556"/>
  <c r="BV22" i="1"/>
  <c r="BU22" i="16556"/>
  <c r="BV16" i="1"/>
  <c r="BU16" i="16556"/>
  <c r="BW17" i="1"/>
  <c r="BV17" i="16556"/>
  <c r="BV19" i="1"/>
  <c r="BU19" i="16556"/>
  <c r="CU71" i="2"/>
  <c r="BW21" i="16562" s="1"/>
  <c r="BV21" i="1"/>
  <c r="BU21" i="16556"/>
  <c r="BV15" i="1"/>
  <c r="BU15" i="16556"/>
  <c r="BW21" i="1"/>
  <c r="BV18" i="1"/>
  <c r="BU18" i="16556"/>
  <c r="BR23" i="1"/>
  <c r="BQ23" i="16556"/>
  <c r="BW25" i="1"/>
  <c r="BV25" i="16556"/>
  <c r="CW72" i="2"/>
  <c r="BX22" i="16562" s="1"/>
  <c r="BW22" i="1"/>
  <c r="CU65" i="2"/>
  <c r="BW15" i="16562" s="1"/>
  <c r="BW15" i="1"/>
  <c r="CU68" i="2"/>
  <c r="BW18" i="16562" s="1"/>
  <c r="BW18" i="1"/>
  <c r="CW65" i="2"/>
  <c r="CU64" i="2"/>
  <c r="BW14" i="1"/>
  <c r="CU76" i="2"/>
  <c r="BW26" i="16562" s="1"/>
  <c r="BW26" i="1"/>
  <c r="CW69" i="2"/>
  <c r="BX19" i="16562" s="1"/>
  <c r="BW19" i="1"/>
  <c r="CU66" i="2"/>
  <c r="BW16" i="16562" s="1"/>
  <c r="BW16" i="1"/>
  <c r="DM63" i="2"/>
  <c r="CI13" i="1"/>
  <c r="CU77" i="2"/>
  <c r="BW27" i="1"/>
  <c r="CW66" i="2"/>
  <c r="CK74" i="2"/>
  <c r="BP24" i="16562" s="1"/>
  <c r="CU69" i="2"/>
  <c r="BW19" i="16562" s="1"/>
  <c r="CO73" i="2"/>
  <c r="CQ73" i="2"/>
  <c r="BT23" i="16562" s="1"/>
  <c r="CW68" i="2"/>
  <c r="CW77" i="2"/>
  <c r="BX27" i="16556" s="1"/>
  <c r="CU72" i="2"/>
  <c r="BW22" i="16562" s="1"/>
  <c r="CW76" i="2"/>
  <c r="BX26" i="16562" s="1"/>
  <c r="CW67" i="2"/>
  <c r="BX17" i="16562" s="1"/>
  <c r="CU67" i="2"/>
  <c r="BW17" i="16562" s="1"/>
  <c r="CU75" i="2"/>
  <c r="BW25" i="16562" s="1"/>
  <c r="CW75" i="2"/>
  <c r="CJ23" i="2" l="1"/>
  <c r="CK23" i="2" s="1"/>
  <c r="Y28" i="16556"/>
  <c r="CO22" i="2"/>
  <c r="Z28" i="16556"/>
  <c r="BW28" i="16562"/>
  <c r="BW27" i="16556"/>
  <c r="AD28" i="16562"/>
  <c r="AD27" i="16556"/>
  <c r="CP22" i="2"/>
  <c r="CQ22" i="2" s="1"/>
  <c r="CI13" i="16562"/>
  <c r="BS23" i="16562"/>
  <c r="BW14" i="16562"/>
  <c r="AC28" i="16562"/>
  <c r="AD27" i="1"/>
  <c r="BX18" i="16556"/>
  <c r="BX18" i="16562"/>
  <c r="BX21" i="16556"/>
  <c r="BX21" i="16562"/>
  <c r="DM18" i="2"/>
  <c r="AP24" i="16562"/>
  <c r="BX20" i="16556"/>
  <c r="BX20" i="16562"/>
  <c r="DH19" i="2"/>
  <c r="DI19" i="2" s="1"/>
  <c r="AO24" i="16562"/>
  <c r="BW20" i="16556"/>
  <c r="BW20" i="16562"/>
  <c r="BX15" i="16556"/>
  <c r="BX15" i="16562"/>
  <c r="BX16" i="16556"/>
  <c r="BX16" i="16562"/>
  <c r="AE27" i="1"/>
  <c r="BX28" i="16562"/>
  <c r="CU21" i="2"/>
  <c r="AE27" i="16556" s="1"/>
  <c r="BX25" i="16556"/>
  <c r="BX25" i="16562"/>
  <c r="DB20" i="2"/>
  <c r="DC20" i="2" s="1"/>
  <c r="AK25" i="16562"/>
  <c r="CV21" i="2"/>
  <c r="CW21" i="2" s="1"/>
  <c r="AG26" i="16562"/>
  <c r="DG19" i="2"/>
  <c r="AL25" i="16562"/>
  <c r="DA20" i="2"/>
  <c r="AH26" i="16562"/>
  <c r="BR139" i="4"/>
  <c r="BX115" i="4" s="1"/>
  <c r="BR116" i="4" s="1"/>
  <c r="BP139" i="4"/>
  <c r="BQ139" i="4"/>
  <c r="AQ23" i="16556"/>
  <c r="AR23" i="1"/>
  <c r="AN24" i="16556"/>
  <c r="AO24" i="1"/>
  <c r="AH26" i="16556"/>
  <c r="AI26" i="1"/>
  <c r="AL25" i="16556"/>
  <c r="AM25" i="1"/>
  <c r="AG26" i="16556"/>
  <c r="AH26" i="1"/>
  <c r="AK25" i="16556"/>
  <c r="AL25" i="1"/>
  <c r="BX20" i="1"/>
  <c r="BY21" i="1"/>
  <c r="CX71" i="2"/>
  <c r="CZ65" i="2"/>
  <c r="BY20" i="1"/>
  <c r="CZ70" i="2"/>
  <c r="CZ71" i="2"/>
  <c r="CX70" i="2"/>
  <c r="BX15" i="1"/>
  <c r="BW15" i="16556"/>
  <c r="BX22" i="1"/>
  <c r="BW22" i="16556"/>
  <c r="BX26" i="1"/>
  <c r="BW26" i="16556"/>
  <c r="BY17" i="1"/>
  <c r="BX17" i="16556"/>
  <c r="BX19" i="1"/>
  <c r="BW19" i="16556"/>
  <c r="BX27" i="1"/>
  <c r="CZ69" i="2"/>
  <c r="BX19" i="16556"/>
  <c r="BX25" i="1"/>
  <c r="BW25" i="16556"/>
  <c r="BY26" i="1"/>
  <c r="BX26" i="16556"/>
  <c r="BQ24" i="1"/>
  <c r="BP24" i="16556"/>
  <c r="BX21" i="1"/>
  <c r="BW21" i="16556"/>
  <c r="CJ13" i="1"/>
  <c r="CI13" i="16556"/>
  <c r="BX17" i="1"/>
  <c r="BW17" i="16556"/>
  <c r="BU23" i="1"/>
  <c r="BT23" i="16556"/>
  <c r="BX16" i="1"/>
  <c r="BW16" i="16556"/>
  <c r="BY14" i="1"/>
  <c r="BX14" i="16556"/>
  <c r="CZ72" i="2"/>
  <c r="BX22" i="16556"/>
  <c r="BX14" i="1"/>
  <c r="BW14" i="16556"/>
  <c r="CZ64" i="2"/>
  <c r="CX64" i="2"/>
  <c r="BT23" i="1"/>
  <c r="BS23" i="16556"/>
  <c r="BX18" i="1"/>
  <c r="BW18" i="16556"/>
  <c r="CX69" i="2"/>
  <c r="BY19" i="16562" s="1"/>
  <c r="BY19" i="1"/>
  <c r="CZ75" i="2"/>
  <c r="BY25" i="1"/>
  <c r="CX77" i="2"/>
  <c r="BY27" i="1"/>
  <c r="CX72" i="2"/>
  <c r="BY22" i="16562" s="1"/>
  <c r="BY22" i="1"/>
  <c r="CX68" i="2"/>
  <c r="BY18" i="16562" s="1"/>
  <c r="BY18" i="1"/>
  <c r="CX66" i="2"/>
  <c r="BY16" i="16562" s="1"/>
  <c r="BY16" i="1"/>
  <c r="CX65" i="2"/>
  <c r="BY15" i="16562" s="1"/>
  <c r="BY15" i="1"/>
  <c r="CZ66" i="2"/>
  <c r="CL74" i="2"/>
  <c r="CL83" i="2" s="1"/>
  <c r="CN74" i="2"/>
  <c r="CZ68" i="2"/>
  <c r="CT73" i="2"/>
  <c r="CR73" i="2"/>
  <c r="CZ77" i="2"/>
  <c r="BZ27" i="16556" s="1"/>
  <c r="CX76" i="2"/>
  <c r="BY26" i="16562" s="1"/>
  <c r="CZ76" i="2"/>
  <c r="BZ26" i="16562" s="1"/>
  <c r="CX75" i="2"/>
  <c r="BY25" i="16562" s="1"/>
  <c r="CZ67" i="2"/>
  <c r="CX67" i="2"/>
  <c r="BY17" i="16562" s="1"/>
  <c r="BY28" i="16562" l="1"/>
  <c r="BY27" i="16556"/>
  <c r="AF28" i="16562"/>
  <c r="AF27" i="16556"/>
  <c r="CM23" i="2"/>
  <c r="CN23" i="2" s="1"/>
  <c r="AA28" i="16556"/>
  <c r="CR22" i="2"/>
  <c r="AB28" i="16556"/>
  <c r="CL23" i="2"/>
  <c r="X29" i="16556"/>
  <c r="CS22" i="2"/>
  <c r="CT22" i="2" s="1"/>
  <c r="CL84" i="2"/>
  <c r="BR28" i="1"/>
  <c r="BU23" i="16562"/>
  <c r="BY14" i="16562"/>
  <c r="BV23" i="16556"/>
  <c r="BV23" i="16562"/>
  <c r="BQ24" i="16556"/>
  <c r="BQ24" i="16562"/>
  <c r="DC72" i="2"/>
  <c r="CB22" i="16562" s="1"/>
  <c r="BZ22" i="16562"/>
  <c r="BY20" i="16556"/>
  <c r="BY20" i="16562"/>
  <c r="AG27" i="1"/>
  <c r="DK19" i="2"/>
  <c r="DL19" i="2" s="1"/>
  <c r="AQ24" i="16562"/>
  <c r="BZ17" i="16556"/>
  <c r="BZ17" i="16562"/>
  <c r="BR24" i="16556"/>
  <c r="BR24" i="16562"/>
  <c r="BZ21" i="1"/>
  <c r="BY21" i="16562"/>
  <c r="BZ16" i="16556"/>
  <c r="BZ16" i="16562"/>
  <c r="BZ21" i="16556"/>
  <c r="BZ21" i="16562"/>
  <c r="BZ20" i="16556"/>
  <c r="BZ20" i="16562"/>
  <c r="BZ14" i="16556"/>
  <c r="BZ14" i="16562"/>
  <c r="BZ19" i="16556"/>
  <c r="BZ19" i="16562"/>
  <c r="BZ18" i="16556"/>
  <c r="BZ18" i="16562"/>
  <c r="BZ15" i="16556"/>
  <c r="BZ15" i="16562"/>
  <c r="DD20" i="2"/>
  <c r="AJ26" i="16562"/>
  <c r="AE28" i="16562"/>
  <c r="BZ28" i="16562"/>
  <c r="CX21" i="2"/>
  <c r="AG27" i="16556" s="1"/>
  <c r="DE20" i="2"/>
  <c r="DF20" i="2" s="1"/>
  <c r="AM25" i="16562"/>
  <c r="DJ19" i="2"/>
  <c r="AN25" i="16562"/>
  <c r="CY21" i="2"/>
  <c r="CZ21" i="2" s="1"/>
  <c r="AI26" i="16562"/>
  <c r="BZ25" i="16556"/>
  <c r="BZ25" i="16562"/>
  <c r="AF27" i="1"/>
  <c r="BX91" i="4"/>
  <c r="BV115" i="4"/>
  <c r="BP116" i="4" s="1"/>
  <c r="BW115" i="4"/>
  <c r="BQ116" i="4" s="1"/>
  <c r="AM25" i="16556"/>
  <c r="AN25" i="1"/>
  <c r="AJ26" i="16556"/>
  <c r="AK26" i="1"/>
  <c r="AJ26" i="1"/>
  <c r="AI26" i="16556"/>
  <c r="AO24" i="16556"/>
  <c r="AP24" i="1"/>
  <c r="AP24" i="16556"/>
  <c r="AQ24" i="1"/>
  <c r="BY21" i="16556"/>
  <c r="BZ20" i="1"/>
  <c r="DC70" i="2"/>
  <c r="DC65" i="2"/>
  <c r="DC71" i="2"/>
  <c r="CA21" i="1"/>
  <c r="DC69" i="2"/>
  <c r="DA71" i="2"/>
  <c r="DA70" i="2"/>
  <c r="CA15" i="1"/>
  <c r="DA65" i="2"/>
  <c r="CA20" i="1"/>
  <c r="DA64" i="2"/>
  <c r="BZ15" i="1"/>
  <c r="BY15" i="16556"/>
  <c r="BZ22" i="1"/>
  <c r="BY22" i="16556"/>
  <c r="BZ27" i="1"/>
  <c r="BV23" i="1"/>
  <c r="BU23" i="16556"/>
  <c r="BZ25" i="1"/>
  <c r="BY25" i="16556"/>
  <c r="BZ26" i="1"/>
  <c r="BY26" i="16556"/>
  <c r="BZ16" i="1"/>
  <c r="BY16" i="16556"/>
  <c r="BZ19" i="1"/>
  <c r="BY19" i="16556"/>
  <c r="CA26" i="1"/>
  <c r="BZ26" i="16556"/>
  <c r="CA22" i="1"/>
  <c r="BZ22" i="16556"/>
  <c r="CA19" i="1"/>
  <c r="BZ14" i="1"/>
  <c r="BY14" i="16556"/>
  <c r="BZ18" i="1"/>
  <c r="BY18" i="16556"/>
  <c r="DA69" i="2"/>
  <c r="CA19" i="16562" s="1"/>
  <c r="BZ17" i="1"/>
  <c r="BY17" i="16556"/>
  <c r="CA14" i="1"/>
  <c r="DA72" i="2"/>
  <c r="CA22" i="16562" s="1"/>
  <c r="DC64" i="2"/>
  <c r="CB14" i="16562" s="1"/>
  <c r="DA75" i="2"/>
  <c r="CA25" i="16562" s="1"/>
  <c r="CA25" i="1"/>
  <c r="DC75" i="2"/>
  <c r="CB25" i="16562" s="1"/>
  <c r="CW73" i="2"/>
  <c r="BW23" i="1"/>
  <c r="DA68" i="2"/>
  <c r="CA18" i="16562" s="1"/>
  <c r="CA18" i="1"/>
  <c r="DA67" i="2"/>
  <c r="CA17" i="16562" s="1"/>
  <c r="CA17" i="1"/>
  <c r="DA77" i="2"/>
  <c r="CA27" i="1"/>
  <c r="CQ74" i="2"/>
  <c r="BT24" i="16562" s="1"/>
  <c r="BS24" i="1"/>
  <c r="BP34" i="16562"/>
  <c r="BR24" i="1"/>
  <c r="DA66" i="2"/>
  <c r="CA16" i="16562" s="1"/>
  <c r="CA16" i="1"/>
  <c r="DC66" i="2"/>
  <c r="CO74" i="2"/>
  <c r="CO83" i="2" s="1"/>
  <c r="DC68" i="2"/>
  <c r="DC77" i="2"/>
  <c r="CB27" i="16556" s="1"/>
  <c r="DC67" i="2"/>
  <c r="CU73" i="2"/>
  <c r="DA76" i="2"/>
  <c r="CA26" i="16562" s="1"/>
  <c r="DC76" i="2"/>
  <c r="CA28" i="16562" l="1"/>
  <c r="CA27" i="16556"/>
  <c r="CP23" i="2"/>
  <c r="CQ23" i="2" s="1"/>
  <c r="AC28" i="16556"/>
  <c r="CO23" i="2"/>
  <c r="Z29" i="16556"/>
  <c r="CU22" i="2"/>
  <c r="AD28" i="16556"/>
  <c r="AH28" i="16562"/>
  <c r="AH27" i="16556"/>
  <c r="CJ24" i="2"/>
  <c r="CK24" i="2" s="1"/>
  <c r="Y29" i="16556"/>
  <c r="CV22" i="2"/>
  <c r="CW22" i="2" s="1"/>
  <c r="CO84" i="2"/>
  <c r="BT28" i="1"/>
  <c r="BW23" i="16562"/>
  <c r="AI27" i="1"/>
  <c r="DA21" i="2"/>
  <c r="AI27" i="16556" s="1"/>
  <c r="CB15" i="1"/>
  <c r="CA15" i="16562"/>
  <c r="CB18" i="16556"/>
  <c r="CB18" i="16562"/>
  <c r="CB16" i="16556"/>
  <c r="CB16" i="16562"/>
  <c r="CB21" i="1"/>
  <c r="CA21" i="16562"/>
  <c r="CB15" i="16556"/>
  <c r="CB15" i="16562"/>
  <c r="CB20" i="16556"/>
  <c r="CB20" i="16562"/>
  <c r="DF72" i="2"/>
  <c r="CD22" i="16562" s="1"/>
  <c r="CB22" i="16556"/>
  <c r="CB19" i="16556"/>
  <c r="CB19" i="16562"/>
  <c r="CB17" i="16556"/>
  <c r="CB17" i="16562"/>
  <c r="BX23" i="16556"/>
  <c r="BX23" i="16562"/>
  <c r="BS24" i="16556"/>
  <c r="BS24" i="16562"/>
  <c r="CA20" i="16556"/>
  <c r="CA20" i="16562"/>
  <c r="DD72" i="2"/>
  <c r="CC22" i="16562" s="1"/>
  <c r="CC22" i="1"/>
  <c r="CA14" i="16556"/>
  <c r="CA14" i="16562"/>
  <c r="CB21" i="16556"/>
  <c r="CB21" i="16562"/>
  <c r="DG20" i="2"/>
  <c r="AL26" i="16562"/>
  <c r="DM19" i="2"/>
  <c r="AP25" i="16562"/>
  <c r="AG28" i="16562"/>
  <c r="DH20" i="2"/>
  <c r="DI20" i="2" s="1"/>
  <c r="AO25" i="16562"/>
  <c r="CB28" i="16562"/>
  <c r="CB26" i="16556"/>
  <c r="CB26" i="16562"/>
  <c r="AH27" i="1"/>
  <c r="DB21" i="2"/>
  <c r="DC21" i="2" s="1"/>
  <c r="AK26" i="16562"/>
  <c r="CA91" i="4"/>
  <c r="U19" i="16556"/>
  <c r="BS116" i="4"/>
  <c r="BZ140" i="4" s="1"/>
  <c r="BY140" i="4" s="1"/>
  <c r="BT116" i="4"/>
  <c r="BU116" i="4"/>
  <c r="BX140" i="4" s="1"/>
  <c r="BW91" i="4"/>
  <c r="T19" i="16556" s="1"/>
  <c r="BV91" i="4"/>
  <c r="AN25" i="16556"/>
  <c r="AO25" i="1"/>
  <c r="AK26" i="16556"/>
  <c r="AL26" i="1"/>
  <c r="AQ24" i="16556"/>
  <c r="AR24" i="1"/>
  <c r="AL26" i="16556"/>
  <c r="AM26" i="1"/>
  <c r="DD65" i="2"/>
  <c r="CD15" i="1" s="1"/>
  <c r="CC21" i="1"/>
  <c r="DF71" i="2"/>
  <c r="CB14" i="1"/>
  <c r="DF70" i="2"/>
  <c r="DD70" i="2"/>
  <c r="CC20" i="1"/>
  <c r="DF69" i="2"/>
  <c r="DD71" i="2"/>
  <c r="DD69" i="2"/>
  <c r="CB20" i="1"/>
  <c r="DF65" i="2"/>
  <c r="CC15" i="1"/>
  <c r="CA21" i="16556"/>
  <c r="CC19" i="1"/>
  <c r="CA15" i="16556"/>
  <c r="CC14" i="1"/>
  <c r="CB14" i="16556"/>
  <c r="BX23" i="1"/>
  <c r="BW23" i="16556"/>
  <c r="DF75" i="2"/>
  <c r="CB25" i="16556"/>
  <c r="CB19" i="1"/>
  <c r="CA19" i="16556"/>
  <c r="CB27" i="1"/>
  <c r="DF64" i="2"/>
  <c r="CB26" i="1"/>
  <c r="CA26" i="16556"/>
  <c r="BQ35" i="1"/>
  <c r="BP34" i="16556"/>
  <c r="CB17" i="1"/>
  <c r="CA17" i="16556"/>
  <c r="CB18" i="1"/>
  <c r="CA18" i="16556"/>
  <c r="CB25" i="1"/>
  <c r="CA25" i="16556"/>
  <c r="CB22" i="1"/>
  <c r="CA22" i="16556"/>
  <c r="CB16" i="1"/>
  <c r="CA16" i="16556"/>
  <c r="DD64" i="2"/>
  <c r="BU24" i="1"/>
  <c r="BT24" i="16556"/>
  <c r="DD67" i="2"/>
  <c r="CC17" i="16562" s="1"/>
  <c r="CC17" i="1"/>
  <c r="BR34" i="16562"/>
  <c r="BT24" i="1"/>
  <c r="DD77" i="2"/>
  <c r="CC27" i="1"/>
  <c r="CT74" i="2"/>
  <c r="BV24" i="16562" s="1"/>
  <c r="CX73" i="2"/>
  <c r="BY23" i="1"/>
  <c r="DD76" i="2"/>
  <c r="CC26" i="16562" s="1"/>
  <c r="CC26" i="1"/>
  <c r="CR74" i="2"/>
  <c r="CR83" i="2" s="1"/>
  <c r="DD75" i="2"/>
  <c r="CC25" i="16562" s="1"/>
  <c r="CC25" i="1"/>
  <c r="DD68" i="2"/>
  <c r="CC18" i="16562" s="1"/>
  <c r="CC18" i="1"/>
  <c r="DD66" i="2"/>
  <c r="CC16" i="16562" s="1"/>
  <c r="CC16" i="1"/>
  <c r="CZ73" i="2"/>
  <c r="BZ23" i="16562" s="1"/>
  <c r="DF66" i="2"/>
  <c r="DF68" i="2"/>
  <c r="CD18" i="16562" s="1"/>
  <c r="DF67" i="2"/>
  <c r="DF77" i="2"/>
  <c r="CD27" i="16556" s="1"/>
  <c r="DF76" i="2"/>
  <c r="CX22" i="2" l="1"/>
  <c r="AF28" i="16556"/>
  <c r="CS23" i="2"/>
  <c r="CT23" i="2" s="1"/>
  <c r="AE28" i="16556"/>
  <c r="CM24" i="2"/>
  <c r="CN24" i="2" s="1"/>
  <c r="AA29" i="16556"/>
  <c r="AK27" i="1"/>
  <c r="AJ27" i="16556"/>
  <c r="CL24" i="2"/>
  <c r="X30" i="16556"/>
  <c r="CR23" i="2"/>
  <c r="AB29" i="16556"/>
  <c r="CC28" i="16562"/>
  <c r="CC27" i="16556"/>
  <c r="AI28" i="16562"/>
  <c r="CY22" i="2"/>
  <c r="CZ22" i="2" s="1"/>
  <c r="BY23" i="16562"/>
  <c r="CC14" i="16562"/>
  <c r="BV28" i="1"/>
  <c r="CR84" i="2"/>
  <c r="CC22" i="16556"/>
  <c r="AJ27" i="1"/>
  <c r="CD22" i="1"/>
  <c r="DG72" i="2"/>
  <c r="CE22" i="16562" s="1"/>
  <c r="CD22" i="16556"/>
  <c r="DI72" i="2"/>
  <c r="CF22" i="16556" s="1"/>
  <c r="CE22" i="1"/>
  <c r="CD16" i="16556"/>
  <c r="CD16" i="16562"/>
  <c r="BU24" i="16556"/>
  <c r="BU24" i="16562"/>
  <c r="CC21" i="16556"/>
  <c r="CC21" i="16562"/>
  <c r="CC15" i="16556"/>
  <c r="CC15" i="16562"/>
  <c r="CD20" i="16556"/>
  <c r="CD20" i="16562"/>
  <c r="CD19" i="1"/>
  <c r="CC19" i="16562"/>
  <c r="CD19" i="16556"/>
  <c r="CD19" i="16562"/>
  <c r="CD17" i="16556"/>
  <c r="CD17" i="16562"/>
  <c r="CD20" i="1"/>
  <c r="CC20" i="16562"/>
  <c r="DI64" i="2"/>
  <c r="CF14" i="16562" s="1"/>
  <c r="CD14" i="16562"/>
  <c r="CD15" i="16556"/>
  <c r="CD15" i="16562"/>
  <c r="CD21" i="16556"/>
  <c r="CD21" i="16562"/>
  <c r="DJ20" i="2"/>
  <c r="AN26" i="16562"/>
  <c r="CD26" i="16556"/>
  <c r="CD26" i="16562"/>
  <c r="CD28" i="16562"/>
  <c r="DD21" i="2"/>
  <c r="AJ28" i="16562"/>
  <c r="DK20" i="2"/>
  <c r="DL20" i="2" s="1"/>
  <c r="AQ25" i="16562"/>
  <c r="CD25" i="16556"/>
  <c r="CD25" i="16562"/>
  <c r="DE21" i="2"/>
  <c r="DF21" i="2" s="1"/>
  <c r="AM26" i="16562"/>
  <c r="BY91" i="4"/>
  <c r="S19" i="16556"/>
  <c r="BV140" i="4"/>
  <c r="BZ91" i="4"/>
  <c r="BW140" i="4"/>
  <c r="GQ17" i="2"/>
  <c r="GR17" i="2"/>
  <c r="AM26" i="16556"/>
  <c r="AN26" i="1"/>
  <c r="AO25" i="16556"/>
  <c r="AP25" i="1"/>
  <c r="AP25" i="16556"/>
  <c r="AQ25" i="1"/>
  <c r="CE20" i="1"/>
  <c r="CE19" i="1"/>
  <c r="DI71" i="2"/>
  <c r="CE21" i="1"/>
  <c r="DI69" i="2"/>
  <c r="DG71" i="2"/>
  <c r="CD21" i="1"/>
  <c r="DG69" i="2"/>
  <c r="DG70" i="2"/>
  <c r="CE20" i="16562" s="1"/>
  <c r="DI70" i="2"/>
  <c r="CC20" i="16556"/>
  <c r="CC19" i="16556"/>
  <c r="CE15" i="1"/>
  <c r="DG65" i="2"/>
  <c r="DI65" i="2"/>
  <c r="CW74" i="2"/>
  <c r="BV24" i="16556"/>
  <c r="CD17" i="1"/>
  <c r="CC17" i="16556"/>
  <c r="CA23" i="1"/>
  <c r="BZ23" i="16556"/>
  <c r="CD27" i="1"/>
  <c r="BZ23" i="1"/>
  <c r="BY23" i="16556"/>
  <c r="CD14" i="1"/>
  <c r="CC14" i="16556"/>
  <c r="CE18" i="1"/>
  <c r="CD18" i="16556"/>
  <c r="CE25" i="1"/>
  <c r="CE14" i="1"/>
  <c r="CD16" i="1"/>
  <c r="CC16" i="16556"/>
  <c r="DG75" i="2"/>
  <c r="CE25" i="16562" s="1"/>
  <c r="CD25" i="1"/>
  <c r="CC25" i="16556"/>
  <c r="CD26" i="1"/>
  <c r="CC26" i="16556"/>
  <c r="DG64" i="2"/>
  <c r="CD14" i="16556"/>
  <c r="DI75" i="2"/>
  <c r="CD18" i="1"/>
  <c r="CC18" i="16556"/>
  <c r="BS35" i="1"/>
  <c r="BR34" i="16556"/>
  <c r="DG77" i="2"/>
  <c r="CE27" i="1"/>
  <c r="DG67" i="2"/>
  <c r="CE17" i="16562" s="1"/>
  <c r="CE17" i="1"/>
  <c r="DG76" i="2"/>
  <c r="CE26" i="16562" s="1"/>
  <c r="CE26" i="1"/>
  <c r="DG66" i="2"/>
  <c r="CE16" i="16562" s="1"/>
  <c r="CE16" i="1"/>
  <c r="CU74" i="2"/>
  <c r="CU83" i="2" s="1"/>
  <c r="BW24" i="1"/>
  <c r="DA73" i="2"/>
  <c r="BT34" i="16562"/>
  <c r="BV24" i="1"/>
  <c r="DC73" i="2"/>
  <c r="CB23" i="16562" s="1"/>
  <c r="DI66" i="2"/>
  <c r="DG68" i="2"/>
  <c r="CE18" i="16562" s="1"/>
  <c r="DI68" i="2"/>
  <c r="CF18" i="16562" s="1"/>
  <c r="DI67" i="2"/>
  <c r="DI77" i="2"/>
  <c r="CF27" i="16556" s="1"/>
  <c r="DI76" i="2"/>
  <c r="CE22" i="16556" l="1"/>
  <c r="DB22" i="2"/>
  <c r="DC22" i="2" s="1"/>
  <c r="AK27" i="16556"/>
  <c r="DA22" i="2"/>
  <c r="AH28" i="16556"/>
  <c r="AM27" i="1"/>
  <c r="AL27" i="16556"/>
  <c r="CP24" i="2"/>
  <c r="CQ24" i="2" s="1"/>
  <c r="AC29" i="16556"/>
  <c r="CU23" i="2"/>
  <c r="AD29" i="16556"/>
  <c r="CO24" i="2"/>
  <c r="Z30" i="16556"/>
  <c r="CJ25" i="2"/>
  <c r="CK25" i="2" s="1"/>
  <c r="Y30" i="16556"/>
  <c r="CE28" i="16562"/>
  <c r="CE27" i="16556"/>
  <c r="CV23" i="2"/>
  <c r="CW23" i="2" s="1"/>
  <c r="AG28" i="16556"/>
  <c r="CA23" i="16562"/>
  <c r="CU84" i="2"/>
  <c r="BX28" i="1"/>
  <c r="CE14" i="16562"/>
  <c r="DL72" i="2"/>
  <c r="CH22" i="16562" s="1"/>
  <c r="CF22" i="1"/>
  <c r="CG22" i="1"/>
  <c r="DJ72" i="2"/>
  <c r="CG22" i="16562" s="1"/>
  <c r="CF22" i="16562"/>
  <c r="CF16" i="16556"/>
  <c r="CF16" i="16562"/>
  <c r="DL64" i="2"/>
  <c r="CH14" i="16562" s="1"/>
  <c r="CF21" i="16556"/>
  <c r="CF21" i="16562"/>
  <c r="CG14" i="1"/>
  <c r="BX24" i="16556"/>
  <c r="BX24" i="16562"/>
  <c r="CG20" i="1"/>
  <c r="CF20" i="16562"/>
  <c r="CF19" i="16556"/>
  <c r="CF19" i="16562"/>
  <c r="CF14" i="16556"/>
  <c r="DJ64" i="2"/>
  <c r="CF19" i="1"/>
  <c r="CE19" i="16562"/>
  <c r="CF17" i="16556"/>
  <c r="CF17" i="16562"/>
  <c r="CF15" i="16556"/>
  <c r="CF15" i="16562"/>
  <c r="BW24" i="16556"/>
  <c r="BW24" i="16562"/>
  <c r="CF15" i="1"/>
  <c r="CE15" i="16562"/>
  <c r="CE21" i="16556"/>
  <c r="CE21" i="16562"/>
  <c r="DM20" i="2"/>
  <c r="AP26" i="16562"/>
  <c r="DG21" i="2"/>
  <c r="AL28" i="16562"/>
  <c r="AK28" i="16562"/>
  <c r="AL27" i="1"/>
  <c r="CF26" i="16556"/>
  <c r="CF26" i="16562"/>
  <c r="CF28" i="16562"/>
  <c r="CF25" i="16556"/>
  <c r="CF25" i="16562"/>
  <c r="DH21" i="2"/>
  <c r="DI21" i="2" s="1"/>
  <c r="AN27" i="16556" s="1"/>
  <c r="AO26" i="16562"/>
  <c r="BS140" i="4"/>
  <c r="BT140" i="4"/>
  <c r="BU140" i="4"/>
  <c r="AQ25" i="16556"/>
  <c r="AR25" i="1"/>
  <c r="AN26" i="16556"/>
  <c r="AO26" i="1"/>
  <c r="CF21" i="1"/>
  <c r="CG21" i="1"/>
  <c r="DJ71" i="2"/>
  <c r="DL71" i="2"/>
  <c r="DL69" i="2"/>
  <c r="CE19" i="16556"/>
  <c r="CG19" i="1"/>
  <c r="DJ70" i="2"/>
  <c r="DJ69" i="2"/>
  <c r="DL70" i="2"/>
  <c r="CF20" i="16556"/>
  <c r="CF20" i="1"/>
  <c r="CE20" i="16556"/>
  <c r="CG15" i="1"/>
  <c r="DJ65" i="2"/>
  <c r="CE15" i="16556"/>
  <c r="DL65" i="2"/>
  <c r="CG25" i="1"/>
  <c r="DJ75" i="2"/>
  <c r="CZ74" i="2"/>
  <c r="CF27" i="1"/>
  <c r="BU35" i="1"/>
  <c r="BT34" i="16556"/>
  <c r="DL75" i="2"/>
  <c r="CF14" i="1"/>
  <c r="CE14" i="16556"/>
  <c r="CG18" i="1"/>
  <c r="CF18" i="16556"/>
  <c r="CF17" i="1"/>
  <c r="CE17" i="16556"/>
  <c r="CF18" i="1"/>
  <c r="CE18" i="16556"/>
  <c r="CF26" i="1"/>
  <c r="CE26" i="16556"/>
  <c r="BY24" i="1"/>
  <c r="DF73" i="2"/>
  <c r="CB23" i="16556"/>
  <c r="CB23" i="1"/>
  <c r="CA23" i="16556"/>
  <c r="CF16" i="1"/>
  <c r="CE16" i="16556"/>
  <c r="CX74" i="2"/>
  <c r="CX83" i="2" s="1"/>
  <c r="CF25" i="1"/>
  <c r="CE25" i="16556"/>
  <c r="DJ66" i="2"/>
  <c r="CG16" i="16562" s="1"/>
  <c r="CG16" i="1"/>
  <c r="DL77" i="2"/>
  <c r="CH27" i="16556" s="1"/>
  <c r="CG27" i="1"/>
  <c r="DJ67" i="2"/>
  <c r="CG17" i="16562" s="1"/>
  <c r="CG17" i="1"/>
  <c r="DD73" i="2"/>
  <c r="CC23" i="1"/>
  <c r="BX24" i="1"/>
  <c r="BV34" i="16562"/>
  <c r="DJ76" i="2"/>
  <c r="CG26" i="16562" s="1"/>
  <c r="CG26" i="1"/>
  <c r="DL66" i="2"/>
  <c r="DL67" i="2"/>
  <c r="DJ68" i="2"/>
  <c r="CG18" i="16562" s="1"/>
  <c r="DL68" i="2"/>
  <c r="DJ77" i="2"/>
  <c r="DL76" i="2"/>
  <c r="DE22" i="2" l="1"/>
  <c r="DF22" i="2" s="1"/>
  <c r="AL28" i="16556" s="1"/>
  <c r="AM27" i="16556"/>
  <c r="CR24" i="2"/>
  <c r="AB30" i="16556"/>
  <c r="CG28" i="16562"/>
  <c r="CG27" i="16556"/>
  <c r="DD22" i="2"/>
  <c r="AJ28" i="16556"/>
  <c r="CL25" i="2"/>
  <c r="X31" i="16556"/>
  <c r="CM25" i="2"/>
  <c r="CN25" i="2" s="1"/>
  <c r="AA30" i="16556"/>
  <c r="CX23" i="2"/>
  <c r="AF29" i="16556"/>
  <c r="CY23" i="2"/>
  <c r="CZ23" i="2" s="1"/>
  <c r="AI28" i="16556"/>
  <c r="CS24" i="2"/>
  <c r="CT24" i="2" s="1"/>
  <c r="AE29" i="16556"/>
  <c r="CX84" i="2"/>
  <c r="BZ28" i="1"/>
  <c r="CG14" i="16562"/>
  <c r="CC23" i="16562"/>
  <c r="CG22" i="16556"/>
  <c r="DM64" i="2"/>
  <c r="CI14" i="1"/>
  <c r="CH14" i="16556"/>
  <c r="CI22" i="1"/>
  <c r="DM72" i="2"/>
  <c r="CI22" i="16562" s="1"/>
  <c r="CH22" i="16556"/>
  <c r="CH22" i="1"/>
  <c r="CG14" i="16556"/>
  <c r="BY24" i="16556"/>
  <c r="BY24" i="16562"/>
  <c r="CH15" i="1"/>
  <c r="CG15" i="16562"/>
  <c r="CH19" i="16556"/>
  <c r="CH19" i="16562"/>
  <c r="CH17" i="16556"/>
  <c r="CH17" i="16562"/>
  <c r="BZ24" i="16556"/>
  <c r="BZ24" i="16562"/>
  <c r="CH21" i="16556"/>
  <c r="CH21" i="16562"/>
  <c r="CH18" i="16556"/>
  <c r="CH18" i="16562"/>
  <c r="CH16" i="16556"/>
  <c r="CH16" i="16562"/>
  <c r="CH21" i="1"/>
  <c r="CG21" i="16562"/>
  <c r="CH14" i="1"/>
  <c r="DM70" i="2"/>
  <c r="CI20" i="16562" s="1"/>
  <c r="CH20" i="16562"/>
  <c r="CD23" i="16556"/>
  <c r="CD23" i="16562"/>
  <c r="CH15" i="16556"/>
  <c r="CH15" i="16562"/>
  <c r="CH19" i="1"/>
  <c r="CG19" i="16562"/>
  <c r="CH20" i="1"/>
  <c r="CG20" i="16562"/>
  <c r="CH25" i="1"/>
  <c r="CG25" i="16562"/>
  <c r="AM28" i="16562"/>
  <c r="AN27" i="1"/>
  <c r="CH26" i="16556"/>
  <c r="CH26" i="16562"/>
  <c r="CH25" i="16556"/>
  <c r="CH25" i="16562"/>
  <c r="CH28" i="16562"/>
  <c r="AO27" i="1"/>
  <c r="AN28" i="16562"/>
  <c r="DJ21" i="2"/>
  <c r="AO27" i="16556" s="1"/>
  <c r="DK21" i="2"/>
  <c r="DL21" i="2" s="1"/>
  <c r="AP27" i="16556" s="1"/>
  <c r="AQ26" i="16562"/>
  <c r="BO140" i="4"/>
  <c r="AO26" i="16556"/>
  <c r="AP26" i="1"/>
  <c r="AP26" i="16556"/>
  <c r="AQ26" i="1"/>
  <c r="CG20" i="16556"/>
  <c r="CG21" i="16556"/>
  <c r="DM71" i="2"/>
  <c r="CG15" i="16556"/>
  <c r="CI21" i="1"/>
  <c r="DM69" i="2"/>
  <c r="CG19" i="16556"/>
  <c r="CI19" i="1"/>
  <c r="CG25" i="16556"/>
  <c r="CH20" i="16556"/>
  <c r="CI20" i="1"/>
  <c r="CI15" i="1"/>
  <c r="DM65" i="2"/>
  <c r="CA24" i="1"/>
  <c r="DC74" i="2"/>
  <c r="DG73" i="2"/>
  <c r="BZ24" i="1"/>
  <c r="DA74" i="2"/>
  <c r="DA83" i="2" s="1"/>
  <c r="DI73" i="2"/>
  <c r="CH26" i="1"/>
  <c r="CG26" i="16556"/>
  <c r="CH17" i="1"/>
  <c r="CG17" i="16556"/>
  <c r="CE23" i="1"/>
  <c r="CH27" i="1"/>
  <c r="BW35" i="1"/>
  <c r="BV34" i="16556"/>
  <c r="CI25" i="1"/>
  <c r="DM75" i="2"/>
  <c r="CI25" i="16562" s="1"/>
  <c r="CH16" i="1"/>
  <c r="CG16" i="16556"/>
  <c r="CH18" i="1"/>
  <c r="CG18" i="16556"/>
  <c r="CD23" i="1"/>
  <c r="CC23" i="16556"/>
  <c r="DM66" i="2"/>
  <c r="CI16" i="16562" s="1"/>
  <c r="CI16" i="1"/>
  <c r="DM76" i="2"/>
  <c r="CI26" i="16562" s="1"/>
  <c r="CI26" i="1"/>
  <c r="DM77" i="2"/>
  <c r="CI27" i="1"/>
  <c r="DM67" i="2"/>
  <c r="CI17" i="16562" s="1"/>
  <c r="CI17" i="1"/>
  <c r="DM68" i="2"/>
  <c r="CI18" i="16562" s="1"/>
  <c r="CI18" i="1"/>
  <c r="DG22" i="2" l="1"/>
  <c r="CJ26" i="2"/>
  <c r="CK26" i="2" s="1"/>
  <c r="Y31" i="16556"/>
  <c r="DA23" i="2"/>
  <c r="AH29" i="16556"/>
  <c r="CI28" i="16562"/>
  <c r="CI27" i="16556"/>
  <c r="DB23" i="2"/>
  <c r="DC23" i="2" s="1"/>
  <c r="AK28" i="16556"/>
  <c r="CO25" i="2"/>
  <c r="Z31" i="16556"/>
  <c r="CP25" i="2"/>
  <c r="CQ25" i="2" s="1"/>
  <c r="AC30" i="16556"/>
  <c r="CV24" i="2"/>
  <c r="CW24" i="2" s="1"/>
  <c r="AG29" i="16556"/>
  <c r="DE23" i="2"/>
  <c r="AM28" i="16556"/>
  <c r="CU24" i="2"/>
  <c r="AD30" i="16556"/>
  <c r="AO28" i="16562"/>
  <c r="DH22" i="2"/>
  <c r="DI22" i="2" s="1"/>
  <c r="CB28" i="1"/>
  <c r="DA84" i="2"/>
  <c r="CI14" i="16562"/>
  <c r="CI14" i="16556"/>
  <c r="CJ14" i="1"/>
  <c r="CI22" i="16556"/>
  <c r="CJ22" i="1"/>
  <c r="CI20" i="16556"/>
  <c r="CF23" i="16556"/>
  <c r="CF23" i="16562"/>
  <c r="CA24" i="16556"/>
  <c r="CA24" i="16562"/>
  <c r="CJ20" i="1"/>
  <c r="CJ21" i="1"/>
  <c r="CI21" i="16562"/>
  <c r="CB24" i="16556"/>
  <c r="CB24" i="16562"/>
  <c r="AP27" i="1"/>
  <c r="CI19" i="16556"/>
  <c r="CI19" i="16562"/>
  <c r="CF23" i="1"/>
  <c r="CE23" i="16562"/>
  <c r="CI15" i="16556"/>
  <c r="CI15" i="16562"/>
  <c r="DM21" i="2"/>
  <c r="AP28" i="16562"/>
  <c r="BX34" i="16556"/>
  <c r="BX34" i="16562"/>
  <c r="AQ27" i="1"/>
  <c r="BR140" i="4"/>
  <c r="BX116" i="4" s="1"/>
  <c r="BR117" i="4" s="1"/>
  <c r="BQ140" i="4"/>
  <c r="BP140" i="4"/>
  <c r="AQ26" i="16556"/>
  <c r="AR26" i="1"/>
  <c r="CI21" i="16556"/>
  <c r="CJ19" i="1"/>
  <c r="CJ15" i="1"/>
  <c r="CE23" i="16556"/>
  <c r="DF74" i="2"/>
  <c r="DD74" i="2"/>
  <c r="DD83" i="2" s="1"/>
  <c r="CB24" i="1"/>
  <c r="CC24" i="1"/>
  <c r="DJ73" i="2"/>
  <c r="DL73" i="2"/>
  <c r="BY35" i="1"/>
  <c r="CG23" i="1"/>
  <c r="CJ18" i="1"/>
  <c r="CI18" i="16556"/>
  <c r="CJ27" i="1"/>
  <c r="CJ16" i="1"/>
  <c r="CI16" i="16556"/>
  <c r="CJ17" i="1"/>
  <c r="CI17" i="16556"/>
  <c r="CJ26" i="1"/>
  <c r="CI26" i="16556"/>
  <c r="CJ25" i="1"/>
  <c r="CI25" i="16556"/>
  <c r="DD23" i="2" l="1"/>
  <c r="AJ29" i="16556"/>
  <c r="DJ22" i="2"/>
  <c r="AN28" i="16556"/>
  <c r="CX24" i="2"/>
  <c r="AF30" i="16556"/>
  <c r="DK22" i="2"/>
  <c r="DL22" i="2" s="1"/>
  <c r="AQ27" i="16556"/>
  <c r="CS25" i="2"/>
  <c r="CT25" i="2" s="1"/>
  <c r="AE30" i="16556"/>
  <c r="CR25" i="2"/>
  <c r="AB31" i="16556"/>
  <c r="CY24" i="2"/>
  <c r="CZ24" i="2" s="1"/>
  <c r="AI29" i="16556"/>
  <c r="DF23" i="2"/>
  <c r="CM26" i="2"/>
  <c r="CN26" i="2" s="1"/>
  <c r="AA31" i="16556"/>
  <c r="X32" i="16556"/>
  <c r="CL26" i="2"/>
  <c r="Y32" i="1"/>
  <c r="CD28" i="1"/>
  <c r="DD84" i="2"/>
  <c r="CH23" i="16556"/>
  <c r="CH23" i="16562"/>
  <c r="CG23" i="16556"/>
  <c r="CG23" i="16562"/>
  <c r="CC24" i="16556"/>
  <c r="CC24" i="16562"/>
  <c r="CD24" i="16556"/>
  <c r="CD24" i="16562"/>
  <c r="BZ34" i="16556"/>
  <c r="BZ34" i="16562"/>
  <c r="AQ28" i="16562"/>
  <c r="AR27" i="1"/>
  <c r="BX92" i="4"/>
  <c r="CA92" i="4" s="1"/>
  <c r="BW116" i="4"/>
  <c r="BQ117" i="4" s="1"/>
  <c r="BV116" i="4"/>
  <c r="BP117" i="4" s="1"/>
  <c r="CA35" i="1"/>
  <c r="DI74" i="2"/>
  <c r="DG74" i="2"/>
  <c r="DG83" i="2" s="1"/>
  <c r="CE24" i="1"/>
  <c r="CD24" i="1"/>
  <c r="CB34" i="16562"/>
  <c r="CH23" i="1"/>
  <c r="CI23" i="1"/>
  <c r="DM73" i="2"/>
  <c r="DG23" i="2" l="1"/>
  <c r="AL29" i="16556"/>
  <c r="DM22" i="2"/>
  <c r="AP28" i="16556"/>
  <c r="Y32" i="16556"/>
  <c r="Z32" i="1"/>
  <c r="CJ27" i="2"/>
  <c r="CK27" i="2" s="1"/>
  <c r="DA24" i="2"/>
  <c r="AH30" i="16556"/>
  <c r="CV25" i="2"/>
  <c r="CW25" i="2" s="1"/>
  <c r="AG30" i="16556"/>
  <c r="CP26" i="2"/>
  <c r="CQ26" i="2" s="1"/>
  <c r="AC31" i="16556"/>
  <c r="DH23" i="2"/>
  <c r="DI23" i="2" s="1"/>
  <c r="AO28" i="16556"/>
  <c r="Z32" i="16556"/>
  <c r="AA32" i="1"/>
  <c r="CO26" i="2"/>
  <c r="CU25" i="2"/>
  <c r="AD31" i="16556"/>
  <c r="DB24" i="2"/>
  <c r="DC24" i="2" s="1"/>
  <c r="AK29" i="16556"/>
  <c r="CF28" i="1"/>
  <c r="DG84" i="2"/>
  <c r="CF24" i="16556"/>
  <c r="CF24" i="16562"/>
  <c r="CI23" i="16556"/>
  <c r="CI23" i="16562"/>
  <c r="CE24" i="16556"/>
  <c r="CE24" i="16562"/>
  <c r="BU117" i="4"/>
  <c r="BX141" i="4" s="1"/>
  <c r="BS117" i="4"/>
  <c r="BZ141" i="4" s="1"/>
  <c r="BY141" i="4" s="1"/>
  <c r="BT117" i="4"/>
  <c r="BW141" i="4" s="1"/>
  <c r="BV92" i="4"/>
  <c r="BY92" i="4" s="1"/>
  <c r="BW92" i="4"/>
  <c r="BZ92" i="4" s="1"/>
  <c r="CC35" i="1"/>
  <c r="CF24" i="1"/>
  <c r="DJ74" i="2"/>
  <c r="DJ83" i="2" s="1"/>
  <c r="DL74" i="2"/>
  <c r="CG24" i="1"/>
  <c r="CB34" i="16556"/>
  <c r="CJ23" i="1"/>
  <c r="DJ23" i="2" l="1"/>
  <c r="AN29" i="16556"/>
  <c r="CY25" i="2"/>
  <c r="CZ25" i="2" s="1"/>
  <c r="AI30" i="16556"/>
  <c r="Y33" i="1"/>
  <c r="Y28" i="1"/>
  <c r="X33" i="16562"/>
  <c r="X33" i="16556"/>
  <c r="CL27" i="2"/>
  <c r="AB32" i="16556"/>
  <c r="CR26" i="2"/>
  <c r="AC32" i="1"/>
  <c r="AA32" i="16556"/>
  <c r="AB32" i="1"/>
  <c r="CM27" i="2"/>
  <c r="CN27" i="2" s="1"/>
  <c r="DK23" i="2"/>
  <c r="DL23" i="2" s="1"/>
  <c r="AQ28" i="16556"/>
  <c r="DD24" i="2"/>
  <c r="AJ30" i="16556"/>
  <c r="CS26" i="2"/>
  <c r="CT26" i="2" s="1"/>
  <c r="AE31" i="16556"/>
  <c r="CX25" i="2"/>
  <c r="AF31" i="16556"/>
  <c r="DE24" i="2"/>
  <c r="DF24" i="2" s="1"/>
  <c r="AM29" i="16556"/>
  <c r="DJ84" i="2"/>
  <c r="CH28" i="1"/>
  <c r="CH24" i="16556"/>
  <c r="CH24" i="16562"/>
  <c r="CG24" i="16556"/>
  <c r="CG24" i="16562"/>
  <c r="CE35" i="1"/>
  <c r="CD34" i="16562"/>
  <c r="BV141" i="4"/>
  <c r="BS141" i="4" s="1"/>
  <c r="CD34" i="16556"/>
  <c r="DM74" i="2"/>
  <c r="DM83" i="2" s="1"/>
  <c r="CF34" i="16562"/>
  <c r="CH24" i="1"/>
  <c r="CI24" i="1"/>
  <c r="CK36" i="2"/>
  <c r="DG24" i="2" l="1"/>
  <c r="AL30" i="16556"/>
  <c r="Z28" i="1"/>
  <c r="Y33" i="16556"/>
  <c r="Z33" i="1"/>
  <c r="Y33" i="16562"/>
  <c r="CV26" i="2"/>
  <c r="CW26" i="2" s="1"/>
  <c r="AG31" i="16556"/>
  <c r="AA33" i="1"/>
  <c r="Z33" i="16562"/>
  <c r="CO27" i="2"/>
  <c r="AA28" i="1"/>
  <c r="Z33" i="16556"/>
  <c r="AD32" i="16556"/>
  <c r="AE32" i="1"/>
  <c r="CU26" i="2"/>
  <c r="AC32" i="16556"/>
  <c r="AD32" i="1"/>
  <c r="CP27" i="2"/>
  <c r="CQ27" i="2" s="1"/>
  <c r="DB25" i="2"/>
  <c r="DC25" i="2" s="1"/>
  <c r="AK30" i="16556"/>
  <c r="DA25" i="2"/>
  <c r="AH31" i="16556"/>
  <c r="DM23" i="2"/>
  <c r="AP29" i="16556"/>
  <c r="DH24" i="2"/>
  <c r="DI24" i="2" s="1"/>
  <c r="AO29" i="16556"/>
  <c r="CJ28" i="1"/>
  <c r="DM84" i="2"/>
  <c r="CI24" i="16556"/>
  <c r="CI24" i="16562"/>
  <c r="AT13" i="16556"/>
  <c r="AT13" i="16562"/>
  <c r="BT141" i="4"/>
  <c r="BU141" i="4"/>
  <c r="CG35" i="1"/>
  <c r="CF34" i="16556"/>
  <c r="CH34" i="16562"/>
  <c r="CJ24" i="1"/>
  <c r="CL36" i="2"/>
  <c r="AU13" i="16562" s="1"/>
  <c r="AU13" i="1"/>
  <c r="CN36" i="2"/>
  <c r="AE32" i="16556" l="1"/>
  <c r="AF32" i="1"/>
  <c r="CS27" i="2"/>
  <c r="CT27" i="2" s="1"/>
  <c r="DE25" i="2"/>
  <c r="DF25" i="2" s="1"/>
  <c r="AM30" i="16556"/>
  <c r="CY26" i="2"/>
  <c r="CZ26" i="2" s="1"/>
  <c r="AI31" i="16556"/>
  <c r="AF32" i="16556"/>
  <c r="CX26" i="2"/>
  <c r="AG32" i="1"/>
  <c r="DJ24" i="2"/>
  <c r="AN30" i="16556"/>
  <c r="AC33" i="1"/>
  <c r="CR27" i="2"/>
  <c r="AC28" i="1"/>
  <c r="AB33" i="16556"/>
  <c r="AB33" i="16562"/>
  <c r="AA33" i="16562"/>
  <c r="AA33" i="16556"/>
  <c r="AB33" i="1"/>
  <c r="AB28" i="1"/>
  <c r="DD25" i="2"/>
  <c r="AJ31" i="16556"/>
  <c r="DK24" i="2"/>
  <c r="DL24" i="2" s="1"/>
  <c r="AQ29" i="16556"/>
  <c r="AV13" i="16556"/>
  <c r="AV13" i="16562"/>
  <c r="CJ37" i="2"/>
  <c r="BO141" i="4"/>
  <c r="AU13" i="16556"/>
  <c r="CH34" i="16556"/>
  <c r="E58" i="2"/>
  <c r="CI35" i="1"/>
  <c r="F58" i="2"/>
  <c r="CO36" i="2"/>
  <c r="AW13" i="1"/>
  <c r="AV13" i="1"/>
  <c r="CQ36" i="2"/>
  <c r="DM24" i="2" l="1"/>
  <c r="AP30" i="16556"/>
  <c r="DB26" i="2"/>
  <c r="DC26" i="2" s="1"/>
  <c r="AK31" i="16556"/>
  <c r="AC33" i="16556"/>
  <c r="AD33" i="1"/>
  <c r="AC33" i="16562"/>
  <c r="AD28" i="1"/>
  <c r="AH32" i="16556"/>
  <c r="AI32" i="1"/>
  <c r="DA26" i="2"/>
  <c r="DH25" i="2"/>
  <c r="DI25" i="2" s="1"/>
  <c r="AO30" i="16556"/>
  <c r="DG25" i="2"/>
  <c r="AL31" i="16556"/>
  <c r="AG32" i="16556"/>
  <c r="AH32" i="1"/>
  <c r="CV27" i="2"/>
  <c r="CW27" i="2" s="1"/>
  <c r="AD33" i="16556"/>
  <c r="CU27" i="2"/>
  <c r="AD33" i="16562"/>
  <c r="AE33" i="1"/>
  <c r="AE28" i="1"/>
  <c r="AW13" i="16562"/>
  <c r="AX13" i="16556"/>
  <c r="AX13" i="16562"/>
  <c r="AW13" i="16556"/>
  <c r="BP141" i="4"/>
  <c r="BV117" i="4" s="1"/>
  <c r="BP118" i="4" s="1"/>
  <c r="BR141" i="4"/>
  <c r="BX117" i="4" s="1"/>
  <c r="BR118" i="4" s="1"/>
  <c r="BQ141" i="4"/>
  <c r="BW117" i="4" s="1"/>
  <c r="BQ118" i="4" s="1"/>
  <c r="G58" i="2"/>
  <c r="H58" i="2"/>
  <c r="C50" i="16562" s="1"/>
  <c r="CR36" i="2"/>
  <c r="AY13" i="1"/>
  <c r="CM37" i="2"/>
  <c r="AX13" i="1"/>
  <c r="CK37" i="2"/>
  <c r="CT36" i="2"/>
  <c r="DJ25" i="2" l="1"/>
  <c r="AN31" i="16556"/>
  <c r="DE26" i="2"/>
  <c r="DF26" i="2" s="1"/>
  <c r="AM31" i="16556"/>
  <c r="AF33" i="1"/>
  <c r="AF28" i="1"/>
  <c r="AE33" i="16562"/>
  <c r="AE33" i="16556"/>
  <c r="AJ32" i="16556"/>
  <c r="DD26" i="2"/>
  <c r="AK32" i="1"/>
  <c r="AF33" i="16556"/>
  <c r="CX27" i="2"/>
  <c r="AG28" i="1"/>
  <c r="AG33" i="1"/>
  <c r="AF33" i="16562"/>
  <c r="AI32" i="16556"/>
  <c r="AJ32" i="1"/>
  <c r="CY27" i="2"/>
  <c r="CZ27" i="2" s="1"/>
  <c r="DK25" i="2"/>
  <c r="DL25" i="2" s="1"/>
  <c r="AQ30" i="16556"/>
  <c r="AY13" i="16562"/>
  <c r="AT14" i="16556"/>
  <c r="AT14" i="16562"/>
  <c r="AZ13" i="16556"/>
  <c r="AZ13" i="16562"/>
  <c r="AY13" i="16556"/>
  <c r="BS118" i="4"/>
  <c r="BZ142" i="4" s="1"/>
  <c r="BY142" i="4" s="1"/>
  <c r="BU118" i="4"/>
  <c r="BX142" i="4" s="1"/>
  <c r="BT118" i="4"/>
  <c r="BX93" i="4"/>
  <c r="CA93" i="4" s="1"/>
  <c r="GU7" i="2" s="1"/>
  <c r="BW93" i="4"/>
  <c r="BZ93" i="4" s="1"/>
  <c r="GT7" i="2" s="1"/>
  <c r="BV93" i="4"/>
  <c r="BY93" i="4" s="1"/>
  <c r="GS7" i="2" s="1"/>
  <c r="C50" i="16556"/>
  <c r="A58" i="2"/>
  <c r="C56" i="1"/>
  <c r="CU36" i="2"/>
  <c r="BA13" i="1"/>
  <c r="CP37" i="2"/>
  <c r="AZ13" i="1"/>
  <c r="CL37" i="2"/>
  <c r="AU14" i="16562" s="1"/>
  <c r="AU14" i="1"/>
  <c r="CN37" i="2"/>
  <c r="AV14" i="16562" s="1"/>
  <c r="CW36" i="2"/>
  <c r="AI33" i="1" l="1"/>
  <c r="AI28" i="1"/>
  <c r="AH33" i="16556"/>
  <c r="AH33" i="16562"/>
  <c r="DA27" i="2"/>
  <c r="DH26" i="2"/>
  <c r="DI26" i="2" s="1"/>
  <c r="AO31" i="16556"/>
  <c r="AK32" i="16556"/>
  <c r="AL32" i="1"/>
  <c r="DB27" i="2"/>
  <c r="DC27" i="2" s="1"/>
  <c r="AL32" i="16556"/>
  <c r="AM32" i="1"/>
  <c r="DG26" i="2"/>
  <c r="DM25" i="2"/>
  <c r="AP31" i="16556"/>
  <c r="AG33" i="16556"/>
  <c r="AH33" i="1"/>
  <c r="AG33" i="16562"/>
  <c r="AH28" i="1"/>
  <c r="BA13" i="16562"/>
  <c r="BB13" i="16556"/>
  <c r="BB13" i="16562"/>
  <c r="CJ38" i="2"/>
  <c r="CK38" i="2" s="1"/>
  <c r="BA13" i="16556"/>
  <c r="BV142" i="4"/>
  <c r="BW142" i="4"/>
  <c r="AU14" i="16556"/>
  <c r="AW14" i="1"/>
  <c r="AV14" i="16556"/>
  <c r="CX36" i="2"/>
  <c r="BC13" i="1"/>
  <c r="CS37" i="2"/>
  <c r="BB13" i="1"/>
  <c r="CO37" i="2"/>
  <c r="CQ37" i="2"/>
  <c r="AV14" i="1"/>
  <c r="CZ36" i="2"/>
  <c r="DK26" i="2" l="1"/>
  <c r="DL26" i="2" s="1"/>
  <c r="AQ31" i="16556"/>
  <c r="AN32" i="16556"/>
  <c r="AO32" i="1"/>
  <c r="DJ26" i="2"/>
  <c r="AK28" i="1"/>
  <c r="DD27" i="2"/>
  <c r="AJ33" i="16562"/>
  <c r="AJ33" i="16556"/>
  <c r="AK33" i="1"/>
  <c r="AM32" i="16556"/>
  <c r="AN32" i="1"/>
  <c r="DE27" i="2"/>
  <c r="DF27" i="2" s="1"/>
  <c r="AI33" i="16562"/>
  <c r="AJ33" i="1"/>
  <c r="AI33" i="16556"/>
  <c r="AJ28" i="1"/>
  <c r="BC13" i="16562"/>
  <c r="AW14" i="16562"/>
  <c r="AX14" i="16556"/>
  <c r="AX14" i="16562"/>
  <c r="AT15" i="16556"/>
  <c r="AT15" i="16562"/>
  <c r="BD13" i="16556"/>
  <c r="BD13" i="16562"/>
  <c r="BC13" i="16556"/>
  <c r="BT142" i="4"/>
  <c r="BS142" i="4"/>
  <c r="BU142" i="4"/>
  <c r="CM38" i="2"/>
  <c r="CN38" i="2" s="1"/>
  <c r="AW14" i="16556"/>
  <c r="AU15" i="1"/>
  <c r="CL38" i="2"/>
  <c r="AU15" i="16562" s="1"/>
  <c r="CT37" i="2"/>
  <c r="AZ14" i="16562" s="1"/>
  <c r="CR37" i="2"/>
  <c r="AY14" i="1"/>
  <c r="AX14" i="1"/>
  <c r="DA36" i="2"/>
  <c r="BE13" i="1"/>
  <c r="CV37" i="2"/>
  <c r="BD13" i="1"/>
  <c r="DC36" i="2"/>
  <c r="BF13" i="16562" s="1"/>
  <c r="AL28" i="1" l="1"/>
  <c r="AK33" i="16562"/>
  <c r="AK33" i="16556"/>
  <c r="AL33" i="1"/>
  <c r="AL33" i="16556"/>
  <c r="AM28" i="1"/>
  <c r="AL33" i="16562"/>
  <c r="AM33" i="1"/>
  <c r="DG27" i="2"/>
  <c r="AO32" i="16556"/>
  <c r="AP32" i="1"/>
  <c r="DH27" i="2"/>
  <c r="DI27" i="2" s="1"/>
  <c r="AP32" i="16556"/>
  <c r="DM26" i="2"/>
  <c r="AQ32" i="1"/>
  <c r="BE13" i="16562"/>
  <c r="AY14" i="16562"/>
  <c r="AV15" i="16556"/>
  <c r="AV15" i="16562"/>
  <c r="BE13" i="16556"/>
  <c r="BO142" i="4"/>
  <c r="BR142" i="4" s="1"/>
  <c r="BX118" i="4" s="1"/>
  <c r="BR119" i="4" s="1"/>
  <c r="CJ39" i="2"/>
  <c r="CK39" i="2" s="1"/>
  <c r="BF13" i="16556"/>
  <c r="AW15" i="1"/>
  <c r="CU37" i="2"/>
  <c r="AZ14" i="16556"/>
  <c r="CO38" i="2"/>
  <c r="AV15" i="1"/>
  <c r="AU15" i="16556"/>
  <c r="CP38" i="2"/>
  <c r="CQ38" i="2" s="1"/>
  <c r="AY14" i="16556"/>
  <c r="CW37" i="2"/>
  <c r="BB14" i="16562" s="1"/>
  <c r="BA14" i="1"/>
  <c r="CY37" i="2"/>
  <c r="BF13" i="1"/>
  <c r="AZ14" i="1"/>
  <c r="DD36" i="2"/>
  <c r="BG13" i="1"/>
  <c r="DF36" i="2"/>
  <c r="AQ32" i="16556" l="1"/>
  <c r="AR32" i="1"/>
  <c r="DK27" i="2"/>
  <c r="DL27" i="2" s="1"/>
  <c r="DJ27" i="2"/>
  <c r="AO28" i="1"/>
  <c r="AN33" i="16556"/>
  <c r="AN33" i="16562"/>
  <c r="AO33" i="1"/>
  <c r="AN28" i="1"/>
  <c r="AM33" i="16562"/>
  <c r="AN33" i="1"/>
  <c r="AM33" i="16556"/>
  <c r="BA14" i="16562"/>
  <c r="BG13" i="16562"/>
  <c r="AW15" i="16562"/>
  <c r="BH13" i="16556"/>
  <c r="BH13" i="16562"/>
  <c r="AX15" i="16556"/>
  <c r="AX15" i="16562"/>
  <c r="CL39" i="2"/>
  <c r="AV16" i="1" s="1"/>
  <c r="AT16" i="16562"/>
  <c r="BG13" i="16556"/>
  <c r="BX94" i="4"/>
  <c r="BP142" i="4"/>
  <c r="BV118" i="4" s="1"/>
  <c r="BP119" i="4" s="1"/>
  <c r="BQ142" i="4"/>
  <c r="BW118" i="4" s="1"/>
  <c r="BQ119" i="4" s="1"/>
  <c r="AU16" i="1"/>
  <c r="AT16" i="16556"/>
  <c r="CM39" i="2"/>
  <c r="CN39" i="2" s="1"/>
  <c r="AV16" i="16562" s="1"/>
  <c r="BB14" i="1"/>
  <c r="CX37" i="2"/>
  <c r="BB14" i="16556"/>
  <c r="CR38" i="2"/>
  <c r="AY15" i="1"/>
  <c r="AX15" i="1"/>
  <c r="AW15" i="16556"/>
  <c r="CS38" i="2"/>
  <c r="CT38" i="2" s="1"/>
  <c r="BA14" i="16556"/>
  <c r="CZ37" i="2"/>
  <c r="BD14" i="16562" s="1"/>
  <c r="BC14" i="1"/>
  <c r="DB37" i="2"/>
  <c r="BH13" i="1"/>
  <c r="DG36" i="2"/>
  <c r="BI13" i="1"/>
  <c r="DI36" i="2"/>
  <c r="AP33" i="1" l="1"/>
  <c r="AP28" i="1"/>
  <c r="AO33" i="16562"/>
  <c r="AO33" i="16556"/>
  <c r="AP33" i="16556"/>
  <c r="DM27" i="2"/>
  <c r="AQ28" i="1"/>
  <c r="AP33" i="16562"/>
  <c r="AQ33" i="1"/>
  <c r="BC14" i="16562"/>
  <c r="AY15" i="16562"/>
  <c r="BI13" i="16562"/>
  <c r="AU16" i="16556"/>
  <c r="CA94" i="4"/>
  <c r="U22" i="16562"/>
  <c r="U22" i="16556"/>
  <c r="CJ40" i="2"/>
  <c r="CK40" i="2" s="1"/>
  <c r="AU16" i="16562"/>
  <c r="AZ15" i="16556"/>
  <c r="AZ15" i="16562"/>
  <c r="BJ13" i="16556"/>
  <c r="BJ13" i="16562"/>
  <c r="BI13" i="16556"/>
  <c r="BS119" i="4"/>
  <c r="BZ143" i="4" s="1"/>
  <c r="BY143" i="4" s="1"/>
  <c r="BT119" i="4"/>
  <c r="BW143" i="4" s="1"/>
  <c r="BU119" i="4"/>
  <c r="BX143" i="4" s="1"/>
  <c r="BW94" i="4"/>
  <c r="BV94" i="4"/>
  <c r="CP39" i="2"/>
  <c r="CQ39" i="2" s="1"/>
  <c r="AV16" i="16556"/>
  <c r="AW16" i="1"/>
  <c r="CO39" i="2"/>
  <c r="BD14" i="1"/>
  <c r="AZ15" i="1"/>
  <c r="AY15" i="16556"/>
  <c r="CU38" i="2"/>
  <c r="BA15" i="1"/>
  <c r="DA37" i="2"/>
  <c r="BD14" i="16556"/>
  <c r="CV38" i="2"/>
  <c r="CW38" i="2" s="1"/>
  <c r="BC14" i="16556"/>
  <c r="BE14" i="1"/>
  <c r="DC37" i="2"/>
  <c r="BF14" i="16562" s="1"/>
  <c r="DE37" i="2"/>
  <c r="BJ13" i="1"/>
  <c r="DJ36" i="2"/>
  <c r="BK13" i="1"/>
  <c r="DL36" i="2"/>
  <c r="AR33" i="1" l="1"/>
  <c r="AR28" i="1"/>
  <c r="AQ33" i="16562"/>
  <c r="AQ33" i="16556"/>
  <c r="BK13" i="16562"/>
  <c r="BE14" i="16562"/>
  <c r="BA15" i="16562"/>
  <c r="AW16" i="16562"/>
  <c r="BY94" i="4"/>
  <c r="S22" i="16562"/>
  <c r="S22" i="16556"/>
  <c r="T22" i="16562"/>
  <c r="T22" i="16556"/>
  <c r="BL13" i="16556"/>
  <c r="BL13" i="16562"/>
  <c r="CX38" i="2"/>
  <c r="BB15" i="16562"/>
  <c r="AT17" i="16562"/>
  <c r="CL40" i="2"/>
  <c r="AU17" i="1"/>
  <c r="AT17" i="16556"/>
  <c r="AX16" i="16556"/>
  <c r="AX16" i="16562"/>
  <c r="BK13" i="16556"/>
  <c r="CM40" i="2"/>
  <c r="CN40" i="2" s="1"/>
  <c r="BZ94" i="4"/>
  <c r="BV143" i="4"/>
  <c r="BU143" i="4" s="1"/>
  <c r="CR39" i="2"/>
  <c r="AY16" i="1"/>
  <c r="AX16" i="1"/>
  <c r="AW16" i="16556"/>
  <c r="BA15" i="16556"/>
  <c r="CS39" i="2"/>
  <c r="CT39" i="2" s="1"/>
  <c r="AZ16" i="16562" s="1"/>
  <c r="BB15" i="1"/>
  <c r="CY38" i="2"/>
  <c r="CZ38" i="2" s="1"/>
  <c r="BD15" i="16562" s="1"/>
  <c r="BE14" i="16556"/>
  <c r="BF14" i="1"/>
  <c r="DD37" i="2"/>
  <c r="BF14" i="16556"/>
  <c r="BC15" i="1"/>
  <c r="BB15" i="16556"/>
  <c r="DF37" i="2"/>
  <c r="BH14" i="16562" s="1"/>
  <c r="BG14" i="1"/>
  <c r="DH37" i="2"/>
  <c r="BL13" i="1"/>
  <c r="DM36" i="2"/>
  <c r="BM13" i="1"/>
  <c r="BD15" i="1" l="1"/>
  <c r="BM13" i="16562"/>
  <c r="BG14" i="16562"/>
  <c r="AY16" i="16562"/>
  <c r="BC15" i="16556"/>
  <c r="CV39" i="2"/>
  <c r="CW39" i="2" s="1"/>
  <c r="BB16" i="16562" s="1"/>
  <c r="BC15" i="16562"/>
  <c r="AV17" i="16556"/>
  <c r="AV17" i="16562"/>
  <c r="AU17" i="16562"/>
  <c r="AU17" i="16556"/>
  <c r="CJ41" i="2"/>
  <c r="CK41" i="2" s="1"/>
  <c r="AV17" i="1"/>
  <c r="AW17" i="1"/>
  <c r="CO40" i="2"/>
  <c r="BT143" i="4"/>
  <c r="BS143" i="4"/>
  <c r="CP40" i="2"/>
  <c r="CQ40" i="2" s="1"/>
  <c r="AX17" i="16562" s="1"/>
  <c r="BM13" i="16556"/>
  <c r="AZ16" i="1"/>
  <c r="AY16" i="16556"/>
  <c r="CU39" i="2"/>
  <c r="BA16" i="1"/>
  <c r="AZ16" i="16556"/>
  <c r="BE15" i="1"/>
  <c r="BD15" i="16556"/>
  <c r="BI14" i="1"/>
  <c r="BH14" i="16556"/>
  <c r="DB38" i="2"/>
  <c r="DC38" i="2" s="1"/>
  <c r="BF15" i="16562" s="1"/>
  <c r="BG14" i="16556"/>
  <c r="DA38" i="2"/>
  <c r="BH14" i="1"/>
  <c r="DI37" i="2"/>
  <c r="BJ14" i="16562" s="1"/>
  <c r="DG37" i="2"/>
  <c r="DK37" i="2"/>
  <c r="BN13" i="1"/>
  <c r="BI14" i="16562" l="1"/>
  <c r="BE15" i="16562"/>
  <c r="BA16" i="16562"/>
  <c r="AT18" i="16562"/>
  <c r="CL41" i="2"/>
  <c r="AT18" i="16556"/>
  <c r="AU18" i="1"/>
  <c r="AW17" i="16556"/>
  <c r="AW17" i="16562"/>
  <c r="CS40" i="2"/>
  <c r="CT40" i="2" s="1"/>
  <c r="AX17" i="1"/>
  <c r="CM41" i="2"/>
  <c r="CN41" i="2" s="1"/>
  <c r="AV18" i="16562" s="1"/>
  <c r="BO143" i="4"/>
  <c r="BQ143" i="4" s="1"/>
  <c r="AX17" i="16556"/>
  <c r="CR40" i="2"/>
  <c r="AY17" i="1"/>
  <c r="CY39" i="2"/>
  <c r="CZ39" i="2" s="1"/>
  <c r="BD16" i="16562" s="1"/>
  <c r="BI14" i="16556"/>
  <c r="BB16" i="1"/>
  <c r="BA16" i="16556"/>
  <c r="BC16" i="1"/>
  <c r="CX39" i="2"/>
  <c r="BB16" i="16556"/>
  <c r="BF15" i="16556"/>
  <c r="BG15" i="1"/>
  <c r="DD38" i="2"/>
  <c r="BF15" i="1"/>
  <c r="BE15" i="16556"/>
  <c r="DJ37" i="2"/>
  <c r="BJ14" i="16556"/>
  <c r="DE38" i="2"/>
  <c r="DF38" i="2" s="1"/>
  <c r="BH15" i="16562" s="1"/>
  <c r="BJ14" i="1"/>
  <c r="BK14" i="1"/>
  <c r="DL37" i="2"/>
  <c r="BL14" i="16562" s="1"/>
  <c r="BG15" i="16562" l="1"/>
  <c r="AY17" i="16562"/>
  <c r="BC16" i="16562"/>
  <c r="BK14" i="16562"/>
  <c r="AZ17" i="16556"/>
  <c r="AZ17" i="16562"/>
  <c r="AU18" i="16562"/>
  <c r="AU18" i="16556"/>
  <c r="AV18" i="1"/>
  <c r="CJ42" i="2"/>
  <c r="CK42" i="2" s="1"/>
  <c r="AV18" i="16556"/>
  <c r="AW18" i="1"/>
  <c r="CO41" i="2"/>
  <c r="AW18" i="16562" s="1"/>
  <c r="CV40" i="2"/>
  <c r="CW40" i="2" s="1"/>
  <c r="CP41" i="2"/>
  <c r="CQ41" i="2" s="1"/>
  <c r="AX18" i="16562" s="1"/>
  <c r="BP143" i="4"/>
  <c r="BV119" i="4" s="1"/>
  <c r="BP120" i="4" s="1"/>
  <c r="BR143" i="4"/>
  <c r="CU40" i="2"/>
  <c r="BA17" i="1"/>
  <c r="DB39" i="2"/>
  <c r="DC39" i="2" s="1"/>
  <c r="BF16" i="16562" s="1"/>
  <c r="AY17" i="16556"/>
  <c r="AZ17" i="1"/>
  <c r="BC16" i="16556"/>
  <c r="BD16" i="1"/>
  <c r="BD16" i="16556"/>
  <c r="DA39" i="2"/>
  <c r="BE16" i="1"/>
  <c r="DH38" i="2"/>
  <c r="BK14" i="16556"/>
  <c r="BL14" i="1"/>
  <c r="BH15" i="1"/>
  <c r="BG15" i="16556"/>
  <c r="DM37" i="2"/>
  <c r="BL14" i="16556"/>
  <c r="BH15" i="16556"/>
  <c r="BI15" i="1"/>
  <c r="DG38" i="2"/>
  <c r="BM14" i="1"/>
  <c r="BA17" i="16562" l="1"/>
  <c r="BM14" i="16562"/>
  <c r="BE16" i="16562"/>
  <c r="BI15" i="16562"/>
  <c r="BC17" i="1"/>
  <c r="BB17" i="16562"/>
  <c r="AT19" i="16562"/>
  <c r="CL42" i="2"/>
  <c r="AU19" i="1"/>
  <c r="AT19" i="16556"/>
  <c r="AX18" i="16556"/>
  <c r="CR41" i="2"/>
  <c r="AY18" i="16562" s="1"/>
  <c r="AY18" i="1"/>
  <c r="AW18" i="16556"/>
  <c r="AX18" i="1"/>
  <c r="CM42" i="2"/>
  <c r="CN42" i="2" s="1"/>
  <c r="AV19" i="16562" s="1"/>
  <c r="CY40" i="2"/>
  <c r="CZ40" i="2" s="1"/>
  <c r="CS41" i="2"/>
  <c r="CT41" i="2" s="1"/>
  <c r="AZ18" i="16562" s="1"/>
  <c r="BV95" i="4"/>
  <c r="S23" i="16562" s="1"/>
  <c r="BX119" i="4"/>
  <c r="BR120" i="4" s="1"/>
  <c r="BW119" i="4"/>
  <c r="BQ120" i="4" s="1"/>
  <c r="BA17" i="16556"/>
  <c r="CX40" i="2"/>
  <c r="BB17" i="1"/>
  <c r="BB17" i="16556"/>
  <c r="DI38" i="2"/>
  <c r="BF16" i="1"/>
  <c r="BE16" i="16556"/>
  <c r="BI15" i="16556"/>
  <c r="DE39" i="2"/>
  <c r="DF39" i="2" s="1"/>
  <c r="BH16" i="16562" s="1"/>
  <c r="BG16" i="1"/>
  <c r="BF16" i="16556"/>
  <c r="DD39" i="2"/>
  <c r="BN14" i="1"/>
  <c r="DK38" i="2"/>
  <c r="BM14" i="16556"/>
  <c r="BJ15" i="1"/>
  <c r="BG16" i="16562" l="1"/>
  <c r="BC17" i="16562"/>
  <c r="AU19" i="16562"/>
  <c r="AV19" i="1"/>
  <c r="CJ43" i="2"/>
  <c r="CK43" i="2" s="1"/>
  <c r="AU19" i="16556"/>
  <c r="BJ15" i="16556"/>
  <c r="BJ15" i="16562"/>
  <c r="BD17" i="16556"/>
  <c r="BD17" i="16562"/>
  <c r="BY95" i="4"/>
  <c r="GP9" i="2" s="1"/>
  <c r="S23" i="16556"/>
  <c r="AY18" i="16556"/>
  <c r="AZ18" i="1"/>
  <c r="CP42" i="2"/>
  <c r="CQ42" i="2" s="1"/>
  <c r="AX19" i="16562" s="1"/>
  <c r="AV19" i="16556"/>
  <c r="AW19" i="1"/>
  <c r="CO42" i="2"/>
  <c r="AW19" i="16562" s="1"/>
  <c r="AZ18" i="16556"/>
  <c r="CU41" i="2"/>
  <c r="BA18" i="16562" s="1"/>
  <c r="BA18" i="1"/>
  <c r="DB40" i="2"/>
  <c r="DC40" i="2" s="1"/>
  <c r="CV41" i="2"/>
  <c r="CW41" i="2" s="1"/>
  <c r="BB18" i="16562" s="1"/>
  <c r="BW95" i="4"/>
  <c r="T23" i="16562" s="1"/>
  <c r="BX95" i="4"/>
  <c r="BS120" i="4"/>
  <c r="BD17" i="1"/>
  <c r="BC17" i="16556"/>
  <c r="DA40" i="2"/>
  <c r="BE17" i="1"/>
  <c r="DL38" i="2"/>
  <c r="DJ38" i="2"/>
  <c r="BK15" i="1"/>
  <c r="BG16" i="16556"/>
  <c r="BH16" i="1"/>
  <c r="BH16" i="16556"/>
  <c r="DG39" i="2"/>
  <c r="BI16" i="1"/>
  <c r="BI16" i="16562" l="1"/>
  <c r="BE17" i="16562"/>
  <c r="BK15" i="16562"/>
  <c r="BL15" i="16556"/>
  <c r="BL15" i="16562"/>
  <c r="BG17" i="1"/>
  <c r="BF17" i="16562"/>
  <c r="AT20" i="16562"/>
  <c r="AT20" i="16556"/>
  <c r="CL43" i="2"/>
  <c r="AU20" i="1"/>
  <c r="U23" i="16556"/>
  <c r="U23" i="16562"/>
  <c r="BZ95" i="4"/>
  <c r="T23" i="16556"/>
  <c r="AY19" i="1"/>
  <c r="CR42" i="2"/>
  <c r="AY19" i="16562" s="1"/>
  <c r="AX19" i="16556"/>
  <c r="DH39" i="2"/>
  <c r="DI39" i="2" s="1"/>
  <c r="AX19" i="1"/>
  <c r="AW19" i="16556"/>
  <c r="CM43" i="2"/>
  <c r="CN43" i="2" s="1"/>
  <c r="AV20" i="16562" s="1"/>
  <c r="DE40" i="2"/>
  <c r="DF40" i="2" s="1"/>
  <c r="BF17" i="1"/>
  <c r="CY41" i="2"/>
  <c r="CZ41" i="2" s="1"/>
  <c r="BD18" i="16562" s="1"/>
  <c r="BB18" i="1"/>
  <c r="BA18" i="16556"/>
  <c r="CS42" i="2"/>
  <c r="CT42" i="2" s="1"/>
  <c r="AZ19" i="16562" s="1"/>
  <c r="BB18" i="16556"/>
  <c r="CX41" i="2"/>
  <c r="BC18" i="16562" s="1"/>
  <c r="BC18" i="1"/>
  <c r="CA95" i="4"/>
  <c r="BT120" i="4"/>
  <c r="BU120" i="4"/>
  <c r="BE17" i="16556"/>
  <c r="DD40" i="2"/>
  <c r="BF17" i="16556"/>
  <c r="BK15" i="16556"/>
  <c r="BL15" i="1"/>
  <c r="DM38" i="2"/>
  <c r="BM15" i="1"/>
  <c r="BI16" i="16556"/>
  <c r="BJ16" i="1"/>
  <c r="BG17" i="16562" l="1"/>
  <c r="BM15" i="16562"/>
  <c r="DG40" i="2"/>
  <c r="BH17" i="16562"/>
  <c r="AU20" i="16562"/>
  <c r="AV20" i="1"/>
  <c r="CJ44" i="2"/>
  <c r="CK44" i="2" s="1"/>
  <c r="AU20" i="16556"/>
  <c r="DJ39" i="2"/>
  <c r="BJ16" i="16562"/>
  <c r="DE41" i="2"/>
  <c r="BH17" i="1"/>
  <c r="DB41" i="2"/>
  <c r="DC41" i="2" s="1"/>
  <c r="BF18" i="16562" s="1"/>
  <c r="BC18" i="16556"/>
  <c r="BD18" i="1"/>
  <c r="CV42" i="2"/>
  <c r="CW42" i="2" s="1"/>
  <c r="BB19" i="16562" s="1"/>
  <c r="AZ19" i="16556"/>
  <c r="CU42" i="2"/>
  <c r="BA19" i="16562" s="1"/>
  <c r="BA19" i="1"/>
  <c r="AZ19" i="1"/>
  <c r="AY19" i="16556"/>
  <c r="CP43" i="2"/>
  <c r="CQ43" i="2" s="1"/>
  <c r="AX20" i="16562" s="1"/>
  <c r="BD18" i="16556"/>
  <c r="BE18" i="1"/>
  <c r="DA41" i="2"/>
  <c r="BE18" i="16562" s="1"/>
  <c r="CO43" i="2"/>
  <c r="AW20" i="16562" s="1"/>
  <c r="AV20" i="16556"/>
  <c r="AW20" i="1"/>
  <c r="BZ144" i="4"/>
  <c r="BY144" i="4" s="1"/>
  <c r="BX144" i="4"/>
  <c r="BW144" i="4"/>
  <c r="BV144" i="4"/>
  <c r="BI17" i="1"/>
  <c r="BH17" i="16556"/>
  <c r="BG17" i="16556"/>
  <c r="BM15" i="16556"/>
  <c r="DK39" i="2"/>
  <c r="DL39" i="2" s="1"/>
  <c r="BN15" i="1"/>
  <c r="BJ16" i="16556"/>
  <c r="BK16" i="1"/>
  <c r="BI17" i="16562" l="1"/>
  <c r="BK16" i="16556"/>
  <c r="BJ17" i="1"/>
  <c r="BI17" i="16556"/>
  <c r="AT21" i="16562"/>
  <c r="AT21" i="16556"/>
  <c r="AU21" i="1"/>
  <c r="CL44" i="2"/>
  <c r="DH40" i="2"/>
  <c r="DI40" i="2" s="1"/>
  <c r="BJ17" i="16556" s="1"/>
  <c r="BK16" i="16562"/>
  <c r="BL16" i="1"/>
  <c r="BL16" i="16556"/>
  <c r="BL16" i="16562"/>
  <c r="BF18" i="1"/>
  <c r="BE18" i="16556"/>
  <c r="CY42" i="2"/>
  <c r="CZ42" i="2" s="1"/>
  <c r="BD19" i="16562" s="1"/>
  <c r="BA19" i="16556"/>
  <c r="BB19" i="1"/>
  <c r="CS43" i="2"/>
  <c r="CT43" i="2" s="1"/>
  <c r="AZ20" i="16562" s="1"/>
  <c r="CR43" i="2"/>
  <c r="AY20" i="16562" s="1"/>
  <c r="AY20" i="1"/>
  <c r="AX20" i="16556"/>
  <c r="CX42" i="2"/>
  <c r="BC19" i="16562" s="1"/>
  <c r="BB19" i="16556"/>
  <c r="BC19" i="1"/>
  <c r="AX20" i="1"/>
  <c r="AW20" i="16556"/>
  <c r="CM44" i="2"/>
  <c r="CN44" i="2" s="1"/>
  <c r="AV21" i="16562" s="1"/>
  <c r="DF41" i="2"/>
  <c r="BH18" i="16562" s="1"/>
  <c r="DD41" i="2"/>
  <c r="BG18" i="16562" s="1"/>
  <c r="BF18" i="16556"/>
  <c r="BG18" i="1"/>
  <c r="BS144" i="4"/>
  <c r="BT144" i="4"/>
  <c r="BU144" i="4"/>
  <c r="DM39" i="2"/>
  <c r="BM16" i="1"/>
  <c r="BM16" i="16562" l="1"/>
  <c r="AU21" i="16562"/>
  <c r="AU21" i="16556"/>
  <c r="AV21" i="1"/>
  <c r="CJ45" i="2"/>
  <c r="CK45" i="2" s="1"/>
  <c r="BK17" i="1"/>
  <c r="BJ17" i="16562"/>
  <c r="DJ40" i="2"/>
  <c r="BH18" i="16556"/>
  <c r="DG41" i="2"/>
  <c r="BI18" i="16562" s="1"/>
  <c r="BI18" i="1"/>
  <c r="BD19" i="16556"/>
  <c r="DA42" i="2"/>
  <c r="BE19" i="16562" s="1"/>
  <c r="BE19" i="1"/>
  <c r="BH18" i="1"/>
  <c r="BG18" i="16556"/>
  <c r="DB42" i="2"/>
  <c r="DC42" i="2" s="1"/>
  <c r="BF19" i="16562" s="1"/>
  <c r="AV21" i="16556"/>
  <c r="AW21" i="1"/>
  <c r="CO44" i="2"/>
  <c r="AW21" i="16562" s="1"/>
  <c r="AZ20" i="16556"/>
  <c r="BA20" i="1"/>
  <c r="CU43" i="2"/>
  <c r="BA20" i="16562" s="1"/>
  <c r="DH41" i="2"/>
  <c r="DI41" i="2" s="1"/>
  <c r="BJ18" i="16562" s="1"/>
  <c r="BD19" i="1"/>
  <c r="BC19" i="16556"/>
  <c r="CV43" i="2"/>
  <c r="CW43" i="2" s="1"/>
  <c r="BB20" i="16562" s="1"/>
  <c r="AY20" i="16556"/>
  <c r="AZ20" i="1"/>
  <c r="CP44" i="2"/>
  <c r="CQ44" i="2" s="1"/>
  <c r="AX21" i="16562" s="1"/>
  <c r="BO144" i="4"/>
  <c r="BL17" i="1"/>
  <c r="BN16" i="1"/>
  <c r="DK40" i="2"/>
  <c r="DL40" i="2" s="1"/>
  <c r="BL17" i="16562" s="1"/>
  <c r="BM16" i="16556"/>
  <c r="BK17" i="16562" l="1"/>
  <c r="AT22" i="16562"/>
  <c r="AT22" i="16556"/>
  <c r="CL45" i="2"/>
  <c r="AU22" i="1"/>
  <c r="BK17" i="16556"/>
  <c r="AX21" i="16556"/>
  <c r="CR44" i="2"/>
  <c r="AY21" i="16562" s="1"/>
  <c r="AY21" i="1"/>
  <c r="BA20" i="16556"/>
  <c r="BB20" i="1"/>
  <c r="CS44" i="2"/>
  <c r="CT44" i="2" s="1"/>
  <c r="AZ21" i="16562" s="1"/>
  <c r="BK18" i="1"/>
  <c r="BJ18" i="16556"/>
  <c r="DJ41" i="2"/>
  <c r="BK18" i="16562" s="1"/>
  <c r="AX21" i="1"/>
  <c r="AW21" i="16556"/>
  <c r="CM45" i="2"/>
  <c r="CN45" i="2" s="1"/>
  <c r="AV22" i="16562" s="1"/>
  <c r="BF19" i="16556"/>
  <c r="DD42" i="2"/>
  <c r="BG19" i="16562" s="1"/>
  <c r="BG19" i="1"/>
  <c r="BF19" i="1"/>
  <c r="BE19" i="16556"/>
  <c r="CY43" i="2"/>
  <c r="CZ43" i="2" s="1"/>
  <c r="BD20" i="16562" s="1"/>
  <c r="BI18" i="16556"/>
  <c r="BJ18" i="1"/>
  <c r="DE42" i="2"/>
  <c r="DF42" i="2" s="1"/>
  <c r="BH19" i="16562" s="1"/>
  <c r="CX43" i="2"/>
  <c r="BC20" i="16562" s="1"/>
  <c r="BC20" i="1"/>
  <c r="BB20" i="16556"/>
  <c r="BQ144" i="4"/>
  <c r="BW120" i="4" s="1"/>
  <c r="BQ121" i="4" s="1"/>
  <c r="BR144" i="4"/>
  <c r="BX120" i="4" s="1"/>
  <c r="BR121" i="4" s="1"/>
  <c r="BP144" i="4"/>
  <c r="BV120" i="4" s="1"/>
  <c r="BP121" i="4" s="1"/>
  <c r="DM40" i="2"/>
  <c r="BL17" i="16556"/>
  <c r="BM17" i="1"/>
  <c r="BM17" i="16562" l="1"/>
  <c r="AU22" i="16562"/>
  <c r="AT34" i="16562" s="1"/>
  <c r="AU22" i="16556"/>
  <c r="AT34" i="16556" s="1"/>
  <c r="AV22" i="1"/>
  <c r="CL56" i="2"/>
  <c r="AU35" i="1" s="1"/>
  <c r="BH19" i="16556"/>
  <c r="DG42" i="2"/>
  <c r="BI19" i="16562" s="1"/>
  <c r="BI19" i="1"/>
  <c r="DK41" i="2"/>
  <c r="DL41" i="2" s="1"/>
  <c r="BL18" i="16562" s="1"/>
  <c r="BK18" i="16556"/>
  <c r="BL18" i="1"/>
  <c r="DH42" i="2"/>
  <c r="DI42" i="2" s="1"/>
  <c r="BJ19" i="16562" s="1"/>
  <c r="BC20" i="16556"/>
  <c r="BD20" i="1"/>
  <c r="CV44" i="2"/>
  <c r="CW44" i="2" s="1"/>
  <c r="BB21" i="16562" s="1"/>
  <c r="AZ21" i="16556"/>
  <c r="CU44" i="2"/>
  <c r="BA21" i="16562" s="1"/>
  <c r="BA21" i="1"/>
  <c r="BG19" i="16556"/>
  <c r="BH19" i="1"/>
  <c r="DB43" i="2"/>
  <c r="DC43" i="2" s="1"/>
  <c r="BF20" i="16562" s="1"/>
  <c r="AZ21" i="1"/>
  <c r="AY21" i="16556"/>
  <c r="CP45" i="2"/>
  <c r="CQ45" i="2" s="1"/>
  <c r="AX22" i="16562" s="1"/>
  <c r="BE20" i="1"/>
  <c r="BD20" i="16556"/>
  <c r="DA43" i="2"/>
  <c r="BE20" i="16562" s="1"/>
  <c r="AW22" i="1"/>
  <c r="AV22" i="16556"/>
  <c r="CO45" i="2"/>
  <c r="BX96" i="4"/>
  <c r="U24" i="16562" s="1"/>
  <c r="BV96" i="4"/>
  <c r="S24" i="16562" s="1"/>
  <c r="BW96" i="4"/>
  <c r="T24" i="16562" s="1"/>
  <c r="BS121" i="4"/>
  <c r="BM17" i="16556"/>
  <c r="BN17" i="1"/>
  <c r="AW22" i="16562" l="1"/>
  <c r="AV34" i="16562" s="1"/>
  <c r="CO56" i="2"/>
  <c r="AW35" i="1" s="1"/>
  <c r="AV28" i="1"/>
  <c r="CL57" i="2"/>
  <c r="AU36" i="1" s="1"/>
  <c r="BZ96" i="4"/>
  <c r="GQ8" i="2" s="1"/>
  <c r="T24" i="16556"/>
  <c r="BY96" i="4"/>
  <c r="GP8" i="2" s="1"/>
  <c r="S24" i="16556"/>
  <c r="CA96" i="4"/>
  <c r="GR8" i="2" s="1"/>
  <c r="U24" i="16556"/>
  <c r="AY22" i="1"/>
  <c r="CR45" i="2"/>
  <c r="AX22" i="16556"/>
  <c r="BJ19" i="16556"/>
  <c r="BK19" i="1"/>
  <c r="DJ42" i="2"/>
  <c r="BK19" i="16562" s="1"/>
  <c r="BB21" i="16556"/>
  <c r="CX44" i="2"/>
  <c r="BC21" i="16562" s="1"/>
  <c r="BC21" i="1"/>
  <c r="BG20" i="1"/>
  <c r="BF20" i="16556"/>
  <c r="DD43" i="2"/>
  <c r="BG20" i="16562" s="1"/>
  <c r="BI19" i="16556"/>
  <c r="BJ19" i="1"/>
  <c r="DE43" i="2"/>
  <c r="DF43" i="2" s="1"/>
  <c r="BH20" i="16562" s="1"/>
  <c r="DM41" i="2"/>
  <c r="BM18" i="16562" s="1"/>
  <c r="BM18" i="1"/>
  <c r="BL18" i="16556"/>
  <c r="AX22" i="1"/>
  <c r="AW22" i="16556"/>
  <c r="AV34" i="16556" s="1"/>
  <c r="BA21" i="16556"/>
  <c r="BB21" i="1"/>
  <c r="CS45" i="2"/>
  <c r="CT45" i="2" s="1"/>
  <c r="AZ22" i="16562" s="1"/>
  <c r="BE20" i="16556"/>
  <c r="BF20" i="1"/>
  <c r="CY44" i="2"/>
  <c r="CZ44" i="2" s="1"/>
  <c r="BD21" i="16562" s="1"/>
  <c r="GR5" i="2"/>
  <c r="HU5" i="2" s="1"/>
  <c r="HV5" i="2" s="1"/>
  <c r="HZ5" i="2" s="1"/>
  <c r="GQ5" i="2"/>
  <c r="HJ5" i="2" s="1"/>
  <c r="HL5" i="2" s="1"/>
  <c r="HN5" i="2" s="1"/>
  <c r="GY5" i="2"/>
  <c r="GZ5" i="2" s="1"/>
  <c r="HD5" i="2" s="1"/>
  <c r="BT121" i="4"/>
  <c r="BU121" i="4"/>
  <c r="AY22" i="16562" l="1"/>
  <c r="AX34" i="16562" s="1"/>
  <c r="CR56" i="2"/>
  <c r="AY35" i="1" s="1"/>
  <c r="AX28" i="1"/>
  <c r="CO57" i="2"/>
  <c r="AW36" i="1" s="1"/>
  <c r="BH20" i="16556"/>
  <c r="BI20" i="1"/>
  <c r="DG43" i="2"/>
  <c r="BI20" i="16562" s="1"/>
  <c r="BH20" i="1"/>
  <c r="BG20" i="16556"/>
  <c r="DB44" i="2"/>
  <c r="DC44" i="2" s="1"/>
  <c r="BF21" i="16562" s="1"/>
  <c r="AZ22" i="16556"/>
  <c r="CU45" i="2"/>
  <c r="BA22" i="1"/>
  <c r="BM18" i="16556"/>
  <c r="BN18" i="1"/>
  <c r="DK42" i="2"/>
  <c r="DL42" i="2" s="1"/>
  <c r="BL19" i="16562" s="1"/>
  <c r="BD21" i="16556"/>
  <c r="BE21" i="1"/>
  <c r="DA44" i="2"/>
  <c r="BE21" i="16562" s="1"/>
  <c r="AY22" i="16556"/>
  <c r="AX34" i="16556" s="1"/>
  <c r="AZ22" i="1"/>
  <c r="BK19" i="16556"/>
  <c r="BL19" i="1"/>
  <c r="DH43" i="2"/>
  <c r="DI43" i="2" s="1"/>
  <c r="BJ20" i="16562" s="1"/>
  <c r="BC21" i="16556"/>
  <c r="BD21" i="1"/>
  <c r="CV45" i="2"/>
  <c r="CW45" i="2" s="1"/>
  <c r="BB22" i="16562" s="1"/>
  <c r="HW5" i="2"/>
  <c r="HY5" i="2" s="1"/>
  <c r="HP5" i="2"/>
  <c r="HK5" i="2"/>
  <c r="HQ5" i="2" s="1"/>
  <c r="HX5" i="2"/>
  <c r="HA5" i="2"/>
  <c r="HF5" i="2" s="1"/>
  <c r="HB5" i="2"/>
  <c r="BZ145" i="4"/>
  <c r="BY145" i="4" s="1"/>
  <c r="BV145" i="4"/>
  <c r="AZ28" i="1" l="1"/>
  <c r="CR57" i="2"/>
  <c r="AY36" i="1" s="1"/>
  <c r="BA22" i="16562"/>
  <c r="AZ34" i="16562" s="1"/>
  <c r="CU56" i="2"/>
  <c r="BA35" i="1" s="1"/>
  <c r="BL19" i="16556"/>
  <c r="BM19" i="1"/>
  <c r="DM42" i="2"/>
  <c r="BM19" i="16562" s="1"/>
  <c r="DD44" i="2"/>
  <c r="BG21" i="16562" s="1"/>
  <c r="BG21" i="1"/>
  <c r="BF21" i="16556"/>
  <c r="BI20" i="16556"/>
  <c r="BJ20" i="1"/>
  <c r="DE44" i="2"/>
  <c r="DF44" i="2" s="1"/>
  <c r="BH21" i="16562" s="1"/>
  <c r="BJ20" i="16556"/>
  <c r="BK20" i="1"/>
  <c r="DJ43" i="2"/>
  <c r="BK20" i="16562" s="1"/>
  <c r="BE21" i="16556"/>
  <c r="BF21" i="1"/>
  <c r="CY45" i="2"/>
  <c r="CZ45" i="2" s="1"/>
  <c r="BD22" i="16562" s="1"/>
  <c r="BB22" i="16556"/>
  <c r="BC22" i="1"/>
  <c r="CX45" i="2"/>
  <c r="BB22" i="1"/>
  <c r="BA22" i="16556"/>
  <c r="AZ34" i="16556" s="1"/>
  <c r="IA5" i="2"/>
  <c r="IB5" i="2"/>
  <c r="HO5" i="2"/>
  <c r="HM5" i="2"/>
  <c r="HH6" i="2" s="1"/>
  <c r="HI6" i="2" s="1"/>
  <c r="HC5" i="2"/>
  <c r="HS6" i="2" s="1"/>
  <c r="HT6" i="2" s="1"/>
  <c r="HE5" i="2"/>
  <c r="BU145" i="4"/>
  <c r="BS145" i="4"/>
  <c r="BT145" i="4"/>
  <c r="FP5" i="4"/>
  <c r="FO5" i="4"/>
  <c r="BC22" i="16562" l="1"/>
  <c r="BB34" i="16562" s="1"/>
  <c r="CX56" i="2"/>
  <c r="BC35" i="1" s="1"/>
  <c r="CU57" i="2"/>
  <c r="BA36" i="1" s="1"/>
  <c r="BB28" i="1"/>
  <c r="BH21" i="16556"/>
  <c r="DG44" i="2"/>
  <c r="BI21" i="16562" s="1"/>
  <c r="BI21" i="1"/>
  <c r="BH21" i="1"/>
  <c r="BG21" i="16556"/>
  <c r="DB45" i="2"/>
  <c r="DC45" i="2" s="1"/>
  <c r="BF22" i="16562" s="1"/>
  <c r="BK20" i="16556"/>
  <c r="BL20" i="1"/>
  <c r="DH44" i="2"/>
  <c r="DI44" i="2" s="1"/>
  <c r="BJ21" i="16562" s="1"/>
  <c r="BM19" i="16556"/>
  <c r="BN19" i="1"/>
  <c r="DK43" i="2"/>
  <c r="DL43" i="2" s="1"/>
  <c r="BL20" i="16562" s="1"/>
  <c r="BD22" i="16556"/>
  <c r="BE22" i="1"/>
  <c r="DA45" i="2"/>
  <c r="BC22" i="16556"/>
  <c r="BB34" i="16556" s="1"/>
  <c r="BD22" i="1"/>
  <c r="GW6" i="2"/>
  <c r="BO145" i="4"/>
  <c r="BP145" i="4" s="1"/>
  <c r="BV121" i="4" s="1"/>
  <c r="BP122" i="4" s="1"/>
  <c r="BE22" i="16562" l="1"/>
  <c r="BD34" i="16562" s="1"/>
  <c r="DA56" i="2"/>
  <c r="BE35" i="1" s="1"/>
  <c r="CX57" i="2"/>
  <c r="BC36" i="1" s="1"/>
  <c r="BD28" i="1"/>
  <c r="BL20" i="16556"/>
  <c r="BM20" i="1"/>
  <c r="DM43" i="2"/>
  <c r="BM20" i="16562" s="1"/>
  <c r="DD45" i="2"/>
  <c r="BF22" i="16556"/>
  <c r="BG22" i="1"/>
  <c r="DJ44" i="2"/>
  <c r="BK21" i="16562" s="1"/>
  <c r="BJ21" i="16556"/>
  <c r="BK21" i="1"/>
  <c r="BI21" i="16556"/>
  <c r="BJ21" i="1"/>
  <c r="DE45" i="2"/>
  <c r="DF45" i="2" s="1"/>
  <c r="BH22" i="16562" s="1"/>
  <c r="BE22" i="16556"/>
  <c r="BD34" i="16556" s="1"/>
  <c r="BF22" i="1"/>
  <c r="BV97" i="4"/>
  <c r="BY97" i="4" s="1"/>
  <c r="BQ145" i="4"/>
  <c r="BW121" i="4" s="1"/>
  <c r="BQ122" i="4" s="1"/>
  <c r="BR145" i="4"/>
  <c r="BX121" i="4" s="1"/>
  <c r="BR122" i="4" s="1"/>
  <c r="FO7" i="2"/>
  <c r="FU11" i="2"/>
  <c r="FS9" i="2"/>
  <c r="FN7" i="2"/>
  <c r="FS6" i="2" l="1"/>
  <c r="FU5" i="2" s="1"/>
  <c r="DA57" i="2"/>
  <c r="BE36" i="1" s="1"/>
  <c r="BF28" i="1"/>
  <c r="BG22" i="16562"/>
  <c r="BF34" i="16562" s="1"/>
  <c r="DD56" i="2"/>
  <c r="BG35" i="1" s="1"/>
  <c r="BM20" i="16556"/>
  <c r="BN20" i="1"/>
  <c r="DK44" i="2"/>
  <c r="DL44" i="2" s="1"/>
  <c r="BL21" i="16562" s="1"/>
  <c r="BK21" i="16556"/>
  <c r="BL21" i="1"/>
  <c r="DH45" i="2"/>
  <c r="DI45" i="2" s="1"/>
  <c r="BJ22" i="16562" s="1"/>
  <c r="BI22" i="1"/>
  <c r="BH22" i="16556"/>
  <c r="DG45" i="2"/>
  <c r="BG22" i="16556"/>
  <c r="BF34" i="16556" s="1"/>
  <c r="BH22" i="1"/>
  <c r="BX97" i="4"/>
  <c r="CA97" i="4" s="1"/>
  <c r="GR9" i="2" s="1"/>
  <c r="BW97" i="4"/>
  <c r="BZ97" i="4" s="1"/>
  <c r="GQ9" i="2" s="1"/>
  <c r="BS122" i="4"/>
  <c r="FU15" i="2"/>
  <c r="BI22" i="16562" l="1"/>
  <c r="BH34" i="16562" s="1"/>
  <c r="DG56" i="2"/>
  <c r="BI35" i="1" s="1"/>
  <c r="BH28" i="1"/>
  <c r="DD57" i="2"/>
  <c r="BG36" i="1" s="1"/>
  <c r="BL21" i="16556"/>
  <c r="DM44" i="2"/>
  <c r="BM21" i="16562" s="1"/>
  <c r="BM21" i="1"/>
  <c r="DJ45" i="2"/>
  <c r="BK22" i="1"/>
  <c r="BJ22" i="16556"/>
  <c r="BI22" i="16556"/>
  <c r="BH34" i="16556" s="1"/>
  <c r="BJ22" i="1"/>
  <c r="GQ6" i="2"/>
  <c r="HJ6" i="2" s="1"/>
  <c r="HL6" i="2" s="1"/>
  <c r="HP6" i="2" s="1"/>
  <c r="GR6" i="2"/>
  <c r="HU6" i="2" s="1"/>
  <c r="HW6" i="2" s="1"/>
  <c r="HY6" i="2" s="1"/>
  <c r="BT122" i="4"/>
  <c r="BV146" i="4"/>
  <c r="BU122" i="4"/>
  <c r="B96" i="2"/>
  <c r="BJ28" i="1" l="1"/>
  <c r="DG57" i="2"/>
  <c r="BI36" i="1" s="1"/>
  <c r="BK22" i="16562"/>
  <c r="BJ34" i="16562" s="1"/>
  <c r="DJ56" i="2"/>
  <c r="BK35" i="1" s="1"/>
  <c r="BM21" i="16556"/>
  <c r="BN21" i="1"/>
  <c r="DK45" i="2"/>
  <c r="DL45" i="2" s="1"/>
  <c r="BL22" i="16562" s="1"/>
  <c r="BK22" i="16556"/>
  <c r="BJ34" i="16556" s="1"/>
  <c r="BL22" i="1"/>
  <c r="HK6" i="2"/>
  <c r="HO6" i="2" s="1"/>
  <c r="HN6" i="2"/>
  <c r="HV6" i="2"/>
  <c r="IB6" i="2" s="1"/>
  <c r="IA6" i="2"/>
  <c r="BZ146" i="4"/>
  <c r="BY146" i="4" s="1"/>
  <c r="BX146" i="4"/>
  <c r="BW146" i="4"/>
  <c r="FP26" i="4"/>
  <c r="FR26" i="4"/>
  <c r="FL26" i="4"/>
  <c r="FN26" i="4"/>
  <c r="FK26" i="4"/>
  <c r="FK4" i="4" s="1"/>
  <c r="FK5" i="4" s="1"/>
  <c r="FT4" i="4" s="1"/>
  <c r="FV3" i="4" s="1"/>
  <c r="FM26" i="4"/>
  <c r="FQ26" i="4"/>
  <c r="FO26" i="4"/>
  <c r="FS26" i="4"/>
  <c r="DJ57" i="2" l="1"/>
  <c r="BK36" i="1" s="1"/>
  <c r="BL28" i="1"/>
  <c r="BM22" i="1"/>
  <c r="BL22" i="16556"/>
  <c r="DM45" i="2"/>
  <c r="HZ6" i="2"/>
  <c r="HX6" i="2"/>
  <c r="HM6" i="2"/>
  <c r="HH7" i="2" s="1"/>
  <c r="HQ6" i="2"/>
  <c r="BS146" i="4"/>
  <c r="BU146" i="4"/>
  <c r="BT146" i="4"/>
  <c r="BM22" i="16562" l="1"/>
  <c r="BL34" i="16562" s="1"/>
  <c r="DM56" i="2"/>
  <c r="BM35" i="1" s="1"/>
  <c r="BM22" i="16556"/>
  <c r="BL34" i="16556" s="1"/>
  <c r="BN22" i="1"/>
  <c r="BO146" i="4"/>
  <c r="BQ146" i="4" s="1"/>
  <c r="BW122" i="4" s="1"/>
  <c r="BQ123" i="4" s="1"/>
  <c r="BN28" i="1" l="1"/>
  <c r="DM57" i="2"/>
  <c r="BM36" i="1" s="1"/>
  <c r="F49" i="2"/>
  <c r="G49" i="2" s="1"/>
  <c r="E49" i="2"/>
  <c r="P34" i="1"/>
  <c r="BW98" i="4"/>
  <c r="BR146" i="4"/>
  <c r="BX122" i="4" s="1"/>
  <c r="BR123" i="4" s="1"/>
  <c r="BP146" i="4"/>
  <c r="BV122" i="4" s="1"/>
  <c r="BP123" i="4" s="1"/>
  <c r="H49" i="2" l="1"/>
  <c r="C46" i="16562" s="1"/>
  <c r="I49" i="2"/>
  <c r="I58" i="2"/>
  <c r="BZ98" i="4"/>
  <c r="GQ21" i="2" s="1"/>
  <c r="T26" i="16556"/>
  <c r="BV98" i="4"/>
  <c r="BX98" i="4"/>
  <c r="BU123" i="4"/>
  <c r="J49" i="2" l="1"/>
  <c r="C54" i="1" s="1"/>
  <c r="J58" i="2"/>
  <c r="C58" i="1" s="1"/>
  <c r="C52" i="1"/>
  <c r="C46" i="16556"/>
  <c r="A49" i="2"/>
  <c r="CA98" i="4"/>
  <c r="GR21" i="2" s="1"/>
  <c r="U26" i="16556"/>
  <c r="BY98" i="4"/>
  <c r="GP21" i="2" s="1"/>
  <c r="S26" i="16556"/>
  <c r="BS123" i="4"/>
  <c r="BT123" i="4"/>
  <c r="BX147" i="4"/>
  <c r="GX6" i="2"/>
  <c r="C48" i="16562" l="1"/>
  <c r="C52" i="16562"/>
  <c r="C48" i="16556"/>
  <c r="C52" i="16556"/>
  <c r="BZ147" i="4"/>
  <c r="BY147" i="4" s="1"/>
  <c r="BW147" i="4"/>
  <c r="BV147" i="4"/>
  <c r="BU147" i="4" l="1"/>
  <c r="BT147" i="4"/>
  <c r="BS147" i="4"/>
  <c r="BO147" i="4" l="1"/>
  <c r="BR147" i="4" s="1"/>
  <c r="BX123" i="4" s="1"/>
  <c r="BR124" i="4" s="1"/>
  <c r="BP147" i="4" l="1"/>
  <c r="BV123" i="4" s="1"/>
  <c r="BP124" i="4" s="1"/>
  <c r="BQ147" i="4"/>
  <c r="BW123" i="4" s="1"/>
  <c r="BQ124" i="4" s="1"/>
  <c r="BX99" i="4"/>
  <c r="HI7" i="2"/>
  <c r="BU124" i="4" l="1"/>
  <c r="BX148" i="4" s="1"/>
  <c r="BT124" i="4"/>
  <c r="BW148" i="4" s="1"/>
  <c r="BS124" i="4"/>
  <c r="BW99" i="4"/>
  <c r="BV99" i="4"/>
  <c r="CA99" i="4"/>
  <c r="GR23" i="2" s="1"/>
  <c r="HJ7" i="2"/>
  <c r="HL7" i="2" s="1"/>
  <c r="BZ148" i="4" l="1"/>
  <c r="BY148" i="4" s="1"/>
  <c r="BV148" i="4"/>
  <c r="BU148" i="4" s="1"/>
  <c r="BZ99" i="4"/>
  <c r="GQ23" i="2" s="1"/>
  <c r="BY99" i="4"/>
  <c r="GQ13" i="2"/>
  <c r="GR13" i="2"/>
  <c r="GR14" i="2"/>
  <c r="GQ19" i="2"/>
  <c r="GR19" i="2"/>
  <c r="HN7" i="2"/>
  <c r="HK7" i="2"/>
  <c r="BT148" i="4" l="1"/>
  <c r="BS148" i="4"/>
  <c r="GQ14" i="2"/>
  <c r="GQ25" i="2" s="1"/>
  <c r="GR25" i="2"/>
  <c r="GR26" i="2"/>
  <c r="HP7" i="2"/>
  <c r="HO7" i="2"/>
  <c r="HM7" i="2"/>
  <c r="HH8" i="2" s="1"/>
  <c r="HQ7" i="2"/>
  <c r="BO148" i="4" l="1"/>
  <c r="BP148" i="4" s="1"/>
  <c r="BV124" i="4" s="1"/>
  <c r="BP125" i="4" s="1"/>
  <c r="GQ26" i="2"/>
  <c r="HI8" i="2"/>
  <c r="HJ8" i="2" s="1"/>
  <c r="HL8" i="2" s="1"/>
  <c r="BV100" i="4" l="1"/>
  <c r="BY100" i="4" s="1"/>
  <c r="BQ148" i="4"/>
  <c r="BW124" i="4" s="1"/>
  <c r="BW100" i="4" s="1"/>
  <c r="BZ100" i="4" s="1"/>
  <c r="BR148" i="4"/>
  <c r="BX124" i="4" s="1"/>
  <c r="BR125" i="4" s="1"/>
  <c r="GP6" i="2"/>
  <c r="HK8" i="2"/>
  <c r="HQ8" i="2" s="1"/>
  <c r="HN8" i="2"/>
  <c r="HP8" i="2"/>
  <c r="BQ125" i="4" l="1"/>
  <c r="BS125" i="4" s="1"/>
  <c r="BX100" i="4"/>
  <c r="CA100" i="4" s="1"/>
  <c r="GY6" i="2"/>
  <c r="HA6" i="2" s="1"/>
  <c r="HO8" i="2"/>
  <c r="HM8" i="2"/>
  <c r="HH9" i="2" s="1"/>
  <c r="HI9" i="2" s="1"/>
  <c r="BU125" i="4" l="1"/>
  <c r="BX149" i="4" s="1"/>
  <c r="BT125" i="4"/>
  <c r="BW149" i="4" s="1"/>
  <c r="GZ6" i="2"/>
  <c r="HB6" i="2" s="1"/>
  <c r="BV149" i="4"/>
  <c r="HC6" i="2"/>
  <c r="HE6" i="2"/>
  <c r="HJ9" i="2"/>
  <c r="HL9" i="2" s="1"/>
  <c r="BZ149" i="4" l="1"/>
  <c r="BY149" i="4" s="1"/>
  <c r="HF6" i="2"/>
  <c r="HD6" i="2"/>
  <c r="BT149" i="4"/>
  <c r="BS149" i="4"/>
  <c r="BU149" i="4"/>
  <c r="GW7" i="2"/>
  <c r="HS7" i="2"/>
  <c r="HK9" i="2"/>
  <c r="HM9" i="2" s="1"/>
  <c r="HN9" i="2"/>
  <c r="HP9" i="2"/>
  <c r="BO149" i="4" l="1"/>
  <c r="HT7" i="2"/>
  <c r="HU7" i="2" s="1"/>
  <c r="HW7" i="2" s="1"/>
  <c r="GX7" i="2"/>
  <c r="GY7" i="2" s="1"/>
  <c r="HA7" i="2" s="1"/>
  <c r="HQ9" i="2"/>
  <c r="HO9" i="2"/>
  <c r="HH10" i="2"/>
  <c r="HI10" i="2" s="1"/>
  <c r="HJ10" i="2" s="1"/>
  <c r="HK10" i="2" s="1"/>
  <c r="BR149" i="4" l="1"/>
  <c r="BX125" i="4" s="1"/>
  <c r="BP149" i="4"/>
  <c r="BV125" i="4" s="1"/>
  <c r="BQ149" i="4"/>
  <c r="BW125" i="4" s="1"/>
  <c r="HV7" i="2"/>
  <c r="HZ7" i="2" s="1"/>
  <c r="GZ7" i="2"/>
  <c r="HB7" i="2" s="1"/>
  <c r="HE7" i="2"/>
  <c r="HC7" i="2"/>
  <c r="HY7" i="2"/>
  <c r="IA7" i="2"/>
  <c r="HL10" i="2"/>
  <c r="HN10" i="2" s="1"/>
  <c r="HM10" i="2"/>
  <c r="BP126" i="4" l="1"/>
  <c r="BV101" i="4"/>
  <c r="BY101" i="4" s="1"/>
  <c r="BQ126" i="4"/>
  <c r="BW101" i="4"/>
  <c r="BZ101" i="4" s="1"/>
  <c r="BR126" i="4"/>
  <c r="BX101" i="4"/>
  <c r="CA101" i="4" s="1"/>
  <c r="IB7" i="2"/>
  <c r="HX7" i="2"/>
  <c r="HS8" i="2"/>
  <c r="HT8" i="2" s="1"/>
  <c r="HF7" i="2"/>
  <c r="HD7" i="2"/>
  <c r="GW8" i="2"/>
  <c r="HP10" i="2"/>
  <c r="HO10" i="2"/>
  <c r="HH11" i="2"/>
  <c r="HQ10" i="2"/>
  <c r="BS126" i="4" l="1"/>
  <c r="BV150" i="4" s="1"/>
  <c r="BT126" i="4"/>
  <c r="BW150" i="4" s="1"/>
  <c r="BU126" i="4"/>
  <c r="BX150" i="4" s="1"/>
  <c r="HU8" i="2"/>
  <c r="HW8" i="2" s="1"/>
  <c r="HY8" i="2" s="1"/>
  <c r="GX8" i="2"/>
  <c r="GY8" i="2" s="1"/>
  <c r="HA8" i="2" s="1"/>
  <c r="HI11" i="2"/>
  <c r="HJ11" i="2" s="1"/>
  <c r="HL11" i="2" s="1"/>
  <c r="BU150" i="4" l="1"/>
  <c r="BT150" i="4"/>
  <c r="BS150" i="4"/>
  <c r="BZ150" i="4"/>
  <c r="BY150" i="4" s="1"/>
  <c r="HV8" i="2"/>
  <c r="IA8" i="2"/>
  <c r="GZ8" i="2"/>
  <c r="HF8" i="2" s="1"/>
  <c r="HC8" i="2"/>
  <c r="HE8" i="2"/>
  <c r="HN11" i="2"/>
  <c r="HK11" i="2"/>
  <c r="HO11" i="2" s="1"/>
  <c r="BO150" i="4" l="1"/>
  <c r="BR150" i="4" s="1"/>
  <c r="BX126" i="4" s="1"/>
  <c r="BR127" i="4" s="1"/>
  <c r="HX8" i="2"/>
  <c r="IB8" i="2"/>
  <c r="HZ8" i="2"/>
  <c r="HD8" i="2"/>
  <c r="HB8" i="2"/>
  <c r="GW9" i="2" s="1"/>
  <c r="HP11" i="2"/>
  <c r="HQ11" i="2"/>
  <c r="HM11" i="2"/>
  <c r="HH12" i="2" s="1"/>
  <c r="BP150" i="4" l="1"/>
  <c r="BV126" i="4" s="1"/>
  <c r="BP127" i="4" s="1"/>
  <c r="BQ150" i="4"/>
  <c r="BW126" i="4" s="1"/>
  <c r="BW102" i="4" s="1"/>
  <c r="BZ102" i="4" s="1"/>
  <c r="BX102" i="4"/>
  <c r="CA102" i="4" s="1"/>
  <c r="HS9" i="2"/>
  <c r="HT9" i="2" s="1"/>
  <c r="HU9" i="2" s="1"/>
  <c r="HW9" i="2" s="1"/>
  <c r="GX9" i="2"/>
  <c r="GY9" i="2" s="1"/>
  <c r="GZ9" i="2" s="1"/>
  <c r="HI12" i="2"/>
  <c r="HJ12" i="2" s="1"/>
  <c r="HL12" i="2" s="1"/>
  <c r="BQ127" i="4" l="1"/>
  <c r="BT127" i="4" s="1"/>
  <c r="BW151" i="4" s="1"/>
  <c r="BV102" i="4"/>
  <c r="BY102" i="4" s="1"/>
  <c r="GP22" i="2" s="1"/>
  <c r="HA9" i="2"/>
  <c r="HC9" i="2" s="1"/>
  <c r="IA9" i="2"/>
  <c r="HY9" i="2"/>
  <c r="HD9" i="2"/>
  <c r="HB9" i="2"/>
  <c r="HV9" i="2"/>
  <c r="HK12" i="2"/>
  <c r="HP12" i="2"/>
  <c r="HN12" i="2"/>
  <c r="BU127" i="4" l="1"/>
  <c r="BX151" i="4" s="1"/>
  <c r="BS127" i="4"/>
  <c r="HF9" i="2"/>
  <c r="HE9" i="2"/>
  <c r="HX9" i="2"/>
  <c r="IB9" i="2"/>
  <c r="HZ9" i="2"/>
  <c r="HS10" i="2"/>
  <c r="GW10" i="2"/>
  <c r="HQ12" i="2"/>
  <c r="HM12" i="2"/>
  <c r="HH13" i="2" s="1"/>
  <c r="HO12" i="2"/>
  <c r="BZ151" i="4" l="1"/>
  <c r="BY151" i="4" s="1"/>
  <c r="BV151" i="4"/>
  <c r="BU151" i="4" s="1"/>
  <c r="GX10" i="2"/>
  <c r="HT10" i="2"/>
  <c r="HU10" i="2" s="1"/>
  <c r="HW10" i="2" s="1"/>
  <c r="HI13" i="2"/>
  <c r="HJ13" i="2" s="1"/>
  <c r="HK13" i="2" s="1"/>
  <c r="BS151" i="4" l="1"/>
  <c r="BT151" i="4"/>
  <c r="HY10" i="2"/>
  <c r="IA10" i="2"/>
  <c r="HV10" i="2"/>
  <c r="HL13" i="2"/>
  <c r="HQ13" i="2" s="1"/>
  <c r="HM13" i="2"/>
  <c r="HO13" i="2"/>
  <c r="BO151" i="4" l="1"/>
  <c r="BQ151" i="4" s="1"/>
  <c r="BW127" i="4" s="1"/>
  <c r="BQ128" i="4" s="1"/>
  <c r="HX10" i="2"/>
  <c r="IB10" i="2"/>
  <c r="HZ10" i="2"/>
  <c r="HN13" i="2"/>
  <c r="HH14" i="2" s="1"/>
  <c r="HP13" i="2"/>
  <c r="BW103" i="4" l="1"/>
  <c r="BZ103" i="4" s="1"/>
  <c r="BP151" i="4"/>
  <c r="BV127" i="4" s="1"/>
  <c r="BP128" i="4" s="1"/>
  <c r="BR151" i="4"/>
  <c r="BX127" i="4" s="1"/>
  <c r="BR128" i="4" s="1"/>
  <c r="HI14" i="2"/>
  <c r="U13" i="1" l="1"/>
  <c r="BU128" i="4"/>
  <c r="BX152" i="4" s="1"/>
  <c r="BT128" i="4"/>
  <c r="BW152" i="4" s="1"/>
  <c r="BS128" i="4"/>
  <c r="BV152" i="4" s="1"/>
  <c r="BV103" i="4"/>
  <c r="BY103" i="4" s="1"/>
  <c r="T13" i="1" s="1"/>
  <c r="BX103" i="4"/>
  <c r="CA103" i="4" s="1"/>
  <c r="HJ14" i="2"/>
  <c r="HL14" i="2" s="1"/>
  <c r="V13" i="1" l="1"/>
  <c r="GP10" i="2"/>
  <c r="GY10" i="2" s="1"/>
  <c r="HA10" i="2" s="1"/>
  <c r="BU152" i="4"/>
  <c r="BZ152" i="4"/>
  <c r="BY152" i="4" s="1"/>
  <c r="BS152" i="4"/>
  <c r="BT152" i="4"/>
  <c r="HK14" i="2"/>
  <c r="HM14" i="2" s="1"/>
  <c r="HP14" i="2"/>
  <c r="GZ10" i="2" l="1"/>
  <c r="HB10" i="2" s="1"/>
  <c r="HE10" i="2"/>
  <c r="HC10" i="2"/>
  <c r="BO152" i="4"/>
  <c r="HO14" i="2"/>
  <c r="HQ14" i="2"/>
  <c r="HN14" i="2"/>
  <c r="HH15" i="2" s="1"/>
  <c r="HD10" i="2" l="1"/>
  <c r="HF10" i="2"/>
  <c r="GW11" i="2"/>
  <c r="HS11" i="2"/>
  <c r="BQ152" i="4"/>
  <c r="BW128" i="4" s="1"/>
  <c r="BP152" i="4"/>
  <c r="BV128" i="4" s="1"/>
  <c r="BR152" i="4"/>
  <c r="BX128" i="4" s="1"/>
  <c r="HI15" i="2"/>
  <c r="HJ15" i="2" s="1"/>
  <c r="HK15" i="2" s="1"/>
  <c r="HT11" i="2" l="1"/>
  <c r="HU11" i="2" s="1"/>
  <c r="HW11" i="2" s="1"/>
  <c r="GX11" i="2"/>
  <c r="GY11" i="2" s="1"/>
  <c r="HA11" i="2" s="1"/>
  <c r="BR129" i="4"/>
  <c r="BX104" i="4"/>
  <c r="BP129" i="4"/>
  <c r="BV104" i="4"/>
  <c r="BQ129" i="4"/>
  <c r="BW104" i="4"/>
  <c r="HL15" i="2"/>
  <c r="HM15" i="2"/>
  <c r="HO15" i="2"/>
  <c r="GZ11" i="2" l="1"/>
  <c r="HF11" i="2" s="1"/>
  <c r="HV11" i="2"/>
  <c r="HX11" i="2" s="1"/>
  <c r="HE11" i="2"/>
  <c r="HC11" i="2"/>
  <c r="IA11" i="2"/>
  <c r="HY11" i="2"/>
  <c r="BZ104" i="4"/>
  <c r="BW105" i="4"/>
  <c r="C61" i="16556"/>
  <c r="C67" i="1"/>
  <c r="C61" i="16562"/>
  <c r="BV105" i="4"/>
  <c r="BY104" i="4"/>
  <c r="C66" i="1"/>
  <c r="C60" i="16562"/>
  <c r="C60" i="16556"/>
  <c r="BX105" i="4"/>
  <c r="CA104" i="4"/>
  <c r="V14" i="1" s="1"/>
  <c r="C62" i="16556"/>
  <c r="C62" i="16562"/>
  <c r="C68" i="1"/>
  <c r="HN15" i="2"/>
  <c r="HH16" i="2" s="1"/>
  <c r="HP15" i="2"/>
  <c r="HQ15" i="2"/>
  <c r="T14" i="1" l="1"/>
  <c r="GP14" i="2"/>
  <c r="U16" i="1"/>
  <c r="U14" i="1"/>
  <c r="HZ11" i="2"/>
  <c r="HD11" i="2"/>
  <c r="HB11" i="2"/>
  <c r="GW12" i="2" s="1"/>
  <c r="IB11" i="2"/>
  <c r="T16" i="1"/>
  <c r="GP12" i="2"/>
  <c r="V15" i="1"/>
  <c r="V16" i="1"/>
  <c r="GP13" i="2"/>
  <c r="T15" i="1"/>
  <c r="BZ105" i="4"/>
  <c r="U15" i="1"/>
  <c r="ID19" i="2"/>
  <c r="ID23" i="2" s="1"/>
  <c r="BY105" i="4"/>
  <c r="GP23" i="2"/>
  <c r="CA105" i="4"/>
  <c r="V25" i="1"/>
  <c r="V30" i="1"/>
  <c r="T25" i="1"/>
  <c r="T24" i="1"/>
  <c r="U32" i="1"/>
  <c r="T26" i="1"/>
  <c r="T19" i="1"/>
  <c r="T22" i="1"/>
  <c r="V27" i="1"/>
  <c r="V32" i="1"/>
  <c r="V20" i="1"/>
  <c r="T27" i="1"/>
  <c r="T18" i="1"/>
  <c r="U25" i="1"/>
  <c r="T30" i="1"/>
  <c r="V29" i="1"/>
  <c r="T31" i="1"/>
  <c r="T20" i="1"/>
  <c r="U19" i="1"/>
  <c r="U23" i="1"/>
  <c r="U21" i="1"/>
  <c r="V23" i="1"/>
  <c r="V21" i="1"/>
  <c r="T21" i="1"/>
  <c r="V26" i="1"/>
  <c r="V22" i="1"/>
  <c r="U30" i="1"/>
  <c r="U28" i="1"/>
  <c r="U20" i="1"/>
  <c r="U22" i="1"/>
  <c r="V19" i="1"/>
  <c r="V28" i="1"/>
  <c r="U31" i="1"/>
  <c r="T28" i="1"/>
  <c r="V31" i="1"/>
  <c r="U26" i="1"/>
  <c r="U27" i="1"/>
  <c r="V24" i="1"/>
  <c r="U24" i="1"/>
  <c r="T29" i="1"/>
  <c r="T32" i="1"/>
  <c r="T23" i="1"/>
  <c r="U29" i="1"/>
  <c r="HI16" i="2"/>
  <c r="HJ16" i="2" s="1"/>
  <c r="HK16" i="2" s="1"/>
  <c r="HS12" i="2" l="1"/>
  <c r="HT12" i="2" s="1"/>
  <c r="HU12" i="2" s="1"/>
  <c r="HW12" i="2" s="1"/>
  <c r="GX12" i="2"/>
  <c r="GY12" i="2" s="1"/>
  <c r="HA12" i="2" s="1"/>
  <c r="V11" i="1"/>
  <c r="GP25" i="2"/>
  <c r="GP26" i="2"/>
  <c r="T11" i="1"/>
  <c r="U11" i="1"/>
  <c r="HL16" i="2"/>
  <c r="HN16" i="2" s="1"/>
  <c r="HM16" i="2"/>
  <c r="HV12" i="2" l="1"/>
  <c r="HX12" i="2" s="1"/>
  <c r="HE12" i="2"/>
  <c r="HC12" i="2"/>
  <c r="GZ12" i="2"/>
  <c r="IA12" i="2"/>
  <c r="HY12" i="2"/>
  <c r="HP16" i="2"/>
  <c r="HH17" i="2"/>
  <c r="HI17" i="2" s="1"/>
  <c r="HQ16" i="2"/>
  <c r="HO16" i="2"/>
  <c r="IB12" i="2" l="1"/>
  <c r="HZ12" i="2"/>
  <c r="HF12" i="2"/>
  <c r="HB12" i="2"/>
  <c r="HD12" i="2"/>
  <c r="HJ17" i="2"/>
  <c r="HK17" i="2" s="1"/>
  <c r="GW13" i="2" l="1"/>
  <c r="HS13" i="2"/>
  <c r="HL17" i="2"/>
  <c r="HQ17" i="2" s="1"/>
  <c r="HM17" i="2"/>
  <c r="HO17" i="2"/>
  <c r="HT13" i="2" l="1"/>
  <c r="HU13" i="2" s="1"/>
  <c r="HW13" i="2" s="1"/>
  <c r="GX13" i="2"/>
  <c r="GY13" i="2" s="1"/>
  <c r="HA13" i="2" s="1"/>
  <c r="HN17" i="2"/>
  <c r="HH18" i="2" s="1"/>
  <c r="HP17" i="2"/>
  <c r="HV13" i="2" l="1"/>
  <c r="HX13" i="2" s="1"/>
  <c r="GZ13" i="2"/>
  <c r="HB13" i="2" s="1"/>
  <c r="HC13" i="2"/>
  <c r="HE13" i="2"/>
  <c r="IA13" i="2"/>
  <c r="HY13" i="2"/>
  <c r="HI18" i="2"/>
  <c r="HJ18" i="2" s="1"/>
  <c r="HL18" i="2" s="1"/>
  <c r="HZ13" i="2" l="1"/>
  <c r="IB13" i="2"/>
  <c r="HD13" i="2"/>
  <c r="HF13" i="2"/>
  <c r="GW14" i="2"/>
  <c r="HS14" i="2"/>
  <c r="HK18" i="2"/>
  <c r="HM18" i="2" s="1"/>
  <c r="HT14" i="2" l="1"/>
  <c r="HU14" i="2" s="1"/>
  <c r="HW14" i="2" s="1"/>
  <c r="GX14" i="2"/>
  <c r="GY14" i="2" s="1"/>
  <c r="HA14" i="2" s="1"/>
  <c r="HO18" i="2"/>
  <c r="HN18" i="2"/>
  <c r="HH19" i="2" s="1"/>
  <c r="HP18" i="2"/>
  <c r="HQ18" i="2"/>
  <c r="GZ14" i="2" l="1"/>
  <c r="HF14" i="2" s="1"/>
  <c r="HV14" i="2"/>
  <c r="HZ14" i="2" s="1"/>
  <c r="HC14" i="2"/>
  <c r="HE14" i="2"/>
  <c r="HY14" i="2"/>
  <c r="IA14" i="2"/>
  <c r="HI19" i="2"/>
  <c r="HJ19" i="2" s="1"/>
  <c r="HL19" i="2" s="1"/>
  <c r="HD14" i="2" l="1"/>
  <c r="HB14" i="2"/>
  <c r="GW15" i="2" s="1"/>
  <c r="HX14" i="2"/>
  <c r="IB14" i="2"/>
  <c r="HK19" i="2"/>
  <c r="HQ19" i="2" s="1"/>
  <c r="HP19" i="2"/>
  <c r="HN19" i="2"/>
  <c r="HS15" i="2" l="1"/>
  <c r="HT15" i="2" s="1"/>
  <c r="HU15" i="2" s="1"/>
  <c r="HW15" i="2" s="1"/>
  <c r="GX15" i="2"/>
  <c r="GY15" i="2" s="1"/>
  <c r="HA15" i="2" s="1"/>
  <c r="HM19" i="2"/>
  <c r="HH20" i="2" s="1"/>
  <c r="HO19" i="2"/>
  <c r="HV15" i="2" l="1"/>
  <c r="HZ15" i="2" s="1"/>
  <c r="GZ15" i="2"/>
  <c r="HF15" i="2" s="1"/>
  <c r="HC15" i="2"/>
  <c r="HE15" i="2"/>
  <c r="IA15" i="2"/>
  <c r="HY15" i="2"/>
  <c r="HI20" i="2"/>
  <c r="IB15" i="2" l="1"/>
  <c r="HX15" i="2"/>
  <c r="HD15" i="2"/>
  <c r="HB15" i="2"/>
  <c r="HS16" i="2" s="1"/>
  <c r="HJ20" i="2"/>
  <c r="GW16" i="2" l="1"/>
  <c r="GX16" i="2" s="1"/>
  <c r="GY16" i="2" s="1"/>
  <c r="HA16" i="2" s="1"/>
  <c r="HT16" i="2"/>
  <c r="HU16" i="2" s="1"/>
  <c r="HW16" i="2" s="1"/>
  <c r="HK20" i="2"/>
  <c r="HO20" i="2" s="1"/>
  <c r="HL20" i="2"/>
  <c r="HN20" i="2" s="1"/>
  <c r="HV16" i="2" l="1"/>
  <c r="HX16" i="2" s="1"/>
  <c r="HC16" i="2"/>
  <c r="HE16" i="2"/>
  <c r="GZ16" i="2"/>
  <c r="IA16" i="2"/>
  <c r="HY16" i="2"/>
  <c r="HP20" i="2"/>
  <c r="HM20" i="2"/>
  <c r="HH21" i="2" s="1"/>
  <c r="HI21" i="2" s="1"/>
  <c r="HJ21" i="2" s="1"/>
  <c r="HK21" i="2" s="1"/>
  <c r="HQ20" i="2"/>
  <c r="HZ16" i="2" l="1"/>
  <c r="IB16" i="2"/>
  <c r="HD16" i="2"/>
  <c r="HB16" i="2"/>
  <c r="HF16" i="2"/>
  <c r="HL21" i="2"/>
  <c r="HN21" i="2" s="1"/>
  <c r="HM21" i="2"/>
  <c r="HO21" i="2"/>
  <c r="HS17" i="2" l="1"/>
  <c r="GW17" i="2"/>
  <c r="HH22" i="2"/>
  <c r="HQ21" i="2"/>
  <c r="HP21" i="2"/>
  <c r="GX17" i="2" l="1"/>
  <c r="GY17" i="2" s="1"/>
  <c r="GZ17" i="2" s="1"/>
  <c r="HT17" i="2"/>
  <c r="HU17" i="2" s="1"/>
  <c r="HW17" i="2" s="1"/>
  <c r="HI22" i="2"/>
  <c r="HA17" i="2" l="1"/>
  <c r="HF17" i="2" s="1"/>
  <c r="HY17" i="2"/>
  <c r="IA17" i="2"/>
  <c r="HV17" i="2"/>
  <c r="HD17" i="2"/>
  <c r="HB17" i="2"/>
  <c r="HJ22" i="2"/>
  <c r="HL22" i="2" s="1"/>
  <c r="HE17" i="2" l="1"/>
  <c r="HC17" i="2"/>
  <c r="GW18" i="2" s="1"/>
  <c r="HZ17" i="2"/>
  <c r="HX17" i="2"/>
  <c r="IB17" i="2"/>
  <c r="HK22" i="2"/>
  <c r="HO22" i="2" s="1"/>
  <c r="HP22" i="2"/>
  <c r="GX18" i="2" l="1"/>
  <c r="GY18" i="2" s="1"/>
  <c r="HA18" i="2" s="1"/>
  <c r="HE18" i="2" s="1"/>
  <c r="HS18" i="2"/>
  <c r="HT18" i="2" s="1"/>
  <c r="HU18" i="2" s="1"/>
  <c r="HW18" i="2" s="1"/>
  <c r="HQ22" i="2"/>
  <c r="HM22" i="2"/>
  <c r="HN22" i="2"/>
  <c r="HC18" i="2" l="1"/>
  <c r="GZ18" i="2"/>
  <c r="HD18" i="2" s="1"/>
  <c r="HV18" i="2"/>
  <c r="HX18" i="2" s="1"/>
  <c r="HY18" i="2"/>
  <c r="IA18" i="2"/>
  <c r="HH23" i="2"/>
  <c r="HI23" i="2" s="1"/>
  <c r="HJ23" i="2" s="1"/>
  <c r="HK23" i="2" s="1"/>
  <c r="HF18" i="2" l="1"/>
  <c r="HB18" i="2"/>
  <c r="GW19" i="2" s="1"/>
  <c r="GX19" i="2" s="1"/>
  <c r="GY19" i="2" s="1"/>
  <c r="HA19" i="2" s="1"/>
  <c r="IB18" i="2"/>
  <c r="HZ18" i="2"/>
  <c r="HL23" i="2"/>
  <c r="HO23" i="2"/>
  <c r="HM23" i="2"/>
  <c r="HS19" i="2" l="1"/>
  <c r="HT19" i="2" s="1"/>
  <c r="HU19" i="2" s="1"/>
  <c r="HW19" i="2" s="1"/>
  <c r="HY19" i="2" s="1"/>
  <c r="HC19" i="2"/>
  <c r="HE19" i="2"/>
  <c r="GZ19" i="2"/>
  <c r="HN23" i="2"/>
  <c r="HH24" i="2" s="1"/>
  <c r="HP23" i="2"/>
  <c r="HQ23" i="2"/>
  <c r="HV19" i="2" l="1"/>
  <c r="HX19" i="2" s="1"/>
  <c r="IA19" i="2"/>
  <c r="HD19" i="2"/>
  <c r="HF19" i="2"/>
  <c r="HB19" i="2"/>
  <c r="HI24" i="2"/>
  <c r="HJ24" i="2" s="1"/>
  <c r="HK24" i="2" s="1"/>
  <c r="IB19" i="2" l="1"/>
  <c r="HZ19" i="2"/>
  <c r="GW20" i="2"/>
  <c r="HS20" i="2"/>
  <c r="HL24" i="2"/>
  <c r="HQ24" i="2" s="1"/>
  <c r="HQ25" i="2" s="1"/>
  <c r="HM24" i="2"/>
  <c r="HM25" i="2" s="1"/>
  <c r="HO24" i="2"/>
  <c r="HK25" i="2"/>
  <c r="GX20" i="2" l="1"/>
  <c r="GY20" i="2" s="1"/>
  <c r="HA20" i="2" s="1"/>
  <c r="HT20" i="2"/>
  <c r="HU20" i="2" s="1"/>
  <c r="HW20" i="2" s="1"/>
  <c r="HL25" i="2"/>
  <c r="HP24" i="2"/>
  <c r="HO25" i="2" s="1"/>
  <c r="HP26" i="2" s="1"/>
  <c r="HP27" i="2" s="1"/>
  <c r="HN24" i="2"/>
  <c r="HN25" i="2" s="1"/>
  <c r="GZ20" i="2" l="1"/>
  <c r="HD20" i="2" s="1"/>
  <c r="HV20" i="2"/>
  <c r="HX20" i="2" s="1"/>
  <c r="HC20" i="2"/>
  <c r="HE20" i="2"/>
  <c r="HY20" i="2"/>
  <c r="IA20" i="2"/>
  <c r="HP28" i="2"/>
  <c r="IB20" i="2" l="1"/>
  <c r="HF20" i="2"/>
  <c r="HB20" i="2"/>
  <c r="HS21" i="2" s="1"/>
  <c r="HZ20" i="2"/>
  <c r="GW21" i="2" l="1"/>
  <c r="GX21" i="2" s="1"/>
  <c r="GY21" i="2" s="1"/>
  <c r="HA21" i="2" s="1"/>
  <c r="HT21" i="2"/>
  <c r="HU21" i="2" s="1"/>
  <c r="HW21" i="2" s="1"/>
  <c r="GZ21" i="2" l="1"/>
  <c r="HD21" i="2" s="1"/>
  <c r="HV21" i="2"/>
  <c r="HZ21" i="2" s="1"/>
  <c r="HE21" i="2"/>
  <c r="HC21" i="2"/>
  <c r="HY21" i="2"/>
  <c r="IA21" i="2"/>
  <c r="E84" i="2"/>
  <c r="G28" i="2" s="1"/>
  <c r="F28" i="2"/>
  <c r="HF21" i="2" l="1"/>
  <c r="HB21" i="2"/>
  <c r="HS22" i="2" s="1"/>
  <c r="IB21" i="2"/>
  <c r="HX21" i="2"/>
  <c r="CP28" i="2"/>
  <c r="CS28" i="2"/>
  <c r="CV28" i="2"/>
  <c r="CY28" i="2"/>
  <c r="DH28" i="2"/>
  <c r="DB28" i="2"/>
  <c r="DE28" i="2"/>
  <c r="DK28" i="2"/>
  <c r="CJ28" i="2"/>
  <c r="CK28" i="2" s="1"/>
  <c r="CM28" i="2"/>
  <c r="GW22" i="2" l="1"/>
  <c r="GX22" i="2" s="1"/>
  <c r="GY22" i="2" s="1"/>
  <c r="HA22" i="2" s="1"/>
  <c r="HT22" i="2"/>
  <c r="HU22" i="2" s="1"/>
  <c r="HV22" i="2" s="1"/>
  <c r="Y34" i="1"/>
  <c r="Y29" i="1"/>
  <c r="CN28" i="2"/>
  <c r="AA29" i="1" s="1"/>
  <c r="CL28" i="2"/>
  <c r="Z29" i="1" s="1"/>
  <c r="HW22" i="2" l="1"/>
  <c r="IB22" i="2" s="1"/>
  <c r="GZ22" i="2"/>
  <c r="HB22" i="2" s="1"/>
  <c r="HE22" i="2"/>
  <c r="HC22" i="2"/>
  <c r="HX22" i="2"/>
  <c r="HZ22" i="2"/>
  <c r="CL29" i="2"/>
  <c r="Z30" i="1" s="1"/>
  <c r="Z34" i="1"/>
  <c r="CQ28" i="2"/>
  <c r="AC29" i="1" s="1"/>
  <c r="AA34" i="1"/>
  <c r="CO28" i="2"/>
  <c r="HF22" i="2" l="1"/>
  <c r="HD22" i="2"/>
  <c r="IA22" i="2"/>
  <c r="HY22" i="2"/>
  <c r="GW23" i="2"/>
  <c r="GX23" i="2" s="1"/>
  <c r="GY23" i="2" s="1"/>
  <c r="HA23" i="2" s="1"/>
  <c r="HC23" i="2" s="1"/>
  <c r="HS23" i="2"/>
  <c r="HT23" i="2" s="1"/>
  <c r="HU23" i="2" s="1"/>
  <c r="HV23" i="2" s="1"/>
  <c r="HX23" i="2" s="1"/>
  <c r="AB29" i="1"/>
  <c r="CO29" i="2"/>
  <c r="CO30" i="2" s="1"/>
  <c r="CL30" i="2"/>
  <c r="Z31" i="1" s="1"/>
  <c r="X34" i="16562"/>
  <c r="X34" i="16556"/>
  <c r="Y35" i="1"/>
  <c r="CR28" i="2"/>
  <c r="AC34" i="1"/>
  <c r="CT28" i="2"/>
  <c r="AB34" i="1"/>
  <c r="HE23" i="2" l="1"/>
  <c r="GZ23" i="2"/>
  <c r="HF23" i="2" s="1"/>
  <c r="HZ23" i="2"/>
  <c r="HW23" i="2"/>
  <c r="HY23" i="2" s="1"/>
  <c r="AB30" i="1"/>
  <c r="AD29" i="1"/>
  <c r="CR29" i="2"/>
  <c r="CR30" i="2" s="1"/>
  <c r="CW28" i="2"/>
  <c r="AG29" i="1" s="1"/>
  <c r="AE29" i="1"/>
  <c r="Y36" i="1"/>
  <c r="AB31" i="1"/>
  <c r="Z34" i="16562"/>
  <c r="CU28" i="2"/>
  <c r="AE34" i="1"/>
  <c r="Z34" i="16556"/>
  <c r="AA35" i="1"/>
  <c r="AD34" i="1"/>
  <c r="HD23" i="2" l="1"/>
  <c r="HB23" i="2"/>
  <c r="HS24" i="2" s="1"/>
  <c r="HT24" i="2" s="1"/>
  <c r="HU24" i="2" s="1"/>
  <c r="HV24" i="2" s="1"/>
  <c r="IA23" i="2"/>
  <c r="IB23" i="2"/>
  <c r="AF29" i="1"/>
  <c r="CU29" i="2"/>
  <c r="CU30" i="2" s="1"/>
  <c r="CZ28" i="2"/>
  <c r="AI29" i="1" s="1"/>
  <c r="AA36" i="1"/>
  <c r="AG34" i="1"/>
  <c r="CX28" i="2"/>
  <c r="CX29" i="2" s="1"/>
  <c r="CX30" i="2" s="1"/>
  <c r="AB34" i="16562"/>
  <c r="AD30" i="1"/>
  <c r="AD31" i="1"/>
  <c r="AC35" i="1"/>
  <c r="AB34" i="16556"/>
  <c r="AF34" i="1"/>
  <c r="GW24" i="2" l="1"/>
  <c r="GX24" i="2" s="1"/>
  <c r="GY24" i="2" s="1"/>
  <c r="HA24" i="2" s="1"/>
  <c r="HA25" i="2" s="1"/>
  <c r="AH30" i="1"/>
  <c r="DC28" i="2"/>
  <c r="AK29" i="1" s="1"/>
  <c r="AI34" i="1"/>
  <c r="DA28" i="2"/>
  <c r="DA29" i="2" s="1"/>
  <c r="DA30" i="2" s="1"/>
  <c r="AC36" i="1"/>
  <c r="AD34" i="16562"/>
  <c r="AF30" i="1"/>
  <c r="AH34" i="1"/>
  <c r="AH29" i="1"/>
  <c r="HW24" i="2"/>
  <c r="HY24" i="2" s="1"/>
  <c r="HY25" i="2" s="1"/>
  <c r="HX24" i="2"/>
  <c r="HX25" i="2" s="1"/>
  <c r="HZ24" i="2"/>
  <c r="HV25" i="2"/>
  <c r="AH31" i="1"/>
  <c r="AF34" i="16562"/>
  <c r="AF31" i="1"/>
  <c r="AE35" i="1"/>
  <c r="AE36" i="1" s="1"/>
  <c r="AD34" i="16556"/>
  <c r="AF34" i="16556"/>
  <c r="AG35" i="1"/>
  <c r="AG36" i="1" s="1"/>
  <c r="HE24" i="2" l="1"/>
  <c r="HC24" i="2"/>
  <c r="HC25" i="2" s="1"/>
  <c r="GZ24" i="2"/>
  <c r="HD24" i="2" s="1"/>
  <c r="AJ34" i="1"/>
  <c r="DF28" i="2"/>
  <c r="AM29" i="1" s="1"/>
  <c r="AK34" i="1"/>
  <c r="DD28" i="2"/>
  <c r="DD29" i="2" s="1"/>
  <c r="DD30" i="2" s="1"/>
  <c r="AJ30" i="1"/>
  <c r="AJ29" i="1"/>
  <c r="HW25" i="2"/>
  <c r="IB24" i="2"/>
  <c r="IB25" i="2" s="1"/>
  <c r="IA24" i="2"/>
  <c r="HZ25" i="2" s="1"/>
  <c r="AJ31" i="1"/>
  <c r="AH34" i="16562"/>
  <c r="AI35" i="1"/>
  <c r="AI36" i="1" s="1"/>
  <c r="AH34" i="16556"/>
  <c r="GZ25" i="2" l="1"/>
  <c r="HD25" i="2"/>
  <c r="HB24" i="2"/>
  <c r="HB25" i="2" s="1"/>
  <c r="HF24" i="2"/>
  <c r="HF25" i="2" s="1"/>
  <c r="AL29" i="1"/>
  <c r="AL30" i="1"/>
  <c r="DI28" i="2"/>
  <c r="AO29" i="1" s="1"/>
  <c r="AL34" i="1"/>
  <c r="AM34" i="1"/>
  <c r="DG28" i="2"/>
  <c r="DG29" i="2" s="1"/>
  <c r="DG30" i="2" s="1"/>
  <c r="IA26" i="2"/>
  <c r="IA27" i="2" s="1"/>
  <c r="IA28" i="2" s="1"/>
  <c r="AL31" i="1"/>
  <c r="AJ34" i="16562"/>
  <c r="AK35" i="1"/>
  <c r="AK36" i="1" s="1"/>
  <c r="AJ34" i="16556"/>
  <c r="HE26" i="2" l="1"/>
  <c r="HE27" i="2" s="1"/>
  <c r="HE28" i="2" s="1"/>
  <c r="GS27" i="2" s="1"/>
  <c r="B99" i="2" s="1"/>
  <c r="AN29" i="1"/>
  <c r="AN34" i="1"/>
  <c r="DL28" i="2"/>
  <c r="AQ29" i="1" s="1"/>
  <c r="AO34" i="1"/>
  <c r="DJ28" i="2"/>
  <c r="DJ29" i="2" s="1"/>
  <c r="DJ30" i="2" s="1"/>
  <c r="AN30" i="1"/>
  <c r="AN31" i="1"/>
  <c r="AL34" i="16562"/>
  <c r="AM35" i="1"/>
  <c r="AM36" i="1" s="1"/>
  <c r="AL34" i="16556"/>
  <c r="CS4" i="3" l="1"/>
  <c r="CT4" i="3" s="1"/>
  <c r="D99" i="2"/>
  <c r="AP29" i="1"/>
  <c r="DM28" i="2"/>
  <c r="AR34" i="1" s="1"/>
  <c r="AP34" i="1"/>
  <c r="AQ34" i="1"/>
  <c r="AP30" i="1"/>
  <c r="AP31" i="1"/>
  <c r="AN34" i="16562"/>
  <c r="AO35" i="1"/>
  <c r="AO36" i="1" s="1"/>
  <c r="AN34" i="16556"/>
  <c r="AR29" i="1" l="1"/>
  <c r="DM29" i="2"/>
  <c r="DM30" i="2" s="1"/>
  <c r="AR31" i="1" s="1"/>
  <c r="H66" i="2" l="1"/>
  <c r="A66" i="2" s="1"/>
  <c r="AP34" i="16562"/>
  <c r="AR30" i="1"/>
  <c r="AP34" i="16556"/>
  <c r="AQ35" i="1"/>
  <c r="AQ36" i="1" s="1"/>
  <c r="E66" i="2"/>
  <c r="C54" i="16556" l="1"/>
  <c r="C54" i="16562"/>
  <c r="I66" i="2"/>
  <c r="J66" i="2" s="1"/>
  <c r="C62" i="1" s="1"/>
  <c r="C60" i="1"/>
  <c r="C78" i="2"/>
  <c r="C89" i="2"/>
  <c r="D89" i="2"/>
  <c r="IF43" i="2" s="1"/>
  <c r="C56" i="16556" l="1"/>
  <c r="C56" i="16562"/>
  <c r="IF49" i="2"/>
  <c r="IF51" i="2" s="1"/>
  <c r="B40" i="2"/>
  <c r="IE43" i="2"/>
  <c r="IE49" i="2" s="1"/>
  <c r="IE51" i="2" s="1"/>
  <c r="ID43" i="2"/>
  <c r="ID49" i="2" s="1"/>
  <c r="ID51" i="2" s="1"/>
  <c r="ID53" i="2" s="1"/>
  <c r="ID55" i="2" s="1"/>
  <c r="ID38" i="2" s="1"/>
  <c r="C96" i="2"/>
  <c r="C40" i="2"/>
  <c r="D40" i="2" l="1"/>
  <c r="B89" i="2" s="1"/>
  <c r="E89" i="2" s="1"/>
  <c r="IF53" i="2"/>
  <c r="IF55" i="2" s="1"/>
  <c r="IE53" i="2"/>
  <c r="IE55" i="2" s="1"/>
  <c r="IE38" i="2" l="1"/>
  <c r="IF38" i="2" l="1"/>
  <c r="ID35" i="2" s="1"/>
  <c r="B91" i="2"/>
  <c r="A33" i="2" s="1"/>
  <c r="D96" i="2"/>
  <c r="A96" i="2" s="1"/>
  <c r="T3" i="4" s="1"/>
  <c r="E82" i="2" l="1"/>
  <c r="A82" i="2" s="1"/>
  <c r="D91" i="2" s="1"/>
  <c r="T1" i="4"/>
  <c r="F46" i="1"/>
  <c r="EG8" i="2" s="1"/>
  <c r="C74" i="1"/>
  <c r="A77" i="2"/>
  <c r="A84" i="2"/>
  <c r="C91" i="2" l="1"/>
  <c r="E91" i="2" s="1"/>
  <c r="A91" i="2" s="1"/>
  <c r="C70" i="1" s="1"/>
  <c r="CQ4" i="3"/>
  <c r="CR4" i="3" s="1"/>
  <c r="DC4" i="3" s="1"/>
  <c r="DD4" i="3" s="1"/>
  <c r="P46" i="1" s="1"/>
  <c r="CL4" i="3" s="1"/>
  <c r="CM4" i="3" s="1"/>
  <c r="A88" i="2" l="1"/>
  <c r="R3" i="4" s="1"/>
  <c r="R1" i="4" s="1"/>
  <c r="K5" i="1" s="1"/>
  <c r="K5" i="16562" s="1"/>
  <c r="CH4" i="3"/>
  <c r="CI4" i="3" s="1"/>
  <c r="C43" i="2"/>
  <c r="CJ4" i="3"/>
  <c r="CK4" i="3" s="1"/>
  <c r="E35" i="1"/>
  <c r="E35" i="16562" s="1"/>
  <c r="B43" i="2"/>
  <c r="AL8" i="3"/>
  <c r="AM8" i="3" s="1"/>
  <c r="AL9" i="3"/>
  <c r="AL11" i="3"/>
  <c r="AL5" i="3"/>
  <c r="AM5" i="3" s="1"/>
  <c r="AL6" i="3"/>
  <c r="AM6" i="3" s="1"/>
  <c r="AL7" i="3"/>
  <c r="AM7" i="3" s="1"/>
  <c r="BW65" i="4"/>
  <c r="BX65" i="4" s="1"/>
  <c r="BW57" i="4"/>
  <c r="BY57" i="4" s="1"/>
  <c r="BW64" i="4"/>
  <c r="BY64" i="4" s="1"/>
  <c r="BW62" i="4"/>
  <c r="BY62" i="4" s="1"/>
  <c r="BW63" i="4"/>
  <c r="BX63" i="4" s="1"/>
  <c r="BW61" i="4"/>
  <c r="BX61" i="4" s="1"/>
  <c r="BW68" i="4"/>
  <c r="BX68" i="4" s="1"/>
  <c r="BW58" i="4"/>
  <c r="BX58" i="4" s="1"/>
  <c r="BW66" i="4"/>
  <c r="BX66" i="4" s="1"/>
  <c r="BW69" i="4"/>
  <c r="BX69" i="4" s="1"/>
  <c r="BW60" i="4"/>
  <c r="BX60" i="4" s="1"/>
  <c r="BW70" i="4"/>
  <c r="BX70" i="4" s="1"/>
  <c r="BW71" i="4"/>
  <c r="BW59" i="4"/>
  <c r="BX59" i="4" s="1"/>
  <c r="BW56" i="4"/>
  <c r="BY56" i="4" s="1"/>
  <c r="BW67" i="4"/>
  <c r="BX67" i="4" s="1"/>
  <c r="D35" i="2" l="1"/>
  <c r="BD4" i="3" s="1"/>
  <c r="BE4" i="3" s="1"/>
  <c r="BJ4" i="3" s="1"/>
  <c r="BK4" i="3" s="1"/>
  <c r="P11" i="1" s="1"/>
  <c r="E46" i="1"/>
  <c r="D43" i="2"/>
  <c r="DF4" i="3" s="1"/>
  <c r="DG4" i="3" s="1"/>
  <c r="P35" i="1" s="1"/>
  <c r="CN4" i="3"/>
  <c r="CO4" i="3" s="1"/>
  <c r="P5" i="1" s="1"/>
  <c r="K1" i="4"/>
  <c r="L1" i="4" s="1"/>
  <c r="K1" i="1" s="1"/>
  <c r="E35" i="16556"/>
  <c r="K5" i="16556"/>
  <c r="BX71" i="4"/>
  <c r="AM9" i="3"/>
  <c r="BJ9" i="3" s="1"/>
  <c r="BK9" i="3" s="1"/>
  <c r="P17" i="1" s="1"/>
  <c r="AM11" i="3"/>
  <c r="BJ11" i="3" s="1"/>
  <c r="BK11" i="3" s="1"/>
  <c r="P19" i="1" s="1"/>
  <c r="AL10" i="3"/>
  <c r="AM10" i="3" s="1"/>
  <c r="BY59" i="4"/>
  <c r="BX62" i="4"/>
  <c r="BY69" i="4"/>
  <c r="BY61" i="4"/>
  <c r="BY58" i="4"/>
  <c r="BY71" i="4"/>
  <c r="AL19" i="3" s="1"/>
  <c r="BJ6" i="3"/>
  <c r="BK6" i="3" s="1"/>
  <c r="P14" i="1" s="1"/>
  <c r="BJ5" i="3"/>
  <c r="BK5" i="3" s="1"/>
  <c r="P13" i="1" s="1"/>
  <c r="BJ8" i="3"/>
  <c r="BK8" i="3" s="1"/>
  <c r="P16" i="1" s="1"/>
  <c r="BY65" i="4"/>
  <c r="BY66" i="4"/>
  <c r="BX56" i="4"/>
  <c r="BJ7" i="3"/>
  <c r="BK7" i="3" s="1"/>
  <c r="P15" i="1" s="1"/>
  <c r="BY68" i="4"/>
  <c r="BY63" i="4"/>
  <c r="BX57" i="4"/>
  <c r="BY60" i="4"/>
  <c r="BX64" i="4"/>
  <c r="BY67" i="4"/>
  <c r="BY70" i="4"/>
  <c r="K1" i="16562" l="1"/>
  <c r="K1" i="16556"/>
  <c r="AM19" i="3"/>
  <c r="BJ19" i="3" s="1"/>
  <c r="BK19" i="3" s="1"/>
  <c r="P27" i="1" s="1"/>
  <c r="BJ10" i="3"/>
  <c r="BK10" i="3" s="1"/>
  <c r="P18" i="1" s="1"/>
  <c r="DI4" i="3" l="1"/>
  <c r="DJ4" i="3" s="1"/>
  <c r="P3" i="1" s="1"/>
</calcChain>
</file>

<file path=xl/comments1.xml><?xml version="1.0" encoding="utf-8"?>
<comments xmlns="http://schemas.openxmlformats.org/spreadsheetml/2006/main">
  <authors>
    <author>Смирнов С.В.</author>
    <author>sandomirsky</author>
    <author>Сандомирский И.Ю.</author>
  </authors>
  <commentList>
    <comment ref="Z2" authorId="0" shapeId="0">
      <text>
        <r>
          <rPr>
            <b/>
            <sz val="9"/>
            <color indexed="81"/>
            <rFont val="Tahoma"/>
            <family val="2"/>
            <charset val="204"/>
          </rPr>
          <t>01 - Выключатель (блок АВР) на вводе присоединен к трехфазной пятипроводной сети (система заземления TN-S)
02 - УЗО на вводе присоединено к трехфазной пятипроводной сети (система заземления TN-S)
03 - Фазные зажимы на вводе присоединены к трехфазной пятипроводной сети (система заземления TN-S)
04 - Выключатель на вводе присоединен к трехфазной четырехпроводной сети (система заземления TN-C)
05 - Фазные зажимы на вводе присоединены к трехфазной четырехпроводной сети (система заземления TN-C)
06 - Выключатель на вводе присоединен к трехфазной четырехпроводной сети (система заземления TN-C-S)
07 - Фазные зажимы на вводе присоединены к трехфазной четырехпроводной сети (система заземления TN-C-S)
08 - УЗО на вводе присоединено к трехфазной четырехпроводной сети (система заземления TT, IT)
09 - Выключатель на вводе присоединен к сети постоянного тока(система заземления IT)
00 - Вариант главной схемы отличный от 01...08</t>
        </r>
      </text>
    </comment>
    <comment ref="E34" authorId="1" shapeId="0">
      <text>
        <r>
          <rPr>
            <b/>
            <sz val="9"/>
            <color indexed="81"/>
            <rFont val="Tahoma"/>
            <family val="2"/>
            <charset val="204"/>
          </rPr>
          <t>блок сигнализации занимает 135 мм</t>
        </r>
      </text>
    </comment>
    <comment ref="E35" authorId="2" shapeId="0">
      <text>
        <r>
          <rPr>
            <b/>
            <sz val="9"/>
            <color indexed="81"/>
            <rFont val="Tahoma"/>
            <family val="2"/>
            <charset val="204"/>
          </rPr>
          <t>Напольное исполнение ПР при высоте более 1200мм.
В остальных случаях навесное исполнение.</t>
        </r>
      </text>
    </comment>
    <comment ref="C41" authorId="0" shapeId="0">
      <text>
        <r>
          <rPr>
            <b/>
            <sz val="9"/>
            <color indexed="81"/>
            <rFont val="Tahoma"/>
            <family val="2"/>
            <charset val="204"/>
          </rPr>
          <t>ПР - пункт распределительный (ящичный/шкафной)
ЩР - щиток распределительный (ящичный)</t>
        </r>
      </text>
    </comment>
    <comment ref="C4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Для  ПР устанавливается блок обогрева при УХЛ1,УХЛ2,У1,У2,Т1,Т2,Т3 </t>
        </r>
      </text>
    </comment>
    <comment ref="C43" authorId="1" shapeId="0">
      <text>
        <r>
          <rPr>
            <b/>
            <sz val="9"/>
            <color indexed="81"/>
            <rFont val="Tahoma"/>
            <family val="2"/>
            <charset val="204"/>
          </rPr>
          <t>При нетиповом исполнении автоматически присваивается номер схемы 00 в обозначении шкафа</t>
        </r>
      </text>
    </comment>
    <comment ref="C46" authorId="2" shapeId="0">
      <text>
        <r>
          <rPr>
            <sz val="9"/>
            <color indexed="81"/>
            <rFont val="Tahoma"/>
            <family val="2"/>
            <charset val="204"/>
          </rPr>
          <t>При отключении ограничений корректность габаритных размеров уточните у конструкторов</t>
        </r>
      </text>
    </comment>
    <comment ref="C48" authorId="2" shapeId="0">
      <text>
        <r>
          <rPr>
            <sz val="9"/>
            <color indexed="81"/>
            <rFont val="Tahoma"/>
            <family val="2"/>
            <charset val="204"/>
          </rPr>
          <t>При отключении ограничений корректность габаритных размеров уточните у конструкторов</t>
        </r>
      </text>
    </comment>
  </commentList>
</comments>
</file>

<file path=xl/comments2.xml><?xml version="1.0" encoding="utf-8"?>
<comments xmlns="http://schemas.openxmlformats.org/spreadsheetml/2006/main">
  <authors>
    <author>Смирнов С.В.</author>
  </authors>
  <commentList>
    <comment ref="Y2" authorId="0" shapeId="0">
      <text>
        <r>
          <rPr>
            <b/>
            <sz val="9"/>
            <color indexed="81"/>
            <rFont val="Tahoma"/>
            <family val="2"/>
            <charset val="204"/>
          </rPr>
          <t>01 - Выключатель (блок АВР) на вводе присоединен к трехфазной пятипроводной сети (система заземления TN-S)
02 - УЗО на вводе присоединено к трехфазной пятипроводной сети (система заземления TN-S)
03 - Фазные зажимы на вводе присоединены к трехфазной пятипроводной сети (система заземления TN-S)
04 - Выключатель на вводе присоединен к трехфазной четырехпроводной сети (система заземления TN-C)
05 - Фазные зажимы на вводе присоединены к трехфазной четырехпроводной сети (система заземления TN-C)
06 - Выключатель на вводе присоединен к трехфазной четырехпроводной сети (система заземления TN-C-S)
07 - Фазные зажимы на вводе присоединены к трехфазной четырехпроводной сети (система заземления TN-C-S)
08 - УЗО на вводе присоединено к трехфазной четырехпроводной сети (система заземления TT, IT)
09 - Выключатель на вводе присоединен к сети постоянного тока(система заземления IT)
00 - Вариант главной схемы отличный от 01...08</t>
        </r>
      </text>
    </comment>
  </commentList>
</comments>
</file>

<file path=xl/comments3.xml><?xml version="1.0" encoding="utf-8"?>
<comments xmlns="http://schemas.openxmlformats.org/spreadsheetml/2006/main">
  <authors>
    <author>Смирнов С.В.</author>
  </authors>
  <commentList>
    <comment ref="Y2" authorId="0" shapeId="0">
      <text>
        <r>
          <rPr>
            <b/>
            <sz val="9"/>
            <color indexed="81"/>
            <rFont val="Tahoma"/>
            <family val="2"/>
            <charset val="204"/>
          </rPr>
          <t>01 - Выключатель (блок АВР) на вводе присоединен к трехфазной пятипроводной сети (система заземления TN-S)
02 - УЗО на вводе присоединено к трехфазной пятипроводной сети (система заземления TN-S)
03 - Фазные зажимы на вводе присоединены к трехфазной пятипроводной сети (система заземления TN-S)
04 - Выключатель на вводе присоединен к трехфазной четырехпроводной сети (система заземления TN-C)
05 - Фазные зажимы на вводе присоединены к трехфазной четырехпроводной сети (система заземления TN-C)
06 - Выключатель на вводе присоединен к трехфазной четырехпроводной сети (система заземления TN-C-S)
07 - Фазные зажимы на вводе присоединены к трехфазной четырехпроводной сети (система заземления TN-C-S)
08 - УЗО на вводе присоединено к трехфазной четырехпроводной сети (система заземления TT, IT)
09 - Выключатель на вводе присоединен к сети постоянного тока(система заземления IT)
00 - Вариант главной схемы отличный от 01...08</t>
        </r>
      </text>
    </comment>
  </commentList>
</comments>
</file>

<file path=xl/sharedStrings.xml><?xml version="1.0" encoding="utf-8"?>
<sst xmlns="http://schemas.openxmlformats.org/spreadsheetml/2006/main" count="13001" uniqueCount="1333">
  <si>
    <t>Обозначение ПР (ЩР) по РД-0721-87</t>
  </si>
  <si>
    <t>Обозначение ПР (ЩР) на объекте</t>
  </si>
  <si>
    <t>Система заземления</t>
  </si>
  <si>
    <t>Номинальный ожидаемый ток КЗ, кА</t>
  </si>
  <si>
    <t>Габаритный размер ПР (ЩР) (Высота х Ширина х Глубина), мм</t>
  </si>
  <si>
    <t>TN-S</t>
  </si>
  <si>
    <t>TN-C</t>
  </si>
  <si>
    <t>TN-C-S</t>
  </si>
  <si>
    <t>Маркировка</t>
  </si>
  <si>
    <t>Выключатель</t>
  </si>
  <si>
    <t>Кол. полюсов</t>
  </si>
  <si>
    <t>In, А</t>
  </si>
  <si>
    <t>Тип расцепителя / Кривая отключения</t>
  </si>
  <si>
    <t>Ir, А</t>
  </si>
  <si>
    <t>Im, А</t>
  </si>
  <si>
    <t>Кабель</t>
  </si>
  <si>
    <t xml:space="preserve">Место ввода </t>
  </si>
  <si>
    <t>Данные для выключателей присоединений</t>
  </si>
  <si>
    <t>Выключатель ввода</t>
  </si>
  <si>
    <t>iC60N</t>
  </si>
  <si>
    <t>iC60H</t>
  </si>
  <si>
    <t>iC60L</t>
  </si>
  <si>
    <t>NSX100B</t>
  </si>
  <si>
    <t>NSX100F</t>
  </si>
  <si>
    <t>NSX160B</t>
  </si>
  <si>
    <t>NSX160F</t>
  </si>
  <si>
    <t>NSX250B</t>
  </si>
  <si>
    <t>NSX250F</t>
  </si>
  <si>
    <t>NSX400F</t>
  </si>
  <si>
    <t>NSX630F</t>
  </si>
  <si>
    <t>-</t>
  </si>
  <si>
    <t>Обозначение степени защиты оболочки</t>
  </si>
  <si>
    <t>Климатическое исполнение</t>
  </si>
  <si>
    <t>Выключатель на вводе присоединен к трехфазной пятипроводной сети (система заземления TN-S)</t>
  </si>
  <si>
    <t>Другое</t>
  </si>
  <si>
    <t>УЗО на вводе присоединено к трехфазной пятипроводной сети (система заземления TN-S)</t>
  </si>
  <si>
    <t>Фазные зажимы на вводе присоединены к трехфазной пятипроводной сети (система заземления TN-S)</t>
  </si>
  <si>
    <t>Выключатель на вводе присоединен к трехфазной четырехпроводной сети (система заземления TN-C)</t>
  </si>
  <si>
    <t>Фазные зажимы на вводе присоединены к трехфазной четырехпроводной сети (система заземления TN-C)</t>
  </si>
  <si>
    <t>Выключатель на вводе присоединен к трехфазной четырехпроводной сети (система заземления TN-C-S)</t>
  </si>
  <si>
    <t>Фазные зажимы на вводе присоединены к трехфазной четырехпроводной сети (система заземления TN-C-S)</t>
  </si>
  <si>
    <t>УЗО на вводе присоединено к трехфазной четырехпроводной сети (система заземления TT, IT)</t>
  </si>
  <si>
    <t>Выключатель на вводе присоединен к сети постоянного тока(система заземления IT)</t>
  </si>
  <si>
    <t>IP31</t>
  </si>
  <si>
    <t>IP41</t>
  </si>
  <si>
    <t>IP54</t>
  </si>
  <si>
    <t>Т3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</si>
  <si>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</si>
  <si>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</si>
  <si>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</si>
  <si>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</si>
  <si>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</si>
  <si>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</si>
  <si>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</si>
  <si>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</si>
  <si>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</si>
  <si>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00</t>
  </si>
  <si>
    <t>B</t>
  </si>
  <si>
    <t>C</t>
  </si>
  <si>
    <t>D</t>
  </si>
  <si>
    <t>TM16D</t>
  </si>
  <si>
    <t>TM25D</t>
  </si>
  <si>
    <t>TM40D</t>
  </si>
  <si>
    <t>TM50D</t>
  </si>
  <si>
    <t>TM63D</t>
  </si>
  <si>
    <t>TM80D</t>
  </si>
  <si>
    <t>TM100D</t>
  </si>
  <si>
    <t>TM125D</t>
  </si>
  <si>
    <t>TM160D</t>
  </si>
  <si>
    <t>TM200D</t>
  </si>
  <si>
    <t>TM250D</t>
  </si>
  <si>
    <t>Micrologic 2.2, 40А</t>
  </si>
  <si>
    <t>Micrologic 2.2, 100А</t>
  </si>
  <si>
    <t>Micrologic 2.2, 160А</t>
  </si>
  <si>
    <t>Micrologic 2.2, 250А</t>
  </si>
  <si>
    <t>Micrologic 2.3, 400А</t>
  </si>
  <si>
    <t>Micrologic 2.3, 630А</t>
  </si>
  <si>
    <t>Номер главной схемы в соответствии с приложением А</t>
  </si>
  <si>
    <t>Место ввода</t>
  </si>
  <si>
    <t>сверху</t>
  </si>
  <si>
    <t>снизу</t>
  </si>
  <si>
    <t>+</t>
  </si>
  <si>
    <t>Исполнение по способу установки</t>
  </si>
  <si>
    <t>Подвод</t>
  </si>
  <si>
    <t>Сечение</t>
  </si>
  <si>
    <t>ОЛ1</t>
  </si>
  <si>
    <t>ОЛ2</t>
  </si>
  <si>
    <t>ОЛ3</t>
  </si>
  <si>
    <t>ОЛ4</t>
  </si>
  <si>
    <t>ОЛ5</t>
  </si>
  <si>
    <t>ОЛ6</t>
  </si>
  <si>
    <t>ОЛ7</t>
  </si>
  <si>
    <t>ОЛ8</t>
  </si>
  <si>
    <t>ОЛ9</t>
  </si>
  <si>
    <t>ОЛ10</t>
  </si>
  <si>
    <t>Ном.ток, А</t>
  </si>
  <si>
    <t>H, мм</t>
  </si>
  <si>
    <t>H_ряда, мм</t>
  </si>
  <si>
    <t>Кол-во рядов</t>
  </si>
  <si>
    <t>Ширина</t>
  </si>
  <si>
    <t>Ширина, мм</t>
  </si>
  <si>
    <t>Глубина, мм</t>
  </si>
  <si>
    <t>Наличие блока сигнализации авар.откл-я АВ</t>
  </si>
  <si>
    <t>H4 (Зона блока сигнализации)</t>
  </si>
  <si>
    <t>H5 (Зона шин N-PE-PEN)</t>
  </si>
  <si>
    <t>iC60</t>
  </si>
  <si>
    <t xml:space="preserve"> !Несоответствие кол-ва полюсов</t>
  </si>
  <si>
    <t>Рекомендация 1</t>
  </si>
  <si>
    <t>Рекомендация 2</t>
  </si>
  <si>
    <t>Рекомендация 3</t>
  </si>
  <si>
    <t>NSX100</t>
  </si>
  <si>
    <t>TM32D</t>
  </si>
  <si>
    <t>NSX160</t>
  </si>
  <si>
    <t>NSX250</t>
  </si>
  <si>
    <t>NSX400</t>
  </si>
  <si>
    <t>NSX630</t>
  </si>
  <si>
    <t>Вводной</t>
  </si>
  <si>
    <t>iC60N (АВР.ПР06-025)</t>
  </si>
  <si>
    <t>Данные вводного выключателя (блок АВР)/ номинальный ток НКУ без вводного выключателя</t>
  </si>
  <si>
    <t>iC60H (АВР.ПР06-025)</t>
  </si>
  <si>
    <t>iC60L (АВР.ПР06-025)</t>
  </si>
  <si>
    <t>iC60N (АВР.ПР06-040)</t>
  </si>
  <si>
    <t>iC60H (АВР.ПР06-040)</t>
  </si>
  <si>
    <t>iC60L (АВР.ПР06-040)</t>
  </si>
  <si>
    <t>iC60N (АВР.ПР06-063)</t>
  </si>
  <si>
    <t>iC60H (АВР.ПР06-063)</t>
  </si>
  <si>
    <t>iC60L (АВР.ПР06-063)</t>
  </si>
  <si>
    <t>NSX400F (АВР.ПР06-400)</t>
  </si>
  <si>
    <t>NSX100B (АВР.ПР06-100)</t>
  </si>
  <si>
    <t>NSX100F (АВР.ПР06-100)</t>
  </si>
  <si>
    <t>NSX160B (АВР.ПР06-160)</t>
  </si>
  <si>
    <t>NSX160F (АВР.ПР06-160)</t>
  </si>
  <si>
    <t>NSX250B (АВР.ПР06-250)</t>
  </si>
  <si>
    <t>NSX250F (АВР.ПР06-250)</t>
  </si>
  <si>
    <t>Кол-во полюсов (фаза подключения)</t>
  </si>
  <si>
    <t>Вводной блок</t>
  </si>
  <si>
    <t>1 (фаза А/L1)</t>
  </si>
  <si>
    <t>1 (фаза B/L2)</t>
  </si>
  <si>
    <t>1 (фаза C/L3)</t>
  </si>
  <si>
    <t>2 (фаза А/L1)</t>
  </si>
  <si>
    <t>2 (фаза B/L2)</t>
  </si>
  <si>
    <t>2 (фаза C/L3)</t>
  </si>
  <si>
    <t>Сечение жилы</t>
  </si>
  <si>
    <t>NSX100NA</t>
  </si>
  <si>
    <t>NSX160NA</t>
  </si>
  <si>
    <t>NSX250NA</t>
  </si>
  <si>
    <t>NSX400NA</t>
  </si>
  <si>
    <t>NSX630NA</t>
  </si>
  <si>
    <t>C60H-DC</t>
  </si>
  <si>
    <t>iSW</t>
  </si>
  <si>
    <t>iID</t>
  </si>
  <si>
    <t>IT</t>
  </si>
  <si>
    <t>УХЛ2</t>
  </si>
  <si>
    <t>У2</t>
  </si>
  <si>
    <t>УХЛ1</t>
  </si>
  <si>
    <t>У1</t>
  </si>
  <si>
    <t>Т2</t>
  </si>
  <si>
    <t>Т1</t>
  </si>
  <si>
    <t>Рекомендация 4</t>
  </si>
  <si>
    <t>ВВГнг-LS</t>
  </si>
  <si>
    <t>NSX до 250А, до 1х120/2х70 мм2</t>
  </si>
  <si>
    <t>NSX до 250А, до 1х150/2х150 мм2</t>
  </si>
  <si>
    <t>ОЛ11</t>
  </si>
  <si>
    <t>ОЛ12</t>
  </si>
  <si>
    <t>ОЛ13</t>
  </si>
  <si>
    <t>ОЛ14</t>
  </si>
  <si>
    <t>ОЛ15</t>
  </si>
  <si>
    <t>Примечание:</t>
  </si>
  <si>
    <t>NSX до 250А, до 1х70 мм2</t>
  </si>
  <si>
    <t>NSX до 630А, до 1х185/2х150 мм2</t>
  </si>
  <si>
    <t>Кривая</t>
  </si>
  <si>
    <t>Выключатель отходящий</t>
  </si>
  <si>
    <t>Полюс</t>
  </si>
  <si>
    <t>Расцепитель</t>
  </si>
  <si>
    <t>Выбор тока уставки Ir</t>
  </si>
  <si>
    <t>Уставка Ir</t>
  </si>
  <si>
    <t>Micrologic</t>
  </si>
  <si>
    <t>TM200D,TM250D</t>
  </si>
  <si>
    <t>TM16…160D</t>
  </si>
  <si>
    <t>Выбор тока утечки Id</t>
  </si>
  <si>
    <t>2P</t>
  </si>
  <si>
    <t>4P</t>
  </si>
  <si>
    <t xml:space="preserve">Vigi для iC60 </t>
  </si>
  <si>
    <t>3P</t>
  </si>
  <si>
    <t xml:space="preserve"> тип кабеля </t>
  </si>
  <si>
    <t xml:space="preserve"> диаметр кабеля </t>
  </si>
  <si>
    <t xml:space="preserve"> сальник </t>
  </si>
  <si>
    <t>Creolon B</t>
  </si>
  <si>
    <t>18153417  САЛЬНИК PG36, ДИАМЕТР ПРОВОДНИКА 24...32 ММ ТУ 3449-110-18461115-03</t>
  </si>
  <si>
    <t>18153418  САЛЬНИК PG42, ДИАМЕТР ПРОВОДНИКА 30...40 ММ ТУ 3449-110-18461115-03</t>
  </si>
  <si>
    <t>18153419  САЛЬНИК PG48, ДИАМЕТР ПРОВОДНИКА 36...44 ММ ТУ 3449-110-18461115-03</t>
  </si>
  <si>
    <t>Pyrohalon Plus</t>
  </si>
  <si>
    <t>ААШВ</t>
  </si>
  <si>
    <t>18153416  САЛЬНИК PG29, ДИАМЕТР ПРОВОДНИКА 18...24 ММ ТУ 3449-110-18461115-03</t>
  </si>
  <si>
    <t>18153415  САЛЬНИК PG21, ДИАМЕТР ПРОВОДНИКА 15...18 ММ ТУ 3449-110-18461115-03</t>
  </si>
  <si>
    <t>18153414  САЛЬНИК PG16, ДИАМЕТР ПРОВОДНИКА 9...13 ММ ТУ 3449-110-18461115-03</t>
  </si>
  <si>
    <t>АВВГнг-LS</t>
  </si>
  <si>
    <t>18153413  САЛЬНИК PG13.5, ДИАМЕТР ПРОВОДНИКА 7...11 ММ ТУ 3449-110-18461115-03</t>
  </si>
  <si>
    <t>АВВГЭнг-LS</t>
  </si>
  <si>
    <t>ВБбШв</t>
  </si>
  <si>
    <t>ВБбШвнг</t>
  </si>
  <si>
    <t>ВВГнг-FRLS</t>
  </si>
  <si>
    <t>Герда-КВКнг-LS</t>
  </si>
  <si>
    <t>КВБбШвнг</t>
  </si>
  <si>
    <t>КВВГнг-FRLS</t>
  </si>
  <si>
    <t>КВВГнг-LS</t>
  </si>
  <si>
    <t>КВВГЭнг-FRLS</t>
  </si>
  <si>
    <t>КВВГЭнг-LS</t>
  </si>
  <si>
    <t>КГВВнг</t>
  </si>
  <si>
    <t>КГН</t>
  </si>
  <si>
    <t>КМПВнг-LS</t>
  </si>
  <si>
    <t>КНР</t>
  </si>
  <si>
    <t>ППГнг-FRHF</t>
  </si>
  <si>
    <t>ППГнг-НF</t>
  </si>
  <si>
    <t>СИП-2А</t>
  </si>
  <si>
    <t>18153408  U070603009 САЛЬНИК MG63, ДИАМЕТР ПРОВОДНИКА 44...54 ММ ТУ 3449-110-18461115-03</t>
  </si>
  <si>
    <t>сечение жилы</t>
  </si>
  <si>
    <t xml:space="preserve">количество жил </t>
  </si>
  <si>
    <t>Сальник</t>
  </si>
  <si>
    <t>Размер кабеля</t>
  </si>
  <si>
    <t>MG63</t>
  </si>
  <si>
    <t>У480</t>
  </si>
  <si>
    <t>PG48</t>
  </si>
  <si>
    <t>PG42</t>
  </si>
  <si>
    <t>PG36</t>
  </si>
  <si>
    <t>PG29</t>
  </si>
  <si>
    <t>PG21</t>
  </si>
  <si>
    <t>PG16</t>
  </si>
  <si>
    <t>PG13</t>
  </si>
  <si>
    <t>Номер АВ</t>
  </si>
  <si>
    <t>Количество АВ</t>
  </si>
  <si>
    <t>Расположение</t>
  </si>
  <si>
    <t>Тип сальника</t>
  </si>
  <si>
    <t>кол-во столбцов</t>
  </si>
  <si>
    <t>200 мм</t>
  </si>
  <si>
    <t>300 мм</t>
  </si>
  <si>
    <t>400 мм</t>
  </si>
  <si>
    <t>Отступ</t>
  </si>
  <si>
    <t>глубина, мм</t>
  </si>
  <si>
    <t>Степень защиты</t>
  </si>
  <si>
    <t>кол-во сальников</t>
  </si>
  <si>
    <t>Глубина</t>
  </si>
  <si>
    <t>Размещается?</t>
  </si>
  <si>
    <t xml:space="preserve"> !Несоответствие выключателя и расцепителя</t>
  </si>
  <si>
    <t>Определение типа аппарата</t>
  </si>
  <si>
    <t>Глубина по аппаратам, мм</t>
  </si>
  <si>
    <t>Глубина по сальникам, мм</t>
  </si>
  <si>
    <t>Выбор ширины, мм</t>
  </si>
  <si>
    <t>Тип, Id</t>
  </si>
  <si>
    <t>Vigi для NSX…NA</t>
  </si>
  <si>
    <t>Vigi MH</t>
  </si>
  <si>
    <t>Vigi MB</t>
  </si>
  <si>
    <t>Способ определения габаритных размеров</t>
  </si>
  <si>
    <t>Высота</t>
  </si>
  <si>
    <t>Выбор высоты, мм</t>
  </si>
  <si>
    <t>Выбор глубины, мм</t>
  </si>
  <si>
    <t>7…11</t>
  </si>
  <si>
    <t>9…13</t>
  </si>
  <si>
    <t>15…18</t>
  </si>
  <si>
    <t>18…24</t>
  </si>
  <si>
    <t>24…32</t>
  </si>
  <si>
    <t>30…40</t>
  </si>
  <si>
    <t>36…44</t>
  </si>
  <si>
    <t>44…54</t>
  </si>
  <si>
    <t>…65</t>
  </si>
  <si>
    <t>Номер схемы</t>
  </si>
  <si>
    <t>Степень защиты оболочки</t>
  </si>
  <si>
    <t>Выбор да/нет</t>
  </si>
  <si>
    <t>Выбор аппарата</t>
  </si>
  <si>
    <t>Автоматически (рекомендуется)</t>
  </si>
  <si>
    <t>Вручную</t>
  </si>
  <si>
    <t>УХЛ3</t>
  </si>
  <si>
    <t>Тип НКУ</t>
  </si>
  <si>
    <t>ПР</t>
  </si>
  <si>
    <t>ЩР</t>
  </si>
  <si>
    <t>Автоматически</t>
  </si>
  <si>
    <t>Результат</t>
  </si>
  <si>
    <t>Аппарат</t>
  </si>
  <si>
    <t>включено в зону H3</t>
  </si>
  <si>
    <t>Выключатель ввода ПР</t>
  </si>
  <si>
    <t>Исполнение главной схемы</t>
  </si>
  <si>
    <t>Типовое</t>
  </si>
  <si>
    <t>Нетиповое</t>
  </si>
  <si>
    <t>Описание главной схемы</t>
  </si>
  <si>
    <t>Исполнение главной схемы:</t>
  </si>
  <si>
    <t>Определение высоты и глубины шкафа:</t>
  </si>
  <si>
    <t>Кол-во</t>
  </si>
  <si>
    <t>Тип А, 100 мА</t>
  </si>
  <si>
    <t>Vigi MH, 1 А</t>
  </si>
  <si>
    <t>Vigi MH, 10 А</t>
  </si>
  <si>
    <t>Тип А, 30 мА</t>
  </si>
  <si>
    <t>Тип А, 300 мА</t>
  </si>
  <si>
    <t>Тип Аsi, 30 мА</t>
  </si>
  <si>
    <t>Тип Аsi, 300 мА</t>
  </si>
  <si>
    <t>Vigi ME, 300 мА</t>
  </si>
  <si>
    <t>Vigi MH, 30 мА</t>
  </si>
  <si>
    <t>Vigi MH, 300 мА</t>
  </si>
  <si>
    <t>Vigi MH, 3 А</t>
  </si>
  <si>
    <t>Vigi MB, 300 мА</t>
  </si>
  <si>
    <t>Vigi MH, 30 А</t>
  </si>
  <si>
    <t>Тип А, 500 мА</t>
  </si>
  <si>
    <t>Общая рекомендация</t>
  </si>
  <si>
    <t>Рекомендация 5</t>
  </si>
  <si>
    <t>ГОСТ Р 50462 / L1, L2, L3</t>
  </si>
  <si>
    <t>ГОСТ Р 50462 / A, B, C</t>
  </si>
  <si>
    <t>ПУЭ п.1.1.30 / A, B, C</t>
  </si>
  <si>
    <t>ПУЭ п.1.1.30 / L1, L2, L3</t>
  </si>
  <si>
    <t>K</t>
  </si>
  <si>
    <t>Z</t>
  </si>
  <si>
    <t>OF*</t>
  </si>
  <si>
    <t>SD**</t>
  </si>
  <si>
    <t>Кол-во*** x Марка</t>
  </si>
  <si>
    <t>2 (пофазно)</t>
  </si>
  <si>
    <t>Цветовая / буквенно-цифровая идентификация проводников (в соответствии с ГОСТ Р 50462 и/или ПУЭ п.1.1.30 – нужное указать)</t>
  </si>
  <si>
    <t>NSX400B (АВР.ПР06-400)</t>
  </si>
  <si>
    <t>NSX250NA (АВР.ПР06-250)</t>
  </si>
  <si>
    <t>NSX400NA (АВР.ПР06-400)</t>
  </si>
  <si>
    <t>NSX160NA (АВР.ПР06-160)</t>
  </si>
  <si>
    <t>NSX100NA (АВР.ПР06-100)</t>
  </si>
  <si>
    <t>Выбор номинала вводного аппарата</t>
  </si>
  <si>
    <t>Выбор номинала на отходящей линии</t>
  </si>
  <si>
    <t>Выбор расцепителя NSX</t>
  </si>
  <si>
    <t>NSX (АВ)</t>
  </si>
  <si>
    <t>NSX…NA</t>
  </si>
  <si>
    <t>Количество вводных аппаратов</t>
  </si>
  <si>
    <t>* - в типовом исполнении блок-контакты OF не подключаются
** - при отсутствии блока сигнализации блок-контакты SD не подключаются
*** - может быть от 1 до 3 (для одного кабеля не указывается)</t>
  </si>
  <si>
    <t>1 (пофазно)</t>
  </si>
  <si>
    <t>C120H</t>
  </si>
  <si>
    <t>NG125N</t>
  </si>
  <si>
    <t>NG125H</t>
  </si>
  <si>
    <t>NG125L</t>
  </si>
  <si>
    <t>Выключатель ввода ЩР</t>
  </si>
  <si>
    <t>iSW (АВР.ПР06-032)</t>
  </si>
  <si>
    <t>iSW (АВР.ПР06-040)</t>
  </si>
  <si>
    <t>iSW (АВР.ПР06-063)</t>
  </si>
  <si>
    <t>iSW (АВР.ПР06-100)</t>
  </si>
  <si>
    <t>iSW (АВР.ПР06-125)</t>
  </si>
  <si>
    <t>iSW (АВР.ПР06-020)</t>
  </si>
  <si>
    <t>Изменение</t>
  </si>
  <si>
    <t>Дата</t>
  </si>
  <si>
    <t>Описание</t>
  </si>
  <si>
    <t>габариты C120, NG125</t>
  </si>
  <si>
    <t>расчет габаритов новых аппаратов</t>
  </si>
  <si>
    <t>внесение АВР iSW</t>
  </si>
  <si>
    <t>C120N</t>
  </si>
  <si>
    <t>Параметры кабелей</t>
  </si>
  <si>
    <t>Остаток в мод. 9 мм</t>
  </si>
  <si>
    <t>Выбор кривой iC60_, C120_, NG125_</t>
  </si>
  <si>
    <t>Ограничения габаритов (Ш, Г) в ручном режиме:</t>
  </si>
  <si>
    <t>5x16</t>
  </si>
  <si>
    <t>5x2,5</t>
  </si>
  <si>
    <t>Тип А 300 мА</t>
  </si>
  <si>
    <t>Тип Аsi 30 мА</t>
  </si>
  <si>
    <t>Тип А 30 мА</t>
  </si>
  <si>
    <t>Тип А 100 мА</t>
  </si>
  <si>
    <t>Тип А 500 мА</t>
  </si>
  <si>
    <t>Номер версии</t>
  </si>
  <si>
    <t>1.0</t>
  </si>
  <si>
    <t>1.3</t>
  </si>
  <si>
    <t>Добавлены номиналы 0,5…15 А для Vigi IC60. Изменен алгоритм Id_0 … Id_15, Id_IC60_2P_0 ...Id_IC60_4P_15</t>
  </si>
  <si>
    <t>колонка Id исправлена</t>
  </si>
  <si>
    <t>1.4</t>
  </si>
  <si>
    <t>DPN N Vigi</t>
  </si>
  <si>
    <t>2P, кривая B</t>
  </si>
  <si>
    <t>2P, кривая C</t>
  </si>
  <si>
    <t>4P, кривая B</t>
  </si>
  <si>
    <t>4P, кривая C</t>
  </si>
  <si>
    <t>Тип А, 10 мА</t>
  </si>
  <si>
    <t>Тип Аsi, 100 мА</t>
  </si>
  <si>
    <t>2x1,5</t>
  </si>
  <si>
    <t>2x2,5</t>
  </si>
  <si>
    <t>2x4</t>
  </si>
  <si>
    <t>2x6</t>
  </si>
  <si>
    <t>2x10</t>
  </si>
  <si>
    <t>2x16</t>
  </si>
  <si>
    <t>2x25</t>
  </si>
  <si>
    <t>2x35</t>
  </si>
  <si>
    <t>2x50</t>
  </si>
  <si>
    <t>2x70</t>
  </si>
  <si>
    <t>2x95</t>
  </si>
  <si>
    <t>2x120</t>
  </si>
  <si>
    <t>2x150</t>
  </si>
  <si>
    <t>2x185</t>
  </si>
  <si>
    <t>3x1,5</t>
  </si>
  <si>
    <t>3x2,5</t>
  </si>
  <si>
    <t>3x4</t>
  </si>
  <si>
    <t>3x6</t>
  </si>
  <si>
    <t>3x10</t>
  </si>
  <si>
    <t>3x16</t>
  </si>
  <si>
    <t>3x25</t>
  </si>
  <si>
    <t>3x35</t>
  </si>
  <si>
    <t>3x50</t>
  </si>
  <si>
    <t>3x70</t>
  </si>
  <si>
    <t>3x95</t>
  </si>
  <si>
    <t>3x120</t>
  </si>
  <si>
    <t>3x150</t>
  </si>
  <si>
    <t>3x185</t>
  </si>
  <si>
    <t>4x1,5</t>
  </si>
  <si>
    <t>4x2,5</t>
  </si>
  <si>
    <t>4x4</t>
  </si>
  <si>
    <t>4x6</t>
  </si>
  <si>
    <t>4x10</t>
  </si>
  <si>
    <t>4x16</t>
  </si>
  <si>
    <t>4x25</t>
  </si>
  <si>
    <t>4x35</t>
  </si>
  <si>
    <t>4x50</t>
  </si>
  <si>
    <t>4x70</t>
  </si>
  <si>
    <t>4x95</t>
  </si>
  <si>
    <t>4x120</t>
  </si>
  <si>
    <t>4x150</t>
  </si>
  <si>
    <t>4x185</t>
  </si>
  <si>
    <t>4x240</t>
  </si>
  <si>
    <t>5x1,5</t>
  </si>
  <si>
    <t>5x4</t>
  </si>
  <si>
    <t>5x6</t>
  </si>
  <si>
    <t>5x10</t>
  </si>
  <si>
    <t>5x25</t>
  </si>
  <si>
    <t>5x35</t>
  </si>
  <si>
    <t>5x50</t>
  </si>
  <si>
    <t>5x70</t>
  </si>
  <si>
    <t>5x95</t>
  </si>
  <si>
    <t>5x120</t>
  </si>
  <si>
    <t>5x150</t>
  </si>
  <si>
    <t>5x185</t>
  </si>
  <si>
    <t>Таблица размеров сальников РД-0721-87</t>
  </si>
  <si>
    <t>дополнен выбор кабеля</t>
  </si>
  <si>
    <t>Есть возможность вводить любой тип кабеля. Добавлен расчет габаритов по сальникам для кабеля, отсутствующего в БД (расчет проводится по наибольшему размеру сальника для данного сечения).</t>
  </si>
  <si>
    <t>1.5</t>
  </si>
  <si>
    <t>Размер сальника, мм</t>
  </si>
  <si>
    <t>Диаметр кабеля, мм</t>
  </si>
  <si>
    <t>iDPN N Vigi</t>
  </si>
  <si>
    <t>1.6</t>
  </si>
  <si>
    <t>добавлен расчет габаритов</t>
  </si>
  <si>
    <t>iDPN H Vigi</t>
  </si>
  <si>
    <t>Кол-во рядов в зоне Acti9, шт</t>
  </si>
  <si>
    <t>OF</t>
  </si>
  <si>
    <t>SD</t>
  </si>
  <si>
    <t>NG125</t>
  </si>
  <si>
    <t>1.7</t>
  </si>
  <si>
    <t>исправлен расчет габаритов, выбор</t>
  </si>
  <si>
    <t>исправлен расчет высоты (кол-во рядов), выбор АВР iSW</t>
  </si>
  <si>
    <t>1.8</t>
  </si>
  <si>
    <t>исправлен расчет габаритов с АВР</t>
  </si>
  <si>
    <t>добавлены АВР с iSW</t>
  </si>
  <si>
    <t>Аппараты</t>
  </si>
  <si>
    <t>Наименование выключателя</t>
  </si>
  <si>
    <t>Тип выключателя</t>
  </si>
  <si>
    <t>MX</t>
  </si>
  <si>
    <t>OF+OF</t>
  </si>
  <si>
    <t>SD+OF</t>
  </si>
  <si>
    <t>Acti9</t>
  </si>
  <si>
    <t>Compact NSX</t>
  </si>
  <si>
    <t>1.9</t>
  </si>
  <si>
    <t>исправлен расчет габаритов Acti9</t>
  </si>
  <si>
    <t>Ширина ряда Acti9, мм</t>
  </si>
  <si>
    <t>Ширина ряда NSX, мм</t>
  </si>
  <si>
    <t>Кол-во аппаратов</t>
  </si>
  <si>
    <t>2.0</t>
  </si>
  <si>
    <t>Расчет габаритов с учетом реального заполнения рядов</t>
  </si>
  <si>
    <t>Переработан расчет габаритов</t>
  </si>
  <si>
    <t>Ряд 1</t>
  </si>
  <si>
    <t>WDU35</t>
  </si>
  <si>
    <t>WDU50</t>
  </si>
  <si>
    <t>WDU95/120</t>
  </si>
  <si>
    <t xml:space="preserve">Тип клемм </t>
  </si>
  <si>
    <t>Ширина клеммы</t>
  </si>
  <si>
    <t>Кол-во полюсов 1 аппарата</t>
  </si>
  <si>
    <t>WDU70</t>
  </si>
  <si>
    <t>Ширина ряда</t>
  </si>
  <si>
    <t>Макс. возможное кол-во</t>
  </si>
  <si>
    <t>Ширина шкафа, мм</t>
  </si>
  <si>
    <t>Ряд 2</t>
  </si>
  <si>
    <t>Ряд 3</t>
  </si>
  <si>
    <t>Ряд 4</t>
  </si>
  <si>
    <t>Ряд 5</t>
  </si>
  <si>
    <t>Остаток в мм</t>
  </si>
  <si>
    <t>Ряд 9</t>
  </si>
  <si>
    <t>Ряд 8</t>
  </si>
  <si>
    <t>Ряд 7</t>
  </si>
  <si>
    <t>Ряд 6</t>
  </si>
  <si>
    <t>Ряд 10</t>
  </si>
  <si>
    <t>1.92</t>
  </si>
  <si>
    <t>Номер аппарата</t>
  </si>
  <si>
    <t>Остаток в мод. 35 мм</t>
  </si>
  <si>
    <t>NSX250N</t>
  </si>
  <si>
    <t>NSX160N</t>
  </si>
  <si>
    <t>NSX100N</t>
  </si>
  <si>
    <t>NSX400N</t>
  </si>
  <si>
    <t>NSX630N</t>
  </si>
  <si>
    <t>NSX100N (АВР.ПР06-100)</t>
  </si>
  <si>
    <t>NSX160N (АВР.ПР06-160)</t>
  </si>
  <si>
    <t>NSX250N (АВР.ПР06-250)</t>
  </si>
  <si>
    <t>NSX400N (АВР.ПР06-400)</t>
  </si>
  <si>
    <t>C120N (АВР.ПР06-063)</t>
  </si>
  <si>
    <t>C120H (АВР.ПР06-063)</t>
  </si>
  <si>
    <t>C120N (АВР.ПР06-080)</t>
  </si>
  <si>
    <t>C120H (АВР.ПР06-080)</t>
  </si>
  <si>
    <t>C120N (АВР.ПР06-100)</t>
  </si>
  <si>
    <t>C120H (АВР.ПР06-100)</t>
  </si>
  <si>
    <t>C120N (АВР.ПР06-125)</t>
  </si>
  <si>
    <t>C120H (АВР.ПР06-125)</t>
  </si>
  <si>
    <t>Расчет габаритов с учетом реального заполнения рядов зоны Acti9, добавлены клеммники для кабеля вводного аппарата Acti9 сечением более 16 мм2.</t>
  </si>
  <si>
    <t>2.1</t>
  </si>
  <si>
    <t>исправлены DPN N, iDPN N</t>
  </si>
  <si>
    <t>добавлены DPN N 4P, iDPN N 2P на отходящие линии</t>
  </si>
  <si>
    <t>добавлены DPN N 4P, iDPN N 2P</t>
  </si>
  <si>
    <t>добавлены iDPN H 2P</t>
  </si>
  <si>
    <t>Тип аппарата</t>
  </si>
  <si>
    <t>DPN</t>
  </si>
  <si>
    <t>iDP</t>
  </si>
  <si>
    <t>C60</t>
  </si>
  <si>
    <t>C12</t>
  </si>
  <si>
    <t>NG1</t>
  </si>
  <si>
    <t>IC6</t>
  </si>
  <si>
    <t>Макс. сечение кабеля без клеммника</t>
  </si>
  <si>
    <t>Невозможно реализовать</t>
  </si>
  <si>
    <t>iDPN H кривая B на ОЛ не реализуем в Excel 2000 (при выборе диапазонов Id максимум 8 значений, длина формулы именного диапазона ограничена)</t>
  </si>
  <si>
    <t>Vigi для NSX на ОЛ не реализуем в Excel 2000 (при выборе диапазонов Id максимум 8 значений, длина формулы именного диапазона ограничена)</t>
  </si>
  <si>
    <t>Vigi для С120 не реализуем в Excel 2000 (при выборе диапазонов Id максимум 8 значений, длина формулы именного диапазона ограничена)</t>
  </si>
  <si>
    <t>Vigi для NG125 не реализуем в Excel 2000 (при выборе диапазонов Id максимум 8 значений, длина формулы именного диапазона ограничена)</t>
  </si>
  <si>
    <t>DPN, iDPN на вводе не реализуем в Excel 2000 (при выборе диапазонов Id максимум 8 значений, длина формулы именного диапазона ограничена)</t>
  </si>
  <si>
    <t>Размер сальника,мм</t>
  </si>
  <si>
    <t>Общая глубина</t>
  </si>
  <si>
    <t>Область для сальников</t>
  </si>
  <si>
    <t>Количество сальников в 1 столбце</t>
  </si>
  <si>
    <t>2.2</t>
  </si>
  <si>
    <t>исправлен расчет габаритов</t>
  </si>
  <si>
    <t>исправлена установка клеммника для вводного Acti9, ввод сверху</t>
  </si>
  <si>
    <t>2.3</t>
  </si>
  <si>
    <t>исправлен выбор iSW</t>
  </si>
  <si>
    <t>Остаток в ряду зоны Acti9, мм (9 мм мод.)</t>
  </si>
  <si>
    <t>2.4</t>
  </si>
  <si>
    <t>Справочная информация о наполнении шкафа</t>
  </si>
  <si>
    <t>улучшен внешний вид бланка</t>
  </si>
  <si>
    <t>C120</t>
  </si>
  <si>
    <t>Рекомендуемый диапазон расцепителей NSX</t>
  </si>
  <si>
    <t>улучшен внешний вид бланка, добавлены проверки введенных данных выключателей</t>
  </si>
  <si>
    <t>Условие для отображения ошибок =ЕНД(ПОИСКПОЗ(C11;ИНДЕКС(Ток0;0;1);))</t>
  </si>
  <si>
    <t>2.5</t>
  </si>
  <si>
    <t>улучшены проверки вводимых данных АВ</t>
  </si>
  <si>
    <t>Наличие ошибки</t>
  </si>
  <si>
    <t>!Несоответствие выключателя и номинального тока</t>
  </si>
  <si>
    <t>iDPN H</t>
  </si>
  <si>
    <t>iDPN N</t>
  </si>
  <si>
    <t>DPN N</t>
  </si>
  <si>
    <t>Рекомендуемый диапазон номинальных токов</t>
  </si>
  <si>
    <t>2.6</t>
  </si>
  <si>
    <t>исправлен выбор Im</t>
  </si>
  <si>
    <t>При копировании ячеек желтого цвета их нужно вставлять только с помощью: 
ПКМ-&gt;Специальная вставка-&gt;Значения</t>
  </si>
  <si>
    <t>2.7</t>
  </si>
  <si>
    <t>изменен внешний вид бланка</t>
  </si>
  <si>
    <t>2.8</t>
  </si>
  <si>
    <t>изменены проверки</t>
  </si>
  <si>
    <t>Micrologic 5.2A, 40А</t>
  </si>
  <si>
    <t>Micrologic 5.2A, 100А</t>
  </si>
  <si>
    <t>2.9</t>
  </si>
  <si>
    <t>добавлен Micrologic 5A</t>
  </si>
  <si>
    <t>Micrologic 5.2A, 160А</t>
  </si>
  <si>
    <t>Micrologic 5.2A, 250А</t>
  </si>
  <si>
    <t>Micrologic 5.3A, 400А</t>
  </si>
  <si>
    <t>Micrologic 5.3A, 630А</t>
  </si>
  <si>
    <t>Выбор тока уставки Im (Isd)</t>
  </si>
  <si>
    <t>TM16G</t>
  </si>
  <si>
    <t>TM25G</t>
  </si>
  <si>
    <t>TM32G</t>
  </si>
  <si>
    <t>TM40G</t>
  </si>
  <si>
    <t>TM50G</t>
  </si>
  <si>
    <t>TM63G</t>
  </si>
  <si>
    <t>TM80G</t>
  </si>
  <si>
    <t>TM100G</t>
  </si>
  <si>
    <t>TM125G</t>
  </si>
  <si>
    <t>TM160G</t>
  </si>
  <si>
    <t>TM200G</t>
  </si>
  <si>
    <t>TM250G</t>
  </si>
  <si>
    <t>2.10</t>
  </si>
  <si>
    <t>добавлен расцепитель TMG, макрос GetNumbers</t>
  </si>
  <si>
    <t>добавлен расцепитель NSX, макрос</t>
  </si>
  <si>
    <t>Количество полюсов</t>
  </si>
  <si>
    <t>Номинальный ток</t>
  </si>
  <si>
    <t>Тип УЗО, Id</t>
  </si>
  <si>
    <t>Служебный столбец</t>
  </si>
  <si>
    <t>2.11</t>
  </si>
  <si>
    <t>исправлены кривые для NG125</t>
  </si>
  <si>
    <t>убраны лишние кривые для NG125</t>
  </si>
  <si>
    <t>Кол-во символов для определения наименования для In</t>
  </si>
  <si>
    <t>Наименование аппарата для определения соответствия In</t>
  </si>
  <si>
    <t>Служебные столбцы</t>
  </si>
  <si>
    <t>Искомая строка</t>
  </si>
  <si>
    <t>Номер искомой строки</t>
  </si>
  <si>
    <t>Кол-во строк</t>
  </si>
  <si>
    <t>Первое значение массива</t>
  </si>
  <si>
    <t>Определение Id</t>
  </si>
  <si>
    <t>Кол-во символов для определения Id</t>
  </si>
  <si>
    <t>Наименование аппарата для определения Id</t>
  </si>
  <si>
    <t>Тип Аsi, 10 мА</t>
  </si>
  <si>
    <t>Тип AC, 30 мА</t>
  </si>
  <si>
    <t>Тип AC, 100 мА</t>
  </si>
  <si>
    <t>Тип AC, 300 мА</t>
  </si>
  <si>
    <t>Тип AC, 500 мА</t>
  </si>
  <si>
    <t>Тип AC, 10 мА</t>
  </si>
  <si>
    <t>Тип A, 30 мА</t>
  </si>
  <si>
    <t>Тип A, 100 мА</t>
  </si>
  <si>
    <t>Тип A, 300 мА</t>
  </si>
  <si>
    <t>Тип A, 500 мА</t>
  </si>
  <si>
    <t>Тип Asi, 30 мА</t>
  </si>
  <si>
    <t>Тип Asi, 300 мА</t>
  </si>
  <si>
    <t>Тип Asi, 500 мА</t>
  </si>
  <si>
    <t>Тип Asi, 10 мА</t>
  </si>
  <si>
    <t>Id</t>
  </si>
  <si>
    <t>2.12</t>
  </si>
  <si>
    <t>Сделаны Id для всех аппаратов</t>
  </si>
  <si>
    <t>Изменен принцип выбора значений, составлена точная таблица</t>
  </si>
  <si>
    <t>Определение In</t>
  </si>
  <si>
    <t>In</t>
  </si>
  <si>
    <t>Выбор кривой/расцепителя</t>
  </si>
  <si>
    <t>Определение кривой/расцепителя аппаратов</t>
  </si>
  <si>
    <t>2P, 25А</t>
  </si>
  <si>
    <t>Vigi iC60</t>
  </si>
  <si>
    <t>iC60, C60H-DC, iID, iDPN, C120</t>
  </si>
  <si>
    <t>Vigi C120</t>
  </si>
  <si>
    <t>2P, 63А</t>
  </si>
  <si>
    <t>3P(4P), 25А</t>
  </si>
  <si>
    <t>3P(4P), 63А</t>
  </si>
  <si>
    <t>3P(4P)</t>
  </si>
  <si>
    <t>Vigi NG125</t>
  </si>
  <si>
    <t>3P(4P), 9М</t>
  </si>
  <si>
    <t>2P, 5М</t>
  </si>
  <si>
    <t>3P(4P), 11М</t>
  </si>
  <si>
    <t>Дополнительные модули Acti9</t>
  </si>
  <si>
    <t>Кол-во кабелей на 1 аппарат</t>
  </si>
  <si>
    <t>Рекомендация 6</t>
  </si>
  <si>
    <t>2.13</t>
  </si>
  <si>
    <t>Добавлены проверки</t>
  </si>
  <si>
    <t xml:space="preserve">Добавлен выбор и проверка SD, MX для ISW. </t>
  </si>
  <si>
    <t>Наличие дифф. защиты</t>
  </si>
  <si>
    <t>Сечение кабеля</t>
  </si>
  <si>
    <t>Расчет количества рядов модульных аппаратов Acti9</t>
  </si>
  <si>
    <t>100 мм</t>
  </si>
  <si>
    <t>150 мм</t>
  </si>
  <si>
    <t>250 мм</t>
  </si>
  <si>
    <t>350 мм</t>
  </si>
  <si>
    <t>450 мм</t>
  </si>
  <si>
    <t>500 мм</t>
  </si>
  <si>
    <t>550 мм</t>
  </si>
  <si>
    <t>600 мм</t>
  </si>
  <si>
    <t>650 мм</t>
  </si>
  <si>
    <t>700 мм</t>
  </si>
  <si>
    <t>750 мм</t>
  </si>
  <si>
    <t>800 мм</t>
  </si>
  <si>
    <t>850 мм</t>
  </si>
  <si>
    <t>900 мм</t>
  </si>
  <si>
    <t>950 мм</t>
  </si>
  <si>
    <t>1000 мм</t>
  </si>
  <si>
    <t>1050 мм</t>
  </si>
  <si>
    <t>1100 мм</t>
  </si>
  <si>
    <t>1200 мм</t>
  </si>
  <si>
    <t>1250 мм</t>
  </si>
  <si>
    <t>1300 мм</t>
  </si>
  <si>
    <t>1350 мм</t>
  </si>
  <si>
    <t>1400 мм</t>
  </si>
  <si>
    <t>1450 мм</t>
  </si>
  <si>
    <t>1500 мм</t>
  </si>
  <si>
    <t>1550 мм</t>
  </si>
  <si>
    <t>1600 мм</t>
  </si>
  <si>
    <t>1650 мм</t>
  </si>
  <si>
    <t>1700 мм</t>
  </si>
  <si>
    <t>1750 мм</t>
  </si>
  <si>
    <t>1800 мм</t>
  </si>
  <si>
    <t>1850 мм</t>
  </si>
  <si>
    <t>1900 мм</t>
  </si>
  <si>
    <t>1950 мм</t>
  </si>
  <si>
    <t>2000 мм</t>
  </si>
  <si>
    <t>2050 мм</t>
  </si>
  <si>
    <t>2100 мм</t>
  </si>
  <si>
    <t>2150 мм</t>
  </si>
  <si>
    <t>2200 мм</t>
  </si>
  <si>
    <t>2250 мм</t>
  </si>
  <si>
    <t>2300 мм</t>
  </si>
  <si>
    <t>2350 мм</t>
  </si>
  <si>
    <t>2400 мм</t>
  </si>
  <si>
    <t>2450 мм</t>
  </si>
  <si>
    <t>2500 мм</t>
  </si>
  <si>
    <t>2550 мм</t>
  </si>
  <si>
    <t>2600 мм</t>
  </si>
  <si>
    <t>Клеммы вводного АВ (опц)</t>
  </si>
  <si>
    <t>Вводной аппарат Acti9</t>
  </si>
  <si>
    <t>Ширина вводной клеммы</t>
  </si>
  <si>
    <t>NSX</t>
  </si>
  <si>
    <t>Установить вводные клеммы</t>
  </si>
  <si>
    <t>Номер ряда для клеммы</t>
  </si>
  <si>
    <t>Кол-во вводных клеммы</t>
  </si>
  <si>
    <t>2.14</t>
  </si>
  <si>
    <t>Исправлен расчет клемм для вводного модульного аппарата</t>
  </si>
  <si>
    <t>Правила заполнения бланка заказа ПР, ЩР</t>
  </si>
  <si>
    <r>
      <t>1.</t>
    </r>
    <r>
      <rPr>
        <b/>
        <sz val="7"/>
        <rFont val="Times New Roman"/>
        <family val="1"/>
        <charset val="204"/>
      </rPr>
      <t xml:space="preserve">             </t>
    </r>
    <r>
      <rPr>
        <b/>
        <sz val="12"/>
        <rFont val="Times New Roman"/>
        <family val="1"/>
        <charset val="204"/>
      </rPr>
      <t>Порядок заполнения бланка заказа</t>
    </r>
  </si>
  <si>
    <t>При заполнении бланка заказа придерживайтесь следующей последовательности:</t>
  </si>
  <si>
    <r>
      <t>1)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Введите общие характеристики шкафа в верхней части бланка: обозначение шкафа на объекте, система заземления, ток КЗ, маркировка проводников.</t>
    </r>
  </si>
  <si>
    <r>
      <t>2)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Введите общие характеристики шкафа в нижней части бланка: наличие/отсутствие блока сигнализации, степень защиты оболочки шкафа, тип НКУ, климатическое исполнение, исполнение главной схемы.</t>
    </r>
  </si>
  <si>
    <r>
      <t>3)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Введите данные вводного выключателя при его наличии и выключателей отходящих линий.</t>
    </r>
  </si>
  <si>
    <r>
      <t>5)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При необходимости заполните графу "Примечание".</t>
    </r>
  </si>
  <si>
    <r>
      <t>2.</t>
    </r>
    <r>
      <rPr>
        <b/>
        <sz val="7"/>
        <rFont val="Times New Roman"/>
        <family val="1"/>
        <charset val="204"/>
      </rPr>
      <t xml:space="preserve">             </t>
    </r>
    <r>
      <rPr>
        <b/>
        <sz val="12"/>
        <rFont val="Times New Roman"/>
        <family val="1"/>
        <charset val="204"/>
      </rPr>
      <t>Значение фона ячеек бланка приведено в таблице</t>
    </r>
  </si>
  <si>
    <t>При работе с бланком заказа необходимо учитывать особенности типов ячеек. Значение типов ячеек бланка приведено в таблице ниже:</t>
  </si>
  <si>
    <t>Фон/шрифт ячейки</t>
  </si>
  <si>
    <t>белый</t>
  </si>
  <si>
    <t>светло-бирюзовый</t>
  </si>
  <si>
    <t>голубой</t>
  </si>
  <si>
    <t>зеленый</t>
  </si>
  <si>
    <t>светло-желтый</t>
  </si>
  <si>
    <t>желтый</t>
  </si>
  <si>
    <t>оранжевый</t>
  </si>
  <si>
    <t>красный</t>
  </si>
  <si>
    <r>
      <t>3.</t>
    </r>
    <r>
      <rPr>
        <b/>
        <sz val="7"/>
        <rFont val="Times New Roman"/>
        <family val="1"/>
        <charset val="204"/>
      </rPr>
      <t xml:space="preserve">             </t>
    </r>
    <r>
      <rPr>
        <b/>
        <sz val="12"/>
        <rFont val="Times New Roman"/>
        <family val="1"/>
        <charset val="204"/>
      </rPr>
      <t>Копирование ячеек</t>
    </r>
  </si>
  <si>
    <t>Обычное (полное) копирование и вставка ячеек в бланке заказа Excel разрешено, если фон ячейки не является желтым.</t>
  </si>
  <si>
    <r>
      <t xml:space="preserve">В желтых ячейках содержатся уникальные именованные диапазоны, от которых зависит корректная работа выпадающих меню в бланке. Поэтому при копировании </t>
    </r>
    <r>
      <rPr>
        <u/>
        <sz val="12"/>
        <rFont val="Times New Roman"/>
        <family val="1"/>
        <charset val="204"/>
      </rPr>
      <t>обычная (полная) вставка желтых ячеек</t>
    </r>
    <r>
      <rPr>
        <sz val="12"/>
        <rFont val="Times New Roman"/>
        <family val="1"/>
        <charset val="204"/>
      </rPr>
      <t xml:space="preserve"> приведет к </t>
    </r>
    <r>
      <rPr>
        <u/>
        <sz val="12"/>
        <rFont val="Times New Roman"/>
        <family val="1"/>
        <charset val="204"/>
      </rPr>
      <t>неработоспособности</t>
    </r>
    <r>
      <rPr>
        <sz val="12"/>
        <rFont val="Times New Roman"/>
        <family val="1"/>
        <charset val="204"/>
      </rPr>
      <t xml:space="preserve"> бланка. Для правильного копирования желтых ячеек в необходимо сначала скопировать ячейки, а потом щелкнуть правой кнопкой мыши (ПКМ) и выбрать </t>
    </r>
    <r>
      <rPr>
        <u/>
        <sz val="12"/>
        <rFont val="Times New Roman"/>
        <family val="1"/>
        <charset val="204"/>
      </rPr>
      <t>"Специальная вставка -&gt; Значения" (Excel 2000) или "Параметры вставки: Значения" (Excel 2016)</t>
    </r>
    <r>
      <rPr>
        <sz val="12"/>
        <rFont val="Times New Roman"/>
        <family val="1"/>
        <charset val="204"/>
      </rPr>
      <t>.</t>
    </r>
  </si>
  <si>
    <r>
      <t>4.</t>
    </r>
    <r>
      <rPr>
        <b/>
        <sz val="7"/>
        <rFont val="Times New Roman"/>
        <family val="1"/>
        <charset val="204"/>
      </rPr>
      <t xml:space="preserve">             </t>
    </r>
    <r>
      <rPr>
        <b/>
        <sz val="12"/>
        <rFont val="Times New Roman"/>
        <family val="1"/>
        <charset val="204"/>
      </rPr>
      <t>Исправление ошибок</t>
    </r>
  </si>
  <si>
    <r>
      <t xml:space="preserve">При возникновении несоответствий ошибки выделяются </t>
    </r>
    <r>
      <rPr>
        <sz val="12"/>
        <color indexed="10"/>
        <rFont val="Times New Roman"/>
        <family val="1"/>
        <charset val="204"/>
      </rPr>
      <t xml:space="preserve">красным </t>
    </r>
    <r>
      <rPr>
        <sz val="12"/>
        <rFont val="Times New Roman"/>
        <family val="1"/>
        <charset val="204"/>
      </rPr>
      <t>шрифтом, пояснения к ошибкам отображаются справа от бланка.</t>
    </r>
  </si>
  <si>
    <t>Для изменения автоматически посчитанных габаритных размеров шкафа:</t>
  </si>
  <si>
    <r>
      <t>1)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Выберите в пункте "Определение высоты и глубины шкафа:" из выпадающего списка значение "Вручную".</t>
    </r>
  </si>
  <si>
    <r>
      <t>2)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Измените ширину и отобразившиеся ячейки "Высота" и "Глубина" на необходимые значения.</t>
    </r>
  </si>
  <si>
    <r>
      <t>3)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Если диапазон необходимых значений габаритных размеров не достаточен для ваших потребностей, его можно расширить, выключив "Ограничения габаритов в ручном режиме:" выбором знака "-".</t>
    </r>
  </si>
  <si>
    <r>
      <t xml:space="preserve">ВНИМАНИЕ! </t>
    </r>
    <r>
      <rPr>
        <sz val="12"/>
        <color indexed="10"/>
        <rFont val="Times New Roman"/>
        <family val="1"/>
        <charset val="204"/>
      </rPr>
      <t xml:space="preserve">Эти ячейки заполняются </t>
    </r>
    <r>
      <rPr>
        <u/>
        <sz val="12"/>
        <color indexed="10"/>
        <rFont val="Times New Roman"/>
        <family val="1"/>
        <charset val="204"/>
      </rPr>
      <t>строго</t>
    </r>
    <r>
      <rPr>
        <sz val="12"/>
        <color indexed="10"/>
        <rFont val="Times New Roman"/>
        <family val="1"/>
        <charset val="204"/>
      </rPr>
      <t xml:space="preserve"> слева направо, сверху вниз.</t>
    </r>
  </si>
  <si>
    <t>050 мм</t>
  </si>
  <si>
    <t>1150 мм</t>
  </si>
  <si>
    <t>2.18</t>
  </si>
  <si>
    <t>Исправлен расчет гарабитов АВР</t>
  </si>
  <si>
    <t>ВВГнг(A)-LS</t>
  </si>
  <si>
    <t>2.19</t>
  </si>
  <si>
    <t>добавлен внешний вид ПР</t>
  </si>
  <si>
    <t>Наличие АВР</t>
  </si>
  <si>
    <t>Номер первой искомой строки</t>
  </si>
  <si>
    <t>Номер первой искомой строки вводного аппарата</t>
  </si>
  <si>
    <t>кол-во строк &gt;=16 А</t>
  </si>
  <si>
    <t>Кол-во строк вводного аппарата с АВР</t>
  </si>
  <si>
    <t>Кол-во строк вводного аппарата</t>
  </si>
  <si>
    <t>Кол-во строк модульного вводного аппарата</t>
  </si>
  <si>
    <t>номинал АВР</t>
  </si>
  <si>
    <t>iC60 (АВР.ПР06-025)</t>
  </si>
  <si>
    <t>Кол-во символов для определения наименования для кривой/расцепителя</t>
  </si>
  <si>
    <t>Наименование аппарата для определения соответствия  кривой/расцепителя</t>
  </si>
  <si>
    <t>iC60 (АВР.ПР06-040)</t>
  </si>
  <si>
    <t>iC60 (АВР.ПР06-063)</t>
  </si>
  <si>
    <t>NSX100 (АВР.ПР06-100)</t>
  </si>
  <si>
    <t>NSX160 (АВР.ПР06-160)</t>
  </si>
  <si>
    <t>NSX250 (АВР.ПР06-250)</t>
  </si>
  <si>
    <t>NSX400 (АВР.ПР06-400)</t>
  </si>
  <si>
    <t>C120 (АВР.ПР06-063)</t>
  </si>
  <si>
    <t>C120 (АВР.ПР06-080)</t>
  </si>
  <si>
    <t>C120 (АВР.ПР06-100)</t>
  </si>
  <si>
    <t>C120 (АВР.ПР06-125)</t>
  </si>
  <si>
    <t>Рекомендация 0</t>
  </si>
  <si>
    <t xml:space="preserve"> !В данной строке выберите выключатель или поставьте прочерки/очистите строку</t>
  </si>
  <si>
    <t>Описание ошибки</t>
  </si>
  <si>
    <t xml:space="preserve"> !Несоответствие выключателя и кривой отключения</t>
  </si>
  <si>
    <t>Выбор рекомендации</t>
  </si>
  <si>
    <t>Выбор рекомендации NSX</t>
  </si>
  <si>
    <t xml:space="preserve"> !Несоответствие выключателя и кривой/расцепителя</t>
  </si>
  <si>
    <t>2.20</t>
  </si>
  <si>
    <t>исправлены ошибки выбора токов АВР дополнена проверка на ошибки</t>
  </si>
  <si>
    <t>исправлены ошибки, дополнена проверка на ошибки</t>
  </si>
  <si>
    <t>2.21</t>
  </si>
  <si>
    <t>дополнено отображение ошибок</t>
  </si>
  <si>
    <t>Кол-во полюсов</t>
  </si>
  <si>
    <t>Автовыбор сальника кабеля ОЛ</t>
  </si>
  <si>
    <t>TT</t>
  </si>
  <si>
    <t>Кол-во кабелей</t>
  </si>
  <si>
    <t>Общее количество сальников</t>
  </si>
  <si>
    <t>Поиск сечения кабеля по току</t>
  </si>
  <si>
    <t>Заданное сечение кабеля</t>
  </si>
  <si>
    <t>Итоговое сечения кабеля</t>
  </si>
  <si>
    <t>Итоговый тип сальника</t>
  </si>
  <si>
    <t>Поиск типа сальника в базе данных</t>
  </si>
  <si>
    <t>Рекомендация сальника по сечению кабеля (току)</t>
  </si>
  <si>
    <t>Заданный тип кабеля</t>
  </si>
  <si>
    <t>Общее заданное количество кабелей</t>
  </si>
  <si>
    <t>2.22</t>
  </si>
  <si>
    <t>Запрет использования 2-х или 4-х полюсных аппаратов в системе заземления TN-C</t>
  </si>
  <si>
    <t>Контроль использования *-полюсных аппаратов в системах заземления</t>
  </si>
  <si>
    <t>Рекомендация 7</t>
  </si>
  <si>
    <t>5.            Автоматический расчет габаритов шкафа</t>
  </si>
  <si>
    <r>
      <t>6.</t>
    </r>
    <r>
      <rPr>
        <b/>
        <sz val="7"/>
        <rFont val="Times New Roman"/>
        <family val="1"/>
        <charset val="204"/>
      </rPr>
      <t xml:space="preserve">             </t>
    </r>
    <r>
      <rPr>
        <b/>
        <sz val="12"/>
        <rFont val="Times New Roman"/>
        <family val="1"/>
        <charset val="204"/>
      </rPr>
      <t>Ввод нестандартных габаритов шкафа</t>
    </r>
  </si>
  <si>
    <r>
      <t>7.</t>
    </r>
    <r>
      <rPr>
        <b/>
        <sz val="7"/>
        <rFont val="Times New Roman"/>
        <family val="1"/>
        <charset val="204"/>
      </rPr>
      <t xml:space="preserve">             </t>
    </r>
    <r>
      <rPr>
        <sz val="12"/>
        <rFont val="Times New Roman"/>
        <family val="1"/>
        <charset val="204"/>
      </rPr>
      <t>Разработчик Сандомирский Иван Юрьевич (+7 (4967) 74-16-88, доб. 209).</t>
    </r>
  </si>
  <si>
    <t>Поиск количества сальников</t>
  </si>
  <si>
    <t>Кол-во жил кабеля</t>
  </si>
  <si>
    <t>Разрешенное кол-во полюсов аппаратов ОЛ</t>
  </si>
  <si>
    <t>Разрешенное кол-во полюсов вводных аппаратов</t>
  </si>
  <si>
    <t>Наличие вводного аппарата</t>
  </si>
  <si>
    <t>Наличие УЗО</t>
  </si>
  <si>
    <t>Вспом. Столбец</t>
  </si>
  <si>
    <t>Рекомендация 8</t>
  </si>
  <si>
    <t>Прочерк</t>
  </si>
  <si>
    <t>Пусто</t>
  </si>
  <si>
    <t>Есть данные</t>
  </si>
  <si>
    <t>Удалите прочерк или данные</t>
  </si>
  <si>
    <t>Поставьте прочерки</t>
  </si>
  <si>
    <t>Наличие ошибок</t>
  </si>
  <si>
    <t>Рекомендация 9</t>
  </si>
  <si>
    <t>2.24</t>
  </si>
  <si>
    <t>исправлен расчет высоты вводного NSX</t>
  </si>
  <si>
    <t>Номер рекомендации</t>
  </si>
  <si>
    <t>Рекомендация 10</t>
  </si>
  <si>
    <t>Рекомендация для ОЛ</t>
  </si>
  <si>
    <t>Рекомендация 11</t>
  </si>
  <si>
    <t>Фаза L1/A</t>
  </si>
  <si>
    <t>Фаза L2/B</t>
  </si>
  <si>
    <t>Фаза L3/C</t>
  </si>
  <si>
    <t>2P, 32A</t>
  </si>
  <si>
    <t>iC60(iSW)</t>
  </si>
  <si>
    <t>C120, NG125</t>
  </si>
  <si>
    <t>1P</t>
  </si>
  <si>
    <t>2P, 125A</t>
  </si>
  <si>
    <t>3P, 32A</t>
  </si>
  <si>
    <t>3P, 125A</t>
  </si>
  <si>
    <t>2.25</t>
  </si>
  <si>
    <t>исправлен расчет размеров iSW до 32А</t>
  </si>
  <si>
    <t>iC60(iID)</t>
  </si>
  <si>
    <t>Фаза L1/A, A</t>
  </si>
  <si>
    <t>Фаза L2/B, A</t>
  </si>
  <si>
    <t>Фаза L3/C, A</t>
  </si>
  <si>
    <t>Расчет электропотребления с равномерным распределением по фазам</t>
  </si>
  <si>
    <t>Рекомендация 12</t>
  </si>
  <si>
    <t>Рекомендация 13</t>
  </si>
  <si>
    <t>Выберите место ввода</t>
  </si>
  <si>
    <t>2.26</t>
  </si>
  <si>
    <t>добавлены проверки на количество аппаратов</t>
  </si>
  <si>
    <t>добавлены проверки на количество аппаратов, место ввода, расчет потребления тока по фазам и автоматическое распределение пофазных потребителей в зависимости от суммарного тока фаз.</t>
  </si>
  <si>
    <t>По умолчанию бланк заказа учитывает размеры выбранной аппаратуры, расчитывая минимально необходимую высоту шкафа. Также бланк учитывает размеры сальников согласно выбранным типам кабелей, их сечениям и расположениям (сверху/снизу). По своей базе данных бланк вычисляет минимально необходимую глубину шкафа для возможности размещения сальников на верхней и нижней стенке шкафа. 
Если место ввода кабеля не указано, то по умолчанию выпирается ввод сверху.
Если сечение кабеля не задано, то бланк определяет его по номинальному току и количеству полюсов аппаратов с учетом системы заземления шкафа. 
Если тип кабеля не указан, то бланк выбирает сальник из базы данных согласно выбранному сечению.</t>
  </si>
  <si>
    <t>вводного выключателя</t>
  </si>
  <si>
    <t xml:space="preserve">Выбор размера кабеля </t>
  </si>
  <si>
    <t>ОЛ NSX</t>
  </si>
  <si>
    <t>ОЛ Acti9, до 63 A</t>
  </si>
  <si>
    <t>ОЛ Acti9, до 125 A</t>
  </si>
  <si>
    <t>Выберите сечение кабеля из списка</t>
  </si>
  <si>
    <t>Справочная информация о потреблении тока ОЛ</t>
  </si>
  <si>
    <t>Рекомендация распределения
по фазам</t>
  </si>
  <si>
    <t>Выбор полюсов вводного аппарата</t>
  </si>
  <si>
    <t>Выбор полюсов ОЛ</t>
  </si>
  <si>
    <t>Расчет количества рядов NSX250</t>
  </si>
  <si>
    <t>iC60(C60H-DC,iID, iDPN Vigi)</t>
  </si>
  <si>
    <t>H2.2 (зона ОЛ NSX400)</t>
  </si>
  <si>
    <t>H2.1 (зона ОЛ NSX250)</t>
  </si>
  <si>
    <t>Остаток в мод. 46 мм</t>
  </si>
  <si>
    <t>Кол-во рядов в зоне NSX250, шт</t>
  </si>
  <si>
    <t>Остаток в ряду зоны NSX250, мм (35 мм мод.)</t>
  </si>
  <si>
    <t>Кол-во апп-тов ОЛ до 250А, до 95мм2</t>
  </si>
  <si>
    <t>Остаток, мм</t>
  </si>
  <si>
    <t>После перестановки NSX250 в ряд NSX400</t>
  </si>
  <si>
    <t>До перестановки NSX250 в ряд NSX400</t>
  </si>
  <si>
    <t>Остаток в ряду зоны NSX400, мм (46 мм мод.)</t>
  </si>
  <si>
    <t>Кол-во рядов в зоне NSX400, шт</t>
  </si>
  <si>
    <t>2.27</t>
  </si>
  <si>
    <t>добавлены ОЛ NSX400, улучшен расчет габаритов</t>
  </si>
  <si>
    <t>Блок сигнализации</t>
  </si>
  <si>
    <t>Общее кол-во аппаратов</t>
  </si>
  <si>
    <t>Тип AC 30 мА</t>
  </si>
  <si>
    <t>Тип AC 100 мА</t>
  </si>
  <si>
    <t>Тип AC 300 мА</t>
  </si>
  <si>
    <t>Тип AC 500 мА</t>
  </si>
  <si>
    <t>Рекомендация 14</t>
  </si>
  <si>
    <t xml:space="preserve"> !Выберите модульный аппарат для типа шкафа ЩР или измените тип шкафа на ПР</t>
  </si>
  <si>
    <t>Проверка на отсутствие сальников (IP31, снизу)</t>
  </si>
  <si>
    <t>Расчет количества рядов NSX400</t>
  </si>
  <si>
    <t>Общая Ширина</t>
  </si>
  <si>
    <t>Ширина сальников</t>
  </si>
  <si>
    <t>Определение типа кабеля</t>
  </si>
  <si>
    <t>Вводной аппарат</t>
  </si>
  <si>
    <t>2.28</t>
  </si>
  <si>
    <t>Отображен расчет рядов аппаратов</t>
  </si>
  <si>
    <t>Отображение рядов аппаратов</t>
  </si>
  <si>
    <t>Номинальный ток шкафа</t>
  </si>
  <si>
    <t>025</t>
  </si>
  <si>
    <t>040</t>
  </si>
  <si>
    <t>063</t>
  </si>
  <si>
    <t>100</t>
  </si>
  <si>
    <t>160</t>
  </si>
  <si>
    <t>250</t>
  </si>
  <si>
    <t>400</t>
  </si>
  <si>
    <t>630</t>
  </si>
  <si>
    <t>Обозначение</t>
  </si>
  <si>
    <t>Исполнение шкафа</t>
  </si>
  <si>
    <t>Навесное</t>
  </si>
  <si>
    <t>Напольное</t>
  </si>
  <si>
    <t>Рекомендация 15</t>
  </si>
  <si>
    <t>!Номинал вводного аппарата должен быть больше номинала ОЛ</t>
  </si>
  <si>
    <t>BKN-b</t>
  </si>
  <si>
    <t>SE</t>
  </si>
  <si>
    <t>LS</t>
  </si>
  <si>
    <t>H1 (зона вводного NSX)</t>
  </si>
  <si>
    <t>2.29</t>
  </si>
  <si>
    <t>Исправлен расчет габаритов</t>
  </si>
  <si>
    <t>Исправлен расчет габаритов для ЩР и ПР</t>
  </si>
  <si>
    <t>Дополнительная высота согласно исполнению конструкции стенок, мм</t>
  </si>
  <si>
    <t>ПР-06 навесной</t>
  </si>
  <si>
    <t>Высота вводного аппарата, мм</t>
  </si>
  <si>
    <t>АВР.ПР-06</t>
  </si>
  <si>
    <t>Ввод вводного кабеля</t>
  </si>
  <si>
    <t>Выбранное значение</t>
  </si>
  <si>
    <t>АВВГНг</t>
  </si>
  <si>
    <t>ВБШвнг(А)-LS</t>
  </si>
  <si>
    <t>ВВГНг</t>
  </si>
  <si>
    <t>ВВГЭнг(А)-LS</t>
  </si>
  <si>
    <t>КВВГ</t>
  </si>
  <si>
    <t>КВВГНг</t>
  </si>
  <si>
    <t>КГРУнг(А)-HF</t>
  </si>
  <si>
    <t>КМПЭВнг-FRLS</t>
  </si>
  <si>
    <t>КПЭПнг(A)-HF</t>
  </si>
  <si>
    <t>КУГПЭПнг(А)-НГ</t>
  </si>
  <si>
    <t>КУПЭВнг(А)-LS</t>
  </si>
  <si>
    <t>ПвПГнг(А)-FRHF</t>
  </si>
  <si>
    <t>ПвПнг(А)-FRHF</t>
  </si>
  <si>
    <t>ПвПнг(А)-HF</t>
  </si>
  <si>
    <t>18153411  САЛЬНИК PG9, ДИАМЕТР ПРОВОДНИКА 6...7 ММ ТУ 3449-110-18461115-03</t>
  </si>
  <si>
    <t>14020015  ПАТРУБОК ВВОДНОЙ У480  ( до 65мм), У3 ТУ 3449-013-01395331-2011</t>
  </si>
  <si>
    <t>2x0,5</t>
  </si>
  <si>
    <t>2x0,8</t>
  </si>
  <si>
    <t>2x1</t>
  </si>
  <si>
    <t>2x200</t>
  </si>
  <si>
    <t>2x240</t>
  </si>
  <si>
    <t>3x0,5</t>
  </si>
  <si>
    <t>3x0,8</t>
  </si>
  <si>
    <t>3x1</t>
  </si>
  <si>
    <t>3x200</t>
  </si>
  <si>
    <t>3x240</t>
  </si>
  <si>
    <t>4x0,5</t>
  </si>
  <si>
    <t>4x0,8</t>
  </si>
  <si>
    <t>4x1</t>
  </si>
  <si>
    <t>4x200</t>
  </si>
  <si>
    <t>5x0,5</t>
  </si>
  <si>
    <t>5x0,8</t>
  </si>
  <si>
    <t>5x1</t>
  </si>
  <si>
    <t>5x200</t>
  </si>
  <si>
    <t>5x240</t>
  </si>
  <si>
    <t>Сальник выбирается по наибольшему диаметру кабеля производителей Севкабель, Кольчугин</t>
  </si>
  <si>
    <t>1 вводной аппарат</t>
  </si>
  <si>
    <t>ПР-06 напольный</t>
  </si>
  <si>
    <t>NSX до 250А, до 1х185/2х150/3x120 мм2</t>
  </si>
  <si>
    <t>NSX до 630А, до 1х185/2х150/3x120 мм2</t>
  </si>
  <si>
    <t>Тип шкафа</t>
  </si>
  <si>
    <t>Проверка ширины шкафа с АВР, 4P</t>
  </si>
  <si>
    <t>Проверка ширины ЩР</t>
  </si>
  <si>
    <t>Проверка ширины ПР</t>
  </si>
  <si>
    <t>!Выберите ширину шкафа 600 или 800 мм / Выключите ограничения габаритов</t>
  </si>
  <si>
    <t>Проверка заполнения лишних ячеек</t>
  </si>
  <si>
    <t>NSX до 250А, до 1х95/2х95 мм2</t>
  </si>
  <si>
    <t>АВР.ПР06-063, до 1x50 мм2</t>
  </si>
  <si>
    <t>АВР.ПР06-040, до 1x50 мм2</t>
  </si>
  <si>
    <t>АВР.ПР06-025, до 1x50 мм2</t>
  </si>
  <si>
    <t>АВР.ПР06-020, до 1x50 мм2</t>
  </si>
  <si>
    <t>Наличие блока обогрева</t>
  </si>
  <si>
    <t>H7 (Стенки конструкции)</t>
  </si>
  <si>
    <t>Навесное исполнение</t>
  </si>
  <si>
    <t>Клеммы для вводного Acti9 при кабеле больше 10(16,25) мм2 на вводной стенке</t>
  </si>
  <si>
    <t>АВР.ПР06-100, до 1х150/2х120 мм2</t>
  </si>
  <si>
    <t>АВР.ПР06-125, до 1х150/2х120 мм2</t>
  </si>
  <si>
    <t>АВР.ПР06-160, до 1х150/2х120 мм2</t>
  </si>
  <si>
    <t>АВР.ПР06-250, до 1х150/2х120 мм2</t>
  </si>
  <si>
    <t>АВР.ПР06-400, до 1х150/2х120 мм2</t>
  </si>
  <si>
    <t>АВР.ПР06-020, до 1x16(25) мм2</t>
  </si>
  <si>
    <t>АВР.ПР06-025, до 1x16(25) мм2</t>
  </si>
  <si>
    <t>АВР.ПР06-032, до 1x16(25) мм2</t>
  </si>
  <si>
    <t>АВР.ПР06-040, до 1x16(25) мм2</t>
  </si>
  <si>
    <t>АВР.ПР06-063, до 1x16(25) мм2</t>
  </si>
  <si>
    <t>АВР.ПР06-100, NSX до 1x70 мм2</t>
  </si>
  <si>
    <t>АВР.ПР06-160, NSX до 1x70 мм2</t>
  </si>
  <si>
    <t>АВР.ПР06-125, Acti9 до 1x70 мм2</t>
  </si>
  <si>
    <t>2.30</t>
  </si>
  <si>
    <t>Исправлен расчет габаритов напольного ПР</t>
  </si>
  <si>
    <t>2.31</t>
  </si>
  <si>
    <t>Исправлен расчет расположения сальников</t>
  </si>
  <si>
    <t>Проверка глубины ЩР</t>
  </si>
  <si>
    <t>Номер рекомендации для шкафа</t>
  </si>
  <si>
    <t>!Выберите ширину шкафа 400 или 600 мм / выберите тип шкафа "ПР" / Выключите ограничения габаритов</t>
  </si>
  <si>
    <t>!Выберите ширину шкафа не менее 800 мм</t>
  </si>
  <si>
    <t>Если аппараты ОЛ не удается разбить на 1 или 2 группы суммарным током не более 63 А на каждую фазу, то ширина ЩР должна равняться 600 мм.</t>
  </si>
  <si>
    <t>Высота от пола до органа управления &gt;= 600 мм</t>
  </si>
  <si>
    <t>Кол-во апп-тов ОЛ более 250А</t>
  </si>
  <si>
    <t>2.33</t>
  </si>
  <si>
    <t>Выбор номинала аппарата ОЛ</t>
  </si>
  <si>
    <t>Исправлен расчет ОЛ, добавлено ограничение "Высота от пола до органа управления &gt;= 600 мм". Добавлен расчет габаритов шкафов нетиповой ширины. Выбор вводного аппарата от 1 А.</t>
  </si>
  <si>
    <t>Макс. сечение 2 кабелей</t>
  </si>
  <si>
    <t>Если в ЩР шириной 400мм должно выполняться одно из условий:
1. Если на отходящих линиях iC60, DPN N Vigi или iDPN Vigi, то они должны разбиваться на 1 или 2 группы не более 63 А каждая (10 мм2).
2. Если на отходящих линиях есть C120 или NG125, то они должны разбиваться на 1 или 2 группы не более 80 А каждая (16 мм2).
Иначе Ширина ЩР должна быть увеличена до 600 мм при установке шинок для ОЛ.</t>
  </si>
  <si>
    <t>Расчетная минимальная ширина ЩР</t>
  </si>
  <si>
    <t>Расчетная минимальная ширина ПР</t>
  </si>
  <si>
    <t>Проверка на корректные размеры шкафа</t>
  </si>
  <si>
    <t>!Выбранное количество кабелей не размещается</t>
  </si>
  <si>
    <t>!Выбранное количество аппаратов не размещается</t>
  </si>
  <si>
    <t>Наличие зоны H1</t>
  </si>
  <si>
    <t>Макс. размер вводной зоны</t>
  </si>
  <si>
    <t>Итоговый выбор</t>
  </si>
  <si>
    <t>Поиск типовых размеров</t>
  </si>
  <si>
    <t>Размер типового значения вводной зоны не найдено</t>
  </si>
  <si>
    <t>Рекомендация 16</t>
  </si>
  <si>
    <t>Замена навесного исполнения на напольное</t>
  </si>
  <si>
    <t>Итоговая рекомендация габаритов шкафа</t>
  </si>
  <si>
    <t>Навесное исполнение заменено на напольное из-за слишком большого размера вводного кабеля</t>
  </si>
  <si>
    <t>Итоговая рекомендация размеров шкафа</t>
  </si>
  <si>
    <t>Проверка размещения аппаратуры</t>
  </si>
  <si>
    <t>!В ЩР для данных аппаратов ОЛ потребуется установка дополнительных шин. Выберите ширину ящика 600 мм.</t>
  </si>
  <si>
    <t>Номер ОЛ</t>
  </si>
  <si>
    <t>Номер фазы</t>
  </si>
  <si>
    <t>Ток</t>
  </si>
  <si>
    <t>Группа 1</t>
  </si>
  <si>
    <t>Группа 2</t>
  </si>
  <si>
    <t>Фаза A</t>
  </si>
  <si>
    <t>Фаза C</t>
  </si>
  <si>
    <t>Фаза B</t>
  </si>
  <si>
    <t>Итоговое распределение по фазам</t>
  </si>
  <si>
    <t>2.34</t>
  </si>
  <si>
    <t>Исправлен расчет ширины ЩР, проверка установки шинок</t>
  </si>
  <si>
    <t>Итог</t>
  </si>
  <si>
    <t>Большие клеммы аппарата</t>
  </si>
  <si>
    <t>Кол-во аппаратов с большими клеммами</t>
  </si>
  <si>
    <t>Группа1-Группа2</t>
  </si>
  <si>
    <t>Остаток кол-ва аппаратов после уравнивания</t>
  </si>
  <si>
    <t>Кол-во аппаратов для уравнивания</t>
  </si>
  <si>
    <t>Возможность установки аппаратов с большими клеммами в обе группы</t>
  </si>
  <si>
    <t>Возможность установки аппаратов с большими клеммами в одну из групп</t>
  </si>
  <si>
    <t>Наличие аппаратов с большими клеммами 2x16 мм2</t>
  </si>
  <si>
    <t>Ограничение тока на каждую группу</t>
  </si>
  <si>
    <t>2.35</t>
  </si>
  <si>
    <t>Сделано автоматическое равномерное распределение по фазам</t>
  </si>
  <si>
    <t>Общий ток</t>
  </si>
  <si>
    <t>Ограничение по току на ширину ЩР 400 мм выполнено</t>
  </si>
  <si>
    <t>Номинальный ток модульного аппарата</t>
  </si>
  <si>
    <t>Сортировка ОЛ по убыванию</t>
  </si>
  <si>
    <t>Сортировка номеров токов по убыванию</t>
  </si>
  <si>
    <t>Порядковый номер тока по убыванию</t>
  </si>
  <si>
    <t>Номер аппарата ОЛ</t>
  </si>
  <si>
    <t>Порядковый номер для сортировки по току</t>
  </si>
  <si>
    <t>Своводное распределение по фазам</t>
  </si>
  <si>
    <t>Итоговый порядковый номер для сортировки</t>
  </si>
  <si>
    <t>Фаза A-B</t>
  </si>
  <si>
    <t>После уравнивания</t>
  </si>
  <si>
    <t>Остаток всего аппаратов</t>
  </si>
  <si>
    <t>Остаток непарных аппаратов</t>
  </si>
  <si>
    <t>Номер комбинации</t>
  </si>
  <si>
    <t>Описание комбинации</t>
  </si>
  <si>
    <t>МИН;МИН;МИН</t>
  </si>
  <si>
    <t>МАКС;МИН;МИН</t>
  </si>
  <si>
    <t>МАКС;СРЕД;МИН</t>
  </si>
  <si>
    <t>МАКС;МАКС;МИН</t>
  </si>
  <si>
    <t>МИН;МИН;МАКС</t>
  </si>
  <si>
    <t>МИН;СРЕД;МАКС</t>
  </si>
  <si>
    <t>МИН;МАКС;МАКС</t>
  </si>
  <si>
    <t>МИН;МАКС;МИН</t>
  </si>
  <si>
    <t>СРЕД;МАКС;МИН</t>
  </si>
  <si>
    <t>МИН;МАКС;СРЕД</t>
  </si>
  <si>
    <t>СРЕД;МИН;МАКС</t>
  </si>
  <si>
    <t>МАКС;МИН;СРЕД</t>
  </si>
  <si>
    <t>МАКС;МИН;МАКС</t>
  </si>
  <si>
    <t>Минимум/среднее/максимум</t>
  </si>
  <si>
    <t>Аппараты с указанием фазы подключения</t>
  </si>
  <si>
    <t>Аппараты без указания фазы подключения</t>
  </si>
  <si>
    <t>Суммарный фазный ток после распределения</t>
  </si>
  <si>
    <t>Суммарный ток после уравнивания</t>
  </si>
  <si>
    <t>Рекомендация распределения
аппаратов по фазам</t>
  </si>
  <si>
    <t>Проверка отсутствия блока сигнализации в ЩР</t>
  </si>
  <si>
    <t>Проверка системы заземления шкафа</t>
  </si>
  <si>
    <t>Не выбрана степень защиты шкафа</t>
  </si>
  <si>
    <t>Проверка типовой схемы шкафа</t>
  </si>
  <si>
    <t>Общие проверки шкафа</t>
  </si>
  <si>
    <t>!Уберите блок сигнализации / Выберите тип шкафа "ПР"</t>
  </si>
  <si>
    <t>!Исправьте размеры шкафа на корректные</t>
  </si>
  <si>
    <t>Очистите неиспользуемые ячейки высота/Ширина</t>
  </si>
  <si>
    <t>!В ячейку "Кол-во" введите "2"</t>
  </si>
  <si>
    <t>!В графе MX поставьте "-" или очистите ячейку</t>
  </si>
  <si>
    <t>!В графах кабеля поставьте "-" или очистите ячейку</t>
  </si>
  <si>
    <t>!Введите количество аппаратов</t>
  </si>
  <si>
    <t>!В графе SD поставьте "-" или очистите ячейку</t>
  </si>
  <si>
    <t>!Аппарат с текущим количеством полюсов не может использоваться в данной системе заземления</t>
  </si>
  <si>
    <t>!C60H-DC применяется только при системе заземления IT</t>
  </si>
  <si>
    <t>Ширина 1 аппарата / аксессуара, мм</t>
  </si>
  <si>
    <t>H3 (Зона Acti9+БС+БО)</t>
  </si>
  <si>
    <t>Нижнее значение температуры</t>
  </si>
  <si>
    <t>https://h4e.ru/komplektuyushchie/74-teplovoj-balans-elektrotekhnicheskogo-shkafa</t>
  </si>
  <si>
    <t>Площадь шкафа, м2</t>
  </si>
  <si>
    <t>коэффициент теплопередачи стальных стенок, Вт/(м^2*К)</t>
  </si>
  <si>
    <t>https://totalkip.ru/articles/klimat_v_shkafah_avtomatiki</t>
  </si>
  <si>
    <t>Температура внутри шкафа без обогрева, С</t>
  </si>
  <si>
    <t>Минимальная температура снаружи шкафа согласно климат. исполнению, С</t>
  </si>
  <si>
    <t>Требуется блок обогрева</t>
  </si>
  <si>
    <t>УХЛ3 будет исправлено в РД на УХЛ3.1</t>
  </si>
  <si>
    <t>Требуемая температура внутри шкафа, С</t>
  </si>
  <si>
    <t>Для защиты от выпадения конденсата в шкаф устанавлиается 1 постоянно включенный резистор 10 Вт, для поддержания минимальной рабочей температуры устанавливаются резисторы 160 Вт, включаемые термостатом</t>
  </si>
  <si>
    <t>Высота до установки нагревателей</t>
  </si>
  <si>
    <t>Высота после установки нагревателей</t>
  </si>
  <si>
    <t>Высота нижнего ряда ОЛ над нижней стенкой</t>
  </si>
  <si>
    <t>Высота шкафа</t>
  </si>
  <si>
    <t>Расчетная глубина, мм</t>
  </si>
  <si>
    <t>Расчетная ширина, мм</t>
  </si>
  <si>
    <t>Расчет площади рассеивания по стандарту МЭК 60890</t>
  </si>
  <si>
    <t>Блок резисторов обогрева (УХЛ2,У2,УХЛ1,У1,Т3,Т2,Т1), мм</t>
  </si>
  <si>
    <t>До установки резисторов обогрева</t>
  </si>
  <si>
    <t>После установки резисторов обогрева</t>
  </si>
  <si>
    <t>Мощность нагревателей, Вт</t>
  </si>
  <si>
    <t>Высота нижнего ряда ОЛ над нижней стенкой, мм</t>
  </si>
  <si>
    <t>Заданная ширина, мм</t>
  </si>
  <si>
    <t>Блок обогрева</t>
  </si>
  <si>
    <t>Аппараты блока сигнализации</t>
  </si>
  <si>
    <t>Аппараты блока обогрева</t>
  </si>
  <si>
    <t>Тепловыделение вводного аппарата, Вт</t>
  </si>
  <si>
    <t>Тепловыделение АВ ОЛ, Вт</t>
  </si>
  <si>
    <t>Кол-во резисторов</t>
  </si>
  <si>
    <t>Суммарное тепловыделение, Вт</t>
  </si>
  <si>
    <t>Коэффициент тепловыделения, Вт/А</t>
  </si>
  <si>
    <t>Контактор</t>
  </si>
  <si>
    <t>Мин. коэффициент одновременности ОЛ, ks</t>
  </si>
  <si>
    <t>После установки нагревателей</t>
  </si>
  <si>
    <t>До установки нагревателей</t>
  </si>
  <si>
    <t>Выбор модификации</t>
  </si>
  <si>
    <t>Добавочная высота</t>
  </si>
  <si>
    <t>Занято в ряду</t>
  </si>
  <si>
    <t>Осталось в ряду</t>
  </si>
  <si>
    <t>Ширина блока сигнализации, мм</t>
  </si>
  <si>
    <t>Ширина блока обогрева, мм</t>
  </si>
  <si>
    <t>Кол-во резисторов 160 Вт, всего</t>
  </si>
  <si>
    <t>Кол-во резисторов 160 Вт, в 1 ряду</t>
  </si>
  <si>
    <t>Навесное, 1 ряд резисторов</t>
  </si>
  <si>
    <t>Навесное, 2 ряда резисторов</t>
  </si>
  <si>
    <t>Ширина шкафа</t>
  </si>
  <si>
    <t>Общее кол-во резисторов</t>
  </si>
  <si>
    <t>H6 (Нагреватели для обогрева)</t>
  </si>
  <si>
    <t>!Выберите другую систему заземления при использовании аппаратов с текущим количеством полюсов</t>
  </si>
  <si>
    <t>!Выберите степень защиты</t>
  </si>
  <si>
    <t>!Исправьте исполнение главной схемы на нетиповое или исключите MX</t>
  </si>
  <si>
    <t>Проверка климатического исполнения</t>
  </si>
  <si>
    <t>!Глубина ЩР должна быть 200 мм. Выберите тип шкафа "ПР" / увеличьте "ширину" ЩР</t>
  </si>
  <si>
    <t>!Выберите корректное климатическое исполнение / измените тип шкафа на "ПР"</t>
  </si>
  <si>
    <t>Климатическое исполнение по ГОСТ 15150-69</t>
  </si>
  <si>
    <t>Минимальная температура</t>
  </si>
  <si>
    <t>Максимальная температура</t>
  </si>
  <si>
    <t>Средняя влажность</t>
  </si>
  <si>
    <t>УХЛ4</t>
  </si>
  <si>
    <t>60% при 20 С</t>
  </si>
  <si>
    <t>УХЛ3.1</t>
  </si>
  <si>
    <t>75% при 15 С</t>
  </si>
  <si>
    <t>У3.1</t>
  </si>
  <si>
    <t>У3</t>
  </si>
  <si>
    <t>75% при 27 С</t>
  </si>
  <si>
    <t>80% при 27 С</t>
  </si>
  <si>
    <t>2.36</t>
  </si>
  <si>
    <t>Сделан расчет блока обогрева</t>
  </si>
  <si>
    <t>Сделан расчет блока обогрева, исправлены климатические исполнения</t>
  </si>
  <si>
    <t>Замена аппаратов SE на LS</t>
  </si>
  <si>
    <t>Замена расцепителей SE на LS</t>
  </si>
  <si>
    <t>BKH</t>
  </si>
  <si>
    <t>FMU, 16A</t>
  </si>
  <si>
    <t>FMU, 25A</t>
  </si>
  <si>
    <t>FMU, 32A</t>
  </si>
  <si>
    <t>FMU, 40A</t>
  </si>
  <si>
    <t>FMU, 50A</t>
  </si>
  <si>
    <t>FMU, 63A</t>
  </si>
  <si>
    <t>FMU, 80A</t>
  </si>
  <si>
    <t>FMU, 100A</t>
  </si>
  <si>
    <t>FMU, 125A</t>
  </si>
  <si>
    <t>FMU, 160A</t>
  </si>
  <si>
    <t>FMU, 200A</t>
  </si>
  <si>
    <t>FMU, 250A</t>
  </si>
  <si>
    <t>BKD</t>
  </si>
  <si>
    <t>RKN-B</t>
  </si>
  <si>
    <t>TS250N</t>
  </si>
  <si>
    <t>TS400N</t>
  </si>
  <si>
    <t>TS630N</t>
  </si>
  <si>
    <t>TS250NA</t>
  </si>
  <si>
    <t>TS400NA</t>
  </si>
  <si>
    <t>TS630NA</t>
  </si>
  <si>
    <t>BKN-b (АВР.ПР06-025)</t>
  </si>
  <si>
    <t>BKN-b (АВР.ПР06-040)</t>
  </si>
  <si>
    <t>BKN-b (АВР.ПР06-063)</t>
  </si>
  <si>
    <t>BKD (АВР.ПР06-020)</t>
  </si>
  <si>
    <t>BKD (АВР.ПР06-032)</t>
  </si>
  <si>
    <t>BKD (АВР.ПР06-040)</t>
  </si>
  <si>
    <t>BKD (АВР.ПР06-063)</t>
  </si>
  <si>
    <t>BKD (АВР.ПР06-100)</t>
  </si>
  <si>
    <t>BKD (АВР.ПР06-125)</t>
  </si>
  <si>
    <t>BKH (АВР.ПР06-063)</t>
  </si>
  <si>
    <t>BKH (АВР.ПР06-080)</t>
  </si>
  <si>
    <t>BKH (АВР.ПР06-100)</t>
  </si>
  <si>
    <t>BKH (АВР.ПР06-125)</t>
  </si>
  <si>
    <t>TS250N (АВР.ПР06-250)</t>
  </si>
  <si>
    <t>TS400N (АВР.ПР06-400)</t>
  </si>
  <si>
    <t>FTU, 16A</t>
  </si>
  <si>
    <t>FTU, 25A</t>
  </si>
  <si>
    <t>FTU, 40A</t>
  </si>
  <si>
    <t>FTU, 63A</t>
  </si>
  <si>
    <t>FTU, 80A</t>
  </si>
  <si>
    <t>FTU, 100A</t>
  </si>
  <si>
    <t>FTU, 125A</t>
  </si>
  <si>
    <t>FTU, 160A</t>
  </si>
  <si>
    <t>FTU, 250A</t>
  </si>
  <si>
    <t>FTU, 200A</t>
  </si>
  <si>
    <t>2.37</t>
  </si>
  <si>
    <t>Сделан бланк LS</t>
  </si>
  <si>
    <t>Реализована замена аппаратов SE на LS</t>
  </si>
  <si>
    <t>Требования к кабелю по РД87</t>
  </si>
  <si>
    <t>ВВ</t>
  </si>
  <si>
    <t>вспомог. Столбцы</t>
  </si>
  <si>
    <t>18153418  САЛЬНИК PG42, ДИАМЕТР ПРОВОДНИКА 30...40 ММ ТУ 3449-110-18461115-04</t>
  </si>
  <si>
    <t>Сортировка по: 1. кол-во жил (возр), 2. сечение (возр), 3. диаметр (убыв)</t>
  </si>
  <si>
    <t>Рекомендация 17</t>
  </si>
  <si>
    <t>Рекомендация 18</t>
  </si>
  <si>
    <t>!Исправьте значение Ir</t>
  </si>
  <si>
    <t>!Исправьте значение Im(Isd)</t>
  </si>
  <si>
    <t>!Выберите тип УЗО из выпадающего списка</t>
  </si>
  <si>
    <t>Распреденение аппаратов по фазам</t>
  </si>
  <si>
    <t>Сортировка аппаратов без указания фазы по убыванию номинального тока</t>
  </si>
  <si>
    <t>Ширина столбцов</t>
  </si>
  <si>
    <t>Способ выбора</t>
  </si>
  <si>
    <r>
      <t>4)</t>
    </r>
    <r>
      <rPr>
        <sz val="7"/>
        <rFont val="Times New Roman"/>
        <family val="1"/>
        <charset val="204"/>
      </rPr>
      <t xml:space="preserve">      </t>
    </r>
    <r>
      <rPr>
        <sz val="12"/>
        <rFont val="Times New Roman"/>
        <family val="1"/>
        <charset val="204"/>
      </rPr>
      <t>Выберите ширину шкафа. Остальные габариты рассчитаются автоматически с использованием информации об оборудовании шкафа и приходящих кабелях. Справа и снизу от бланка отображается справочная информация о наполнении шкафа.</t>
    </r>
  </si>
  <si>
    <t>ETS23, 40А</t>
  </si>
  <si>
    <t>ETS23, 100А</t>
  </si>
  <si>
    <t>ETS23, 160А</t>
  </si>
  <si>
    <t>ETS23, 250А</t>
  </si>
  <si>
    <t>ETS33, 400А</t>
  </si>
  <si>
    <t>ETS33, 630А</t>
  </si>
  <si>
    <t>ETM33, 630А</t>
  </si>
  <si>
    <t>ETM33, 400А</t>
  </si>
  <si>
    <t>2.38</t>
  </si>
  <si>
    <t>Добавлена проверка Ir, Im</t>
  </si>
  <si>
    <t>Возможность ввода данных в ячейку</t>
  </si>
  <si>
    <t>Способ заполнения ячейки</t>
  </si>
  <si>
    <t>Возможность копирования</t>
  </si>
  <si>
    <t>Примечание</t>
  </si>
  <si>
    <t>да</t>
  </si>
  <si>
    <t>вручную</t>
  </si>
  <si>
    <t>заполнять при необходимости</t>
  </si>
  <si>
    <t>нет</t>
  </si>
  <si>
    <t>автоматически</t>
  </si>
  <si>
    <t>не заполнять</t>
  </si>
  <si>
    <t>вычисляется автоматически</t>
  </si>
  <si>
    <t>текущее значение является одним из рекомендованных</t>
  </si>
  <si>
    <t>да/нет</t>
  </si>
  <si>
    <t>заполнять при ручном формировании габаритов</t>
  </si>
  <si>
    <t>см. примечание</t>
  </si>
  <si>
    <r>
      <t>заполнять при необходимости;</t>
    </r>
    <r>
      <rPr>
        <i/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копирование</t>
    </r>
    <r>
      <rPr>
        <sz val="12"/>
        <rFont val="Times New Roman"/>
        <family val="1"/>
        <charset val="204"/>
      </rPr>
      <t xml:space="preserve"> ячеек стандартным методом </t>
    </r>
    <r>
      <rPr>
        <b/>
        <sz val="12"/>
        <rFont val="Times New Roman"/>
        <family val="1"/>
        <charset val="204"/>
      </rPr>
      <t>запрещено</t>
    </r>
    <r>
      <rPr>
        <vertAlign val="superscript"/>
        <sz val="12"/>
        <rFont val="Times New Roman"/>
        <family val="1"/>
        <charset val="204"/>
      </rPr>
      <t>3</t>
    </r>
  </si>
  <si>
    <t>проверить введенные данные на возможные ошибки</t>
  </si>
  <si>
    <t>устранить ошибки во введенных данных</t>
  </si>
  <si>
    <r>
      <rPr>
        <b/>
        <sz val="12"/>
        <color rgb="FFFF0000"/>
        <rFont val="Times New Roman"/>
        <family val="1"/>
        <charset val="204"/>
      </rPr>
      <t>Примечание:</t>
    </r>
    <r>
      <rPr>
        <sz val="12"/>
        <color rgb="FFFF0000"/>
        <rFont val="Times New Roman"/>
        <family val="1"/>
        <charset val="204"/>
      </rPr>
      <t xml:space="preserve"> При заполнении параметров кабеля символ "x" вводите на латинской раскладке клавиатуры. Если для данного аппарата не требуется установка сальника, то в графах для его кабеля необходимо установить прочерки.</t>
    </r>
  </si>
  <si>
    <t>Занято, мм</t>
  </si>
  <si>
    <t>Свободно, мм</t>
  </si>
  <si>
    <t>Micrologic 2</t>
  </si>
  <si>
    <t>Настройка Ir, Isd, фиксир. tsd, Ii</t>
  </si>
  <si>
    <t>Настройка Ir, Isd, tr, tsd, Ii</t>
  </si>
  <si>
    <t>Настройка Ir, Isd, tr, tsd, Ii, Ig</t>
  </si>
  <si>
    <t>Настройка Ir, Isd, tsd, фиксир. Ii</t>
  </si>
  <si>
    <t>Настройка Ir, Isd, tr, tsd, Ii, Ig, tg</t>
  </si>
  <si>
    <t>Micrologic 5.2E, 40А</t>
  </si>
  <si>
    <t>Micrologic 6.2A, 40А</t>
  </si>
  <si>
    <t>Micrologic 6.2E, 40А</t>
  </si>
  <si>
    <t>Micrologic 5.2E, 100А</t>
  </si>
  <si>
    <t>Micrologic 6.2A, 100А</t>
  </si>
  <si>
    <t>Micrologic 6.2E, 100А</t>
  </si>
  <si>
    <t>Micrologic 5.2E, 160А</t>
  </si>
  <si>
    <t>Micrologic 6.2A, 160А</t>
  </si>
  <si>
    <t>Micrologic 6.2E, 160А</t>
  </si>
  <si>
    <t>Micrologic 5.2E, 250А</t>
  </si>
  <si>
    <t>Micrologic 6.2A, 250А</t>
  </si>
  <si>
    <t>Micrologic 6.2E, 250А</t>
  </si>
  <si>
    <t>Micrologic 5.3E, 400А</t>
  </si>
  <si>
    <t>Micrologic 6.3A, 400А</t>
  </si>
  <si>
    <t>Micrologic 6.3E, 400А</t>
  </si>
  <si>
    <t>Micrologic 5.3E, 630А</t>
  </si>
  <si>
    <t>Micrologic 6.3A, 630А</t>
  </si>
  <si>
    <t>Micrologic 6.3E, 630А</t>
  </si>
  <si>
    <t>(5…10)In</t>
  </si>
  <si>
    <t>Micrologic 5.2(3)A</t>
  </si>
  <si>
    <t>Micrologic 5.2(3)E</t>
  </si>
  <si>
    <t>Функции защиты</t>
  </si>
  <si>
    <t>Функции измерения</t>
  </si>
  <si>
    <t>Micrologic 6.2(3)E</t>
  </si>
  <si>
    <t>Micrologic 6.2(3)A</t>
  </si>
  <si>
    <t>Мгновенные действующие значения токов</t>
  </si>
  <si>
    <t>Мгновенные действующие значения токов, значения напряжения, частоты, мощности и энергии</t>
  </si>
  <si>
    <t>ETS23(33)</t>
  </si>
  <si>
    <t>ETM33</t>
  </si>
  <si>
    <t>ETM33 AC</t>
  </si>
  <si>
    <t>ETM33 AEC</t>
  </si>
  <si>
    <t>ETM33 ZAEC</t>
  </si>
  <si>
    <t>ETM33 A</t>
  </si>
  <si>
    <t>ETM33 E</t>
  </si>
  <si>
    <t>Функции передачи данных</t>
  </si>
  <si>
    <t>Логическая селективность</t>
  </si>
  <si>
    <t>Micrologic 6.3A, 40А</t>
  </si>
  <si>
    <t>ETS23, 80А</t>
  </si>
  <si>
    <t>нет измерения мощности</t>
  </si>
  <si>
    <t>ETM33 A, 160А</t>
  </si>
  <si>
    <t>ETM33 A, 250А</t>
  </si>
  <si>
    <t>ETM33 A, 400А</t>
  </si>
  <si>
    <t>ETM33 A, 630А</t>
  </si>
  <si>
    <t>ETM33 AE, 160А</t>
  </si>
  <si>
    <t>ETM33 AE, 250А</t>
  </si>
  <si>
    <t>ETM33 AE, 400А</t>
  </si>
  <si>
    <t>ETM33 AE, 630А</t>
  </si>
  <si>
    <t>ETM33 AC, 400А</t>
  </si>
  <si>
    <t>ETM33 E, 400А</t>
  </si>
  <si>
    <t>ETM33 AEC, 400А</t>
  </si>
  <si>
    <t>ETM33 ZAEC, 400А</t>
  </si>
  <si>
    <t>ETM33 AC, 630А</t>
  </si>
  <si>
    <t>ETM33 E, 630А</t>
  </si>
  <si>
    <t>ETM33 AEC, 630А</t>
  </si>
  <si>
    <t>ETM33 ZAEC, 630А</t>
  </si>
  <si>
    <t xml:space="preserve">Исправить ток Ir для </t>
  </si>
  <si>
    <t>2.39</t>
  </si>
  <si>
    <t>Добавлено 5 отходящих линий</t>
  </si>
  <si>
    <t>Высота органа управления над полом не менее 600 мм</t>
  </si>
  <si>
    <t>Уставка Im(Isd)</t>
  </si>
  <si>
    <t>ОЛ16</t>
  </si>
  <si>
    <t>ОЛ17</t>
  </si>
  <si>
    <t>ОЛ18</t>
  </si>
  <si>
    <t>ОЛ19</t>
  </si>
  <si>
    <t>ОЛ20</t>
  </si>
  <si>
    <t>BK63H-DC</t>
  </si>
  <si>
    <t>MA2.5</t>
  </si>
  <si>
    <t>MA6.3</t>
  </si>
  <si>
    <t>MA12.5</t>
  </si>
  <si>
    <t>MA25</t>
  </si>
  <si>
    <t>MA50</t>
  </si>
  <si>
    <t>MA100</t>
  </si>
  <si>
    <t>MA150</t>
  </si>
  <si>
    <t>MA220</t>
  </si>
  <si>
    <t>MTU, 25A</t>
  </si>
  <si>
    <t>MTU, 12A</t>
  </si>
  <si>
    <t>MTU, 6,3A</t>
  </si>
  <si>
    <t>MTU, 3,2A</t>
  </si>
  <si>
    <t>MTU, 50A</t>
  </si>
  <si>
    <t>MTU, 100A</t>
  </si>
  <si>
    <t>MTU, 150A</t>
  </si>
  <si>
    <t>MTU, 220A</t>
  </si>
  <si>
    <t>TD100N</t>
  </si>
  <si>
    <t>TD100NA</t>
  </si>
  <si>
    <t>TD100N (АВР.ПР06-100)</t>
  </si>
  <si>
    <t>TD160N</t>
  </si>
  <si>
    <t>TD160NA</t>
  </si>
  <si>
    <t>TD160N (АВР.ПР06-160)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</si>
</sst>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р.&quot;_-;\-* #,##0.00&quot;р.&quot;_-;_-* &quot;-&quot;??&quot;р.&quot;_-;_-@_-"/>
    <numFmt numFmtId="164" formatCode="000000"/>
    <numFmt numFmtId="165" formatCode="0.0"/>
    <numFmt numFmtId="166" formatCode="0;\-0;;@"/>
  </numFmts>
  <fonts count="5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</font>
    <font>
      <b/>
      <sz val="9"/>
      <color indexed="81"/>
      <name val="Tahoma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10"/>
      <color indexed="22"/>
      <name val="Arial Cyr"/>
      <family val="2"/>
      <charset val="204"/>
    </font>
    <font>
      <i/>
      <sz val="10"/>
      <color indexed="52"/>
      <name val="Arial Cyr"/>
      <family val="2"/>
      <charset val="204"/>
    </font>
    <font>
      <i/>
      <sz val="10"/>
      <name val="Arial Cyr"/>
      <family val="2"/>
      <charset val="204"/>
    </font>
    <font>
      <sz val="9"/>
      <color indexed="81"/>
      <name val="Tahoma"/>
      <family val="2"/>
      <charset val="204"/>
    </font>
    <font>
      <sz val="14"/>
      <name val="Arial Cyr"/>
      <charset val="204"/>
    </font>
    <font>
      <sz val="14"/>
      <name val="Arial"/>
      <family val="2"/>
    </font>
    <font>
      <b/>
      <sz val="14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12"/>
      <name val="Arial Cyr"/>
      <family val="2"/>
      <charset val="204"/>
    </font>
    <font>
      <sz val="14"/>
      <name val="Arial Cyr"/>
      <family val="2"/>
      <charset val="204"/>
    </font>
    <font>
      <b/>
      <i/>
      <sz val="10"/>
      <name val="Arial Cyr"/>
      <family val="2"/>
      <charset val="204"/>
    </font>
    <font>
      <sz val="12"/>
      <name val="Arial CYR"/>
      <family val="2"/>
      <charset val="204"/>
    </font>
    <font>
      <sz val="10"/>
      <color indexed="63"/>
      <name val="Arial Cyr"/>
      <charset val="204"/>
    </font>
    <font>
      <sz val="10"/>
      <color indexed="63"/>
      <name val="Arial CYR"/>
      <family val="2"/>
      <charset val="204"/>
    </font>
    <font>
      <i/>
      <sz val="10"/>
      <name val="Arial Cyr"/>
      <charset val="204"/>
    </font>
    <font>
      <sz val="10"/>
      <color indexed="55"/>
      <name val="Arial Cyr"/>
      <charset val="204"/>
    </font>
    <font>
      <b/>
      <sz val="10"/>
      <color indexed="55"/>
      <name val="Arial Cyr"/>
      <charset val="204"/>
    </font>
    <font>
      <i/>
      <sz val="10"/>
      <color indexed="55"/>
      <name val="Arial Cyr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7"/>
      <name val="Times New Roman"/>
      <family val="1"/>
      <charset val="204"/>
    </font>
    <font>
      <sz val="7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u/>
      <sz val="12"/>
      <color indexed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FF0000"/>
      <name val="Arial"/>
      <family val="2"/>
    </font>
    <font>
      <sz val="11"/>
      <color rgb="FFFF0000"/>
      <name val="Arial Cyr"/>
      <family val="2"/>
      <charset val="204"/>
    </font>
    <font>
      <sz val="11"/>
      <color rgb="FFFF0000"/>
      <name val="Arial Cyr"/>
      <charset val="204"/>
    </font>
    <font>
      <sz val="10"/>
      <color rgb="FFFF0000"/>
      <name val="Arial"/>
      <family val="2"/>
    </font>
    <font>
      <sz val="10"/>
      <color rgb="FFFF0000"/>
      <name val="Arial Cyr"/>
      <charset val="204"/>
    </font>
    <font>
      <sz val="10"/>
      <color theme="0" tint="-0.249977111117893"/>
      <name val="Arial Cyr"/>
      <charset val="204"/>
    </font>
    <font>
      <sz val="12"/>
      <color rgb="FFFF0000"/>
      <name val="Times New Roman"/>
      <family val="1"/>
      <charset val="204"/>
    </font>
    <font>
      <sz val="10"/>
      <color theme="9" tint="0.39997558519241921"/>
      <name val="Arial Cyr"/>
      <charset val="204"/>
    </font>
    <font>
      <sz val="11"/>
      <name val="Arial Cyr"/>
      <charset val="204"/>
    </font>
    <font>
      <sz val="14"/>
      <name val="Arial"/>
      <family val="2"/>
      <charset val="204"/>
    </font>
    <font>
      <sz val="10"/>
      <color theme="6"/>
      <name val="Arial Cyr"/>
      <charset val="204"/>
    </font>
    <font>
      <i/>
      <sz val="10"/>
      <color theme="6"/>
      <name val="Arial Cyr"/>
      <charset val="204"/>
    </font>
    <font>
      <i/>
      <sz val="10"/>
      <color theme="6"/>
      <name val="Arial Cyr"/>
      <family val="2"/>
      <charset val="204"/>
    </font>
    <font>
      <b/>
      <i/>
      <sz val="10"/>
      <color theme="6"/>
      <name val="Arial Cyr"/>
      <family val="2"/>
      <charset val="204"/>
    </font>
    <font>
      <sz val="10"/>
      <color theme="6"/>
      <name val="Arial Cyr"/>
      <family val="2"/>
      <charset val="204"/>
    </font>
    <font>
      <b/>
      <sz val="10"/>
      <name val="Arial Cyr"/>
      <charset val="204"/>
    </font>
    <font>
      <sz val="11"/>
      <name val="Arial"/>
      <family val="2"/>
    </font>
    <font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Dashed">
        <color indexed="64"/>
      </right>
      <top/>
      <bottom/>
      <diagonal/>
    </border>
    <border>
      <left/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Dashed">
        <color indexed="64"/>
      </bottom>
      <diagonal/>
    </border>
    <border>
      <left style="thin">
        <color indexed="64"/>
      </left>
      <right/>
      <top style="medium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Dash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Dashed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Dashed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Dashed">
        <color indexed="64"/>
      </right>
      <top style="dashDot">
        <color indexed="64"/>
      </top>
      <bottom style="dashDot">
        <color indexed="64"/>
      </bottom>
      <diagonal/>
    </border>
    <border>
      <left/>
      <right style="medium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Dot">
        <color indexed="64"/>
      </bottom>
      <diagonal/>
    </border>
    <border>
      <left/>
      <right style="mediumDashed">
        <color indexed="64"/>
      </right>
      <top style="medium">
        <color indexed="64"/>
      </top>
      <bottom style="dashDot">
        <color indexed="64"/>
      </bottom>
      <diagonal/>
    </border>
    <border>
      <left/>
      <right style="thin">
        <color indexed="64"/>
      </right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Dashed">
        <color indexed="64"/>
      </top>
      <bottom/>
      <diagonal/>
    </border>
    <border>
      <left style="thin">
        <color indexed="64"/>
      </left>
      <right style="thin">
        <color indexed="64"/>
      </right>
      <top style="mediumDash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Dashed">
        <color indexed="64"/>
      </bottom>
      <diagonal/>
    </border>
    <border>
      <left/>
      <right style="thin">
        <color indexed="64"/>
      </right>
      <top/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1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0" xfId="0" applyFont="1" applyFill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0" fillId="0" borderId="0" xfId="0" applyBorder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0" xfId="0" applyFill="1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/>
    <xf numFmtId="0" fontId="0" fillId="0" borderId="0" xfId="0" applyBorder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1" xfId="0" applyBorder="1"/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16" xfId="0" applyFill="1" applyBorder="1"/>
    <xf numFmtId="0" fontId="0" fillId="0" borderId="17" xfId="0" applyBorder="1" applyAlignment="1">
      <alignment horizontal="center"/>
    </xf>
    <xf numFmtId="0" fontId="0" fillId="0" borderId="0" xfId="0" applyFill="1"/>
    <xf numFmtId="0" fontId="0" fillId="0" borderId="19" xfId="0" applyBorder="1" applyAlignment="1">
      <alignment horizontal="center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/>
    <xf numFmtId="0" fontId="6" fillId="0" borderId="0" xfId="0" applyFont="1" applyBorder="1" applyAlignment="1"/>
    <xf numFmtId="0" fontId="0" fillId="0" borderId="0" xfId="0" applyFill="1" applyBorder="1" applyAlignment="1"/>
    <xf numFmtId="0" fontId="6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4" fillId="0" borderId="0" xfId="0" applyFont="1" applyBorder="1"/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9" xfId="0" applyBorder="1"/>
    <xf numFmtId="0" fontId="0" fillId="0" borderId="22" xfId="0" applyBorder="1"/>
    <xf numFmtId="0" fontId="0" fillId="0" borderId="23" xfId="0" applyBorder="1"/>
    <xf numFmtId="0" fontId="0" fillId="0" borderId="15" xfId="0" applyBorder="1" applyAlignment="1">
      <alignment horizontal="center"/>
    </xf>
    <xf numFmtId="0" fontId="0" fillId="0" borderId="24" xfId="0" applyBorder="1" applyAlignment="1">
      <alignment horizontal="center" vertical="center"/>
    </xf>
    <xf numFmtId="0" fontId="0" fillId="0" borderId="14" xfId="0" applyBorder="1"/>
    <xf numFmtId="0" fontId="0" fillId="0" borderId="23" xfId="0" applyBorder="1" applyAlignment="1">
      <alignment horizontal="center"/>
    </xf>
    <xf numFmtId="0" fontId="0" fillId="0" borderId="21" xfId="0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0" xfId="0" applyFont="1" applyFill="1" applyBorder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49" fontId="0" fillId="0" borderId="0" xfId="0" applyNumberForma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33" xfId="0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4" fillId="0" borderId="35" xfId="0" applyFont="1" applyFill="1" applyBorder="1" applyAlignment="1">
      <alignment horizontal="center"/>
    </xf>
    <xf numFmtId="0" fontId="4" fillId="0" borderId="36" xfId="0" applyFont="1" applyFill="1" applyBorder="1" applyAlignment="1">
      <alignment horizontal="center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2" fillId="0" borderId="0" xfId="0" applyFont="1" applyFill="1" applyBorder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Fill="1" applyBorder="1" applyAlignment="1" applyProtection="1">
      <alignment horizontal="center" wrapText="1"/>
      <protection hidden="1"/>
    </xf>
    <xf numFmtId="0" fontId="12" fillId="3" borderId="1" xfId="0" applyFont="1" applyFill="1" applyBorder="1" applyProtection="1">
      <protection hidden="1"/>
    </xf>
    <xf numFmtId="0" fontId="12" fillId="3" borderId="1" xfId="0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3" borderId="0" xfId="0" applyFont="1" applyFill="1" applyProtection="1"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0" xfId="0" applyFont="1" applyFill="1" applyProtection="1">
      <protection hidden="1"/>
    </xf>
    <xf numFmtId="0" fontId="0" fillId="0" borderId="29" xfId="0" applyBorder="1"/>
    <xf numFmtId="0" fontId="0" fillId="0" borderId="36" xfId="0" applyBorder="1"/>
    <xf numFmtId="0" fontId="0" fillId="0" borderId="1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" fillId="4" borderId="10" xfId="0" applyFont="1" applyFill="1" applyBorder="1" applyAlignment="1">
      <alignment wrapText="1"/>
    </xf>
    <xf numFmtId="0" fontId="0" fillId="4" borderId="37" xfId="0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40" xfId="0" applyBorder="1"/>
    <xf numFmtId="49" fontId="0" fillId="0" borderId="0" xfId="0" applyNumberFormat="1"/>
    <xf numFmtId="0" fontId="0" fillId="0" borderId="44" xfId="0" applyBorder="1" applyAlignment="1">
      <alignment horizontal="left"/>
    </xf>
    <xf numFmtId="14" fontId="0" fillId="0" borderId="0" xfId="0" applyNumberFormat="1"/>
    <xf numFmtId="0" fontId="0" fillId="0" borderId="3" xfId="0" applyBorder="1" applyAlignment="1">
      <alignment horizontal="left"/>
    </xf>
    <xf numFmtId="0" fontId="0" fillId="0" borderId="45" xfId="0" applyBorder="1"/>
    <xf numFmtId="0" fontId="0" fillId="0" borderId="40" xfId="0" applyBorder="1" applyAlignment="1">
      <alignment horizontal="center"/>
    </xf>
    <xf numFmtId="0" fontId="0" fillId="0" borderId="46" xfId="0" applyBorder="1" applyAlignment="1">
      <alignment horizontal="left"/>
    </xf>
    <xf numFmtId="44" fontId="0" fillId="0" borderId="3" xfId="1" applyFont="1" applyFill="1" applyBorder="1" applyAlignment="1">
      <alignment horizontal="center"/>
    </xf>
    <xf numFmtId="0" fontId="4" fillId="0" borderId="0" xfId="0" applyFont="1"/>
    <xf numFmtId="0" fontId="12" fillId="5" borderId="1" xfId="0" applyFont="1" applyFill="1" applyBorder="1" applyAlignment="1" applyProtection="1">
      <alignment horizontal="center" vertical="center" wrapText="1"/>
      <protection locked="0" hidden="1"/>
    </xf>
    <xf numFmtId="0" fontId="12" fillId="5" borderId="4" xfId="0" applyFont="1" applyFill="1" applyBorder="1" applyAlignment="1" applyProtection="1">
      <alignment horizontal="center" vertical="center" wrapText="1"/>
      <protection locked="0" hidden="1"/>
    </xf>
    <xf numFmtId="0" fontId="12" fillId="4" borderId="1" xfId="0" applyFont="1" applyFill="1" applyBorder="1" applyAlignment="1" applyProtection="1">
      <alignment horizontal="center"/>
      <protection locked="0" hidden="1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4" fillId="0" borderId="3" xfId="0" applyFont="1" applyBorder="1"/>
    <xf numFmtId="0" fontId="4" fillId="0" borderId="17" xfId="0" applyFont="1" applyBorder="1"/>
    <xf numFmtId="0" fontId="0" fillId="0" borderId="1" xfId="0" applyFill="1" applyBorder="1"/>
    <xf numFmtId="0" fontId="0" fillId="0" borderId="0" xfId="0" applyFill="1" applyAlignment="1"/>
    <xf numFmtId="0" fontId="0" fillId="0" borderId="0" xfId="0" applyAlignment="1">
      <alignment wrapText="1"/>
    </xf>
    <xf numFmtId="0" fontId="0" fillId="0" borderId="0" xfId="0" applyFill="1" applyAlignment="1">
      <alignment horizontal="center"/>
    </xf>
    <xf numFmtId="0" fontId="7" fillId="0" borderId="0" xfId="0" applyFont="1" applyFill="1" applyBorder="1"/>
    <xf numFmtId="0" fontId="0" fillId="0" borderId="1" xfId="0" applyFill="1" applyBorder="1" applyAlignment="1"/>
    <xf numFmtId="0" fontId="4" fillId="0" borderId="1" xfId="0" applyFont="1" applyFill="1" applyBorder="1"/>
    <xf numFmtId="0" fontId="16" fillId="0" borderId="24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17" fillId="0" borderId="5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/>
    </xf>
    <xf numFmtId="0" fontId="15" fillId="0" borderId="0" xfId="0" applyFont="1" applyAlignment="1" applyProtection="1">
      <alignment horizontal="left" vertical="top"/>
      <protection hidden="1"/>
    </xf>
    <xf numFmtId="0" fontId="4" fillId="0" borderId="19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4" fillId="0" borderId="57" xfId="0" applyFon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8" xfId="0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4" fillId="0" borderId="42" xfId="0" applyFont="1" applyBorder="1"/>
    <xf numFmtId="0" fontId="4" fillId="0" borderId="9" xfId="0" applyFont="1" applyBorder="1"/>
    <xf numFmtId="0" fontId="4" fillId="0" borderId="0" xfId="0" applyFont="1" applyFill="1" applyBorder="1" applyAlignment="1">
      <alignment horizontal="left"/>
    </xf>
    <xf numFmtId="0" fontId="4" fillId="6" borderId="1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9" fillId="0" borderId="59" xfId="0" applyFont="1" applyBorder="1" applyAlignment="1">
      <alignment horizontal="center" vertical="center"/>
    </xf>
    <xf numFmtId="0" fontId="9" fillId="0" borderId="38" xfId="0" applyFont="1" applyBorder="1"/>
    <xf numFmtId="0" fontId="9" fillId="0" borderId="60" xfId="0" applyFont="1" applyFill="1" applyBorder="1"/>
    <xf numFmtId="0" fontId="9" fillId="0" borderId="19" xfId="0" applyFont="1" applyBorder="1"/>
    <xf numFmtId="0" fontId="9" fillId="0" borderId="33" xfId="0" applyFont="1" applyFill="1" applyBorder="1"/>
    <xf numFmtId="0" fontId="9" fillId="0" borderId="16" xfId="0" applyFont="1" applyBorder="1"/>
    <xf numFmtId="0" fontId="9" fillId="0" borderId="64" xfId="0" applyFont="1" applyBorder="1"/>
    <xf numFmtId="0" fontId="9" fillId="0" borderId="25" xfId="0" applyFont="1" applyBorder="1"/>
    <xf numFmtId="0" fontId="19" fillId="0" borderId="49" xfId="0" applyFont="1" applyBorder="1"/>
    <xf numFmtId="0" fontId="9" fillId="0" borderId="55" xfId="0" applyFont="1" applyFill="1" applyBorder="1"/>
    <xf numFmtId="0" fontId="9" fillId="0" borderId="19" xfId="0" applyFont="1" applyFill="1" applyBorder="1"/>
    <xf numFmtId="0" fontId="0" fillId="0" borderId="44" xfId="0" applyBorder="1"/>
    <xf numFmtId="0" fontId="9" fillId="0" borderId="41" xfId="0" applyFont="1" applyBorder="1"/>
    <xf numFmtId="0" fontId="9" fillId="0" borderId="27" xfId="0" applyFont="1" applyBorder="1"/>
    <xf numFmtId="0" fontId="9" fillId="0" borderId="68" xfId="0" applyFont="1" applyFill="1" applyBorder="1"/>
    <xf numFmtId="0" fontId="0" fillId="0" borderId="70" xfId="0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9" fillId="0" borderId="71" xfId="0" applyFont="1" applyBorder="1" applyAlignment="1">
      <alignment horizontal="center" vertical="center"/>
    </xf>
    <xf numFmtId="0" fontId="9" fillId="0" borderId="73" xfId="0" applyFont="1" applyBorder="1"/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12" fillId="0" borderId="0" xfId="0" applyFont="1" applyFill="1" applyBorder="1" applyAlignment="1" applyProtection="1">
      <alignment horizontal="left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locked="0" hidden="1"/>
    </xf>
    <xf numFmtId="0" fontId="12" fillId="7" borderId="1" xfId="0" applyFont="1" applyFill="1" applyBorder="1" applyAlignment="1" applyProtection="1">
      <alignment horizontal="center"/>
      <protection hidden="1"/>
    </xf>
    <xf numFmtId="0" fontId="0" fillId="4" borderId="37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4" borderId="1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4" borderId="1" xfId="0" applyFont="1" applyFill="1" applyBorder="1" applyAlignment="1">
      <alignment wrapText="1"/>
    </xf>
    <xf numFmtId="0" fontId="0" fillId="4" borderId="10" xfId="0" applyFill="1" applyBorder="1"/>
    <xf numFmtId="0" fontId="12" fillId="5" borderId="15" xfId="0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 applyProtection="1">
      <alignment horizontal="center"/>
      <protection locked="0" hidden="1"/>
    </xf>
    <xf numFmtId="0" fontId="12" fillId="5" borderId="82" xfId="0" applyFont="1" applyFill="1" applyBorder="1" applyAlignment="1" applyProtection="1">
      <alignment horizontal="center"/>
      <protection locked="0" hidden="1"/>
    </xf>
    <xf numFmtId="0" fontId="12" fillId="7" borderId="18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 vertical="center"/>
    </xf>
    <xf numFmtId="164" fontId="0" fillId="4" borderId="32" xfId="0" applyNumberFormat="1" applyFill="1" applyBorder="1" applyAlignment="1">
      <alignment horizontal="center" vertical="center" wrapText="1"/>
    </xf>
    <xf numFmtId="0" fontId="0" fillId="4" borderId="32" xfId="0" applyFill="1" applyBorder="1" applyAlignment="1">
      <alignment horizontal="center" vertical="center" wrapText="1"/>
    </xf>
    <xf numFmtId="164" fontId="0" fillId="4" borderId="83" xfId="0" applyNumberFormat="1" applyFill="1" applyBorder="1" applyAlignment="1">
      <alignment horizontal="center" vertical="center" wrapText="1"/>
    </xf>
    <xf numFmtId="0" fontId="22" fillId="4" borderId="20" xfId="0" applyFont="1" applyFill="1" applyBorder="1"/>
    <xf numFmtId="0" fontId="21" fillId="4" borderId="20" xfId="0" applyFont="1" applyFill="1" applyBorder="1"/>
    <xf numFmtId="0" fontId="0" fillId="4" borderId="1" xfId="0" applyFill="1" applyBorder="1"/>
    <xf numFmtId="0" fontId="0" fillId="4" borderId="10" xfId="0" applyFill="1" applyBorder="1" applyAlignment="1">
      <alignment wrapText="1"/>
    </xf>
    <xf numFmtId="0" fontId="0" fillId="4" borderId="7" xfId="0" applyFill="1" applyBorder="1"/>
    <xf numFmtId="0" fontId="0" fillId="4" borderId="84" xfId="0" applyFill="1" applyBorder="1"/>
    <xf numFmtId="0" fontId="0" fillId="4" borderId="85" xfId="0" applyFill="1" applyBorder="1"/>
    <xf numFmtId="0" fontId="0" fillId="4" borderId="86" xfId="0" applyFill="1" applyBorder="1" applyAlignment="1">
      <alignment horizontal="left"/>
    </xf>
    <xf numFmtId="0" fontId="0" fillId="4" borderId="87" xfId="0" applyFill="1" applyBorder="1" applyAlignment="1">
      <alignment horizontal="left"/>
    </xf>
    <xf numFmtId="0" fontId="0" fillId="4" borderId="88" xfId="0" applyFill="1" applyBorder="1"/>
    <xf numFmtId="0" fontId="0" fillId="0" borderId="89" xfId="0" applyBorder="1" applyAlignment="1">
      <alignment horizontal="left"/>
    </xf>
    <xf numFmtId="0" fontId="23" fillId="0" borderId="0" xfId="0" applyFont="1"/>
    <xf numFmtId="0" fontId="0" fillId="0" borderId="90" xfId="0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4" fillId="4" borderId="69" xfId="0" applyFont="1" applyFill="1" applyBorder="1" applyAlignment="1">
      <alignment horizontal="center"/>
    </xf>
    <xf numFmtId="0" fontId="0" fillId="4" borderId="69" xfId="0" applyFill="1" applyBorder="1" applyAlignment="1">
      <alignment horizontal="center"/>
    </xf>
    <xf numFmtId="0" fontId="0" fillId="4" borderId="69" xfId="0" applyFill="1" applyBorder="1"/>
    <xf numFmtId="0" fontId="4" fillId="4" borderId="10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0" fontId="0" fillId="4" borderId="10" xfId="0" applyFont="1" applyFill="1" applyBorder="1"/>
    <xf numFmtId="0" fontId="0" fillId="4" borderId="1" xfId="0" applyFont="1" applyFill="1" applyBorder="1" applyAlignment="1">
      <alignment horizontal="center"/>
    </xf>
    <xf numFmtId="0" fontId="0" fillId="4" borderId="1" xfId="0" applyFont="1" applyFill="1" applyBorder="1"/>
    <xf numFmtId="0" fontId="0" fillId="4" borderId="69" xfId="0" applyFont="1" applyFill="1" applyBorder="1" applyAlignment="1">
      <alignment horizontal="center"/>
    </xf>
    <xf numFmtId="0" fontId="0" fillId="4" borderId="69" xfId="0" applyFont="1" applyFill="1" applyBorder="1"/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15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4" fillId="0" borderId="2" xfId="0" applyFont="1" applyBorder="1"/>
    <xf numFmtId="0" fontId="24" fillId="0" borderId="17" xfId="0" applyFont="1" applyFill="1" applyBorder="1"/>
    <xf numFmtId="0" fontId="24" fillId="0" borderId="91" xfId="0" applyFont="1" applyBorder="1" applyAlignment="1">
      <alignment horizontal="center"/>
    </xf>
    <xf numFmtId="0" fontId="24" fillId="0" borderId="92" xfId="0" applyFont="1" applyFill="1" applyBorder="1"/>
    <xf numFmtId="0" fontId="24" fillId="0" borderId="17" xfId="0" applyFont="1" applyBorder="1"/>
    <xf numFmtId="0" fontId="24" fillId="0" borderId="93" xfId="0" applyFont="1" applyBorder="1" applyAlignment="1">
      <alignment horizontal="center"/>
    </xf>
    <xf numFmtId="0" fontId="24" fillId="0" borderId="94" xfId="0" applyFont="1" applyBorder="1"/>
    <xf numFmtId="0" fontId="0" fillId="0" borderId="44" xfId="0" applyFill="1" applyBorder="1"/>
    <xf numFmtId="0" fontId="0" fillId="4" borderId="1" xfId="0" applyFill="1" applyBorder="1" applyAlignment="1">
      <alignment horizontal="left"/>
    </xf>
    <xf numFmtId="0" fontId="0" fillId="4" borderId="69" xfId="0" applyFill="1" applyBorder="1" applyAlignment="1">
      <alignment horizontal="left"/>
    </xf>
    <xf numFmtId="0" fontId="0" fillId="4" borderId="10" xfId="0" applyFill="1" applyBorder="1" applyAlignment="1">
      <alignment horizontal="left"/>
    </xf>
    <xf numFmtId="0" fontId="4" fillId="4" borderId="10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0" fontId="4" fillId="4" borderId="69" xfId="0" applyFont="1" applyFill="1" applyBorder="1" applyAlignment="1">
      <alignment horizontal="left"/>
    </xf>
    <xf numFmtId="0" fontId="4" fillId="4" borderId="1" xfId="0" applyFont="1" applyFill="1" applyBorder="1"/>
    <xf numFmtId="0" fontId="4" fillId="4" borderId="69" xfId="0" applyFont="1" applyFill="1" applyBorder="1"/>
    <xf numFmtId="0" fontId="4" fillId="4" borderId="10" xfId="0" applyFont="1" applyFill="1" applyBorder="1"/>
    <xf numFmtId="0" fontId="0" fillId="0" borderId="2" xfId="0" applyBorder="1" applyAlignment="1"/>
    <xf numFmtId="0" fontId="0" fillId="4" borderId="95" xfId="0" applyFill="1" applyBorder="1"/>
    <xf numFmtId="0" fontId="0" fillId="4" borderId="95" xfId="0" applyFill="1" applyBorder="1" applyAlignment="1">
      <alignment horizontal="left"/>
    </xf>
    <xf numFmtId="0" fontId="24" fillId="0" borderId="5" xfId="0" applyFont="1" applyBorder="1"/>
    <xf numFmtId="0" fontId="24" fillId="0" borderId="6" xfId="0" applyFont="1" applyBorder="1"/>
    <xf numFmtId="0" fontId="24" fillId="0" borderId="3" xfId="0" applyFont="1" applyBorder="1"/>
    <xf numFmtId="0" fontId="24" fillId="0" borderId="9" xfId="0" applyFont="1" applyBorder="1"/>
    <xf numFmtId="0" fontId="0" fillId="4" borderId="1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/>
    </xf>
    <xf numFmtId="0" fontId="0" fillId="4" borderId="4" xfId="0" applyFont="1" applyFill="1" applyBorder="1" applyAlignment="1">
      <alignment horizontal="center"/>
    </xf>
    <xf numFmtId="0" fontId="24" fillId="0" borderId="3" xfId="0" applyFont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9" borderId="27" xfId="0" applyFont="1" applyFill="1" applyBorder="1" applyAlignment="1">
      <alignment horizontal="center"/>
    </xf>
    <xf numFmtId="0" fontId="4" fillId="9" borderId="97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0" fontId="4" fillId="9" borderId="98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5" xfId="0" applyFont="1" applyFill="1" applyBorder="1" applyAlignment="1">
      <alignment horizontal="center"/>
    </xf>
    <xf numFmtId="0" fontId="4" fillId="9" borderId="10" xfId="0" applyFont="1" applyFill="1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9" borderId="37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/>
    </xf>
    <xf numFmtId="0" fontId="4" fillId="9" borderId="55" xfId="0" applyFont="1" applyFill="1" applyBorder="1" applyAlignment="1">
      <alignment horizontal="center"/>
    </xf>
    <xf numFmtId="0" fontId="0" fillId="9" borderId="32" xfId="0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/>
    </xf>
    <xf numFmtId="0" fontId="4" fillId="0" borderId="57" xfId="0" applyFont="1" applyBorder="1" applyAlignment="1">
      <alignment horizontal="center" vertical="center"/>
    </xf>
    <xf numFmtId="0" fontId="4" fillId="9" borderId="43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7" xfId="0" applyFont="1" applyFill="1" applyBorder="1" applyAlignment="1">
      <alignment horizontal="center"/>
    </xf>
    <xf numFmtId="0" fontId="4" fillId="9" borderId="4" xfId="0" applyFont="1" applyFill="1" applyBorder="1" applyAlignment="1">
      <alignment horizontal="center"/>
    </xf>
    <xf numFmtId="0" fontId="4" fillId="9" borderId="8" xfId="0" applyFont="1" applyFill="1" applyBorder="1" applyAlignment="1">
      <alignment horizontal="center"/>
    </xf>
    <xf numFmtId="0" fontId="7" fillId="9" borderId="14" xfId="0" applyFont="1" applyFill="1" applyBorder="1" applyAlignment="1">
      <alignment horizontal="center"/>
    </xf>
    <xf numFmtId="0" fontId="7" fillId="9" borderId="15" xfId="0" applyFont="1" applyFill="1" applyBorder="1" applyAlignment="1">
      <alignment horizontal="center"/>
    </xf>
    <xf numFmtId="0" fontId="7" fillId="9" borderId="23" xfId="0" applyFont="1" applyFill="1" applyBorder="1" applyAlignment="1">
      <alignment horizontal="center"/>
    </xf>
    <xf numFmtId="0" fontId="7" fillId="9" borderId="21" xfId="0" applyFont="1" applyFill="1" applyBorder="1" applyAlignment="1">
      <alignment horizontal="center"/>
    </xf>
    <xf numFmtId="0" fontId="28" fillId="0" borderId="0" xfId="0" applyFont="1" applyAlignment="1">
      <alignment vertic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49" fontId="0" fillId="0" borderId="0" xfId="0" applyNumberFormat="1" applyFill="1"/>
    <xf numFmtId="49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4" fillId="9" borderId="1" xfId="0" applyFont="1" applyFill="1" applyBorder="1"/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4" borderId="1" xfId="0" applyFill="1" applyBorder="1" applyAlignment="1">
      <alignment horizontal="center"/>
    </xf>
    <xf numFmtId="0" fontId="0" fillId="16" borderId="0" xfId="0" applyFill="1" applyBorder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9" borderId="1" xfId="0" applyFill="1" applyBorder="1" applyAlignment="1">
      <alignment horizontal="center" vertical="center"/>
    </xf>
    <xf numFmtId="0" fontId="0" fillId="17" borderId="1" xfId="0" applyFill="1" applyBorder="1"/>
    <xf numFmtId="0" fontId="36" fillId="3" borderId="0" xfId="0" applyFont="1" applyFill="1" applyBorder="1" applyAlignment="1" applyProtection="1">
      <alignment vertical="center"/>
      <protection hidden="1"/>
    </xf>
    <xf numFmtId="0" fontId="37" fillId="0" borderId="0" xfId="0" applyFont="1" applyFill="1" applyAlignment="1" applyProtection="1">
      <alignment vertical="center"/>
      <protection hidden="1"/>
    </xf>
    <xf numFmtId="0" fontId="38" fillId="0" borderId="0" xfId="0" applyFont="1" applyFill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9" borderId="1" xfId="0" applyFill="1" applyBorder="1" applyAlignment="1">
      <alignment horizontal="left"/>
    </xf>
    <xf numFmtId="0" fontId="0" fillId="9" borderId="122" xfId="0" applyFill="1" applyBorder="1"/>
    <xf numFmtId="0" fontId="0" fillId="9" borderId="10" xfId="0" applyFill="1" applyBorder="1"/>
    <xf numFmtId="0" fontId="0" fillId="9" borderId="69" xfId="0" applyFill="1" applyBorder="1"/>
    <xf numFmtId="0" fontId="0" fillId="9" borderId="10" xfId="0" applyFill="1" applyBorder="1" applyAlignment="1">
      <alignment horizontal="left"/>
    </xf>
    <xf numFmtId="0" fontId="0" fillId="9" borderId="69" xfId="0" applyFill="1" applyBorder="1" applyAlignment="1">
      <alignment horizontal="left"/>
    </xf>
    <xf numFmtId="0" fontId="0" fillId="4" borderId="120" xfId="0" applyFill="1" applyBorder="1"/>
    <xf numFmtId="0" fontId="0" fillId="4" borderId="120" xfId="0" applyFill="1" applyBorder="1" applyAlignment="1">
      <alignment horizontal="left"/>
    </xf>
    <xf numFmtId="0" fontId="0" fillId="9" borderId="123" xfId="0" applyFill="1" applyBorder="1" applyAlignment="1">
      <alignment horizontal="left"/>
    </xf>
    <xf numFmtId="0" fontId="0" fillId="9" borderId="18" xfId="0" applyFill="1" applyBorder="1" applyAlignment="1">
      <alignment horizontal="left"/>
    </xf>
    <xf numFmtId="0" fontId="0" fillId="9" borderId="124" xfId="0" applyFill="1" applyBorder="1" applyAlignment="1">
      <alignment horizontal="left"/>
    </xf>
    <xf numFmtId="0" fontId="0" fillId="9" borderId="20" xfId="0" applyFill="1" applyBorder="1" applyAlignment="1">
      <alignment horizontal="left"/>
    </xf>
    <xf numFmtId="0" fontId="4" fillId="9" borderId="122" xfId="0" applyFont="1" applyFill="1" applyBorder="1"/>
    <xf numFmtId="0" fontId="4" fillId="9" borderId="69" xfId="0" applyFont="1" applyFill="1" applyBorder="1"/>
    <xf numFmtId="0" fontId="0" fillId="4" borderId="18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0" fillId="9" borderId="21" xfId="0" applyFont="1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/>
    </xf>
    <xf numFmtId="0" fontId="0" fillId="9" borderId="10" xfId="0" applyFill="1" applyBorder="1" applyAlignment="1">
      <alignment wrapText="1"/>
    </xf>
    <xf numFmtId="0" fontId="0" fillId="9" borderId="21" xfId="0" applyFill="1" applyBorder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Border="1" applyAlignment="1">
      <alignment horizontal="center" vertical="center" wrapText="1"/>
    </xf>
    <xf numFmtId="0" fontId="0" fillId="9" borderId="1" xfId="0" applyFill="1" applyBorder="1" applyAlignment="1">
      <alignment wrapText="1"/>
    </xf>
    <xf numFmtId="0" fontId="0" fillId="9" borderId="10" xfId="0" applyFill="1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33" xfId="0" applyBorder="1"/>
    <xf numFmtId="0" fontId="0" fillId="9" borderId="13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9" borderId="4" xfId="0" applyFill="1" applyBorder="1"/>
    <xf numFmtId="0" fontId="0" fillId="9" borderId="19" xfId="0" applyFill="1" applyBorder="1"/>
    <xf numFmtId="0" fontId="0" fillId="9" borderId="18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4" fillId="9" borderId="16" xfId="0" applyFont="1" applyFill="1" applyBorder="1" applyAlignment="1">
      <alignment wrapText="1"/>
    </xf>
    <xf numFmtId="0" fontId="0" fillId="9" borderId="16" xfId="0" applyFill="1" applyBorder="1"/>
    <xf numFmtId="0" fontId="4" fillId="9" borderId="16" xfId="0" applyFont="1" applyFill="1" applyBorder="1" applyAlignment="1">
      <alignment horizontal="center" vertical="center" wrapText="1"/>
    </xf>
    <xf numFmtId="0" fontId="0" fillId="9" borderId="16" xfId="0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41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0" fontId="41" fillId="0" borderId="1" xfId="0" applyFont="1" applyFill="1" applyBorder="1" applyAlignment="1">
      <alignment wrapText="1"/>
    </xf>
    <xf numFmtId="0" fontId="4" fillId="0" borderId="39" xfId="0" applyFont="1" applyFill="1" applyBorder="1"/>
    <xf numFmtId="0" fontId="4" fillId="0" borderId="2" xfId="0" applyFont="1" applyFill="1" applyBorder="1"/>
    <xf numFmtId="0" fontId="0" fillId="0" borderId="27" xfId="0" applyBorder="1"/>
    <xf numFmtId="0" fontId="0" fillId="0" borderId="17" xfId="0" applyBorder="1"/>
    <xf numFmtId="0" fontId="0" fillId="0" borderId="24" xfId="0" applyBorder="1"/>
    <xf numFmtId="0" fontId="4" fillId="0" borderId="5" xfId="0" applyFont="1" applyFill="1" applyBorder="1"/>
    <xf numFmtId="0" fontId="4" fillId="0" borderId="18" xfId="0" applyFont="1" applyFill="1" applyBorder="1"/>
    <xf numFmtId="0" fontId="4" fillId="0" borderId="17" xfId="0" applyFon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quotePrefix="1" applyFill="1" applyBorder="1" applyAlignment="1">
      <alignment horizontal="center"/>
    </xf>
    <xf numFmtId="0" fontId="4" fillId="4" borderId="16" xfId="0" applyFont="1" applyFill="1" applyBorder="1" applyAlignment="1">
      <alignment wrapText="1"/>
    </xf>
    <xf numFmtId="0" fontId="0" fillId="4" borderId="16" xfId="0" applyFill="1" applyBorder="1"/>
    <xf numFmtId="0" fontId="4" fillId="4" borderId="16" xfId="0" applyFon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/>
    </xf>
    <xf numFmtId="0" fontId="15" fillId="9" borderId="1" xfId="0" applyFont="1" applyFill="1" applyBorder="1" applyAlignment="1" applyProtection="1">
      <alignment horizontal="center" vertical="center" wrapText="1"/>
      <protection hidden="1"/>
    </xf>
    <xf numFmtId="0" fontId="15" fillId="9" borderId="19" xfId="0" applyFont="1" applyFill="1" applyBorder="1" applyAlignment="1" applyProtection="1">
      <alignment horizontal="center" vertical="center" wrapText="1"/>
      <protection hidden="1"/>
    </xf>
    <xf numFmtId="0" fontId="15" fillId="9" borderId="14" xfId="0" applyFont="1" applyFill="1" applyBorder="1" applyAlignment="1" applyProtection="1">
      <alignment horizontal="center" vertical="center" wrapText="1"/>
      <protection hidden="1"/>
    </xf>
    <xf numFmtId="0" fontId="15" fillId="9" borderId="15" xfId="0" applyFont="1" applyFill="1" applyBorder="1" applyAlignment="1" applyProtection="1">
      <alignment horizontal="center" vertical="center" wrapText="1"/>
      <protection hidden="1"/>
    </xf>
    <xf numFmtId="0" fontId="0" fillId="9" borderId="14" xfId="0" applyFill="1" applyBorder="1"/>
    <xf numFmtId="0" fontId="0" fillId="9" borderId="15" xfId="0" applyFill="1" applyBorder="1"/>
    <xf numFmtId="0" fontId="0" fillId="9" borderId="7" xfId="0" applyFill="1" applyBorder="1"/>
    <xf numFmtId="0" fontId="0" fillId="9" borderId="8" xfId="0" applyFill="1" applyBorder="1"/>
    <xf numFmtId="0" fontId="0" fillId="0" borderId="0" xfId="0" applyAlignment="1">
      <alignment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9" borderId="10" xfId="0" applyFill="1" applyBorder="1" applyAlignment="1">
      <alignment horizontal="center" vertical="center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0" borderId="16" xfId="0" applyFont="1" applyFill="1" applyBorder="1" applyAlignment="1">
      <alignment wrapText="1"/>
    </xf>
    <xf numFmtId="0" fontId="0" fillId="0" borderId="55" xfId="0" applyFill="1" applyBorder="1"/>
    <xf numFmtId="0" fontId="4" fillId="9" borderId="1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9" borderId="1" xfId="0" applyFont="1" applyFill="1" applyBorder="1" applyAlignment="1">
      <alignment horizontal="center"/>
    </xf>
    <xf numFmtId="0" fontId="0" fillId="0" borderId="0" xfId="0"/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0" borderId="119" xfId="0" applyFont="1" applyBorder="1" applyAlignment="1">
      <alignment horizontal="center"/>
    </xf>
    <xf numFmtId="0" fontId="0" fillId="0" borderId="0" xfId="0"/>
    <xf numFmtId="0" fontId="4" fillId="0" borderId="16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/>
    </xf>
    <xf numFmtId="0" fontId="0" fillId="0" borderId="55" xfId="0" applyFill="1" applyBorder="1" applyAlignment="1">
      <alignment horizontal="center" vertic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0" fillId="9" borderId="4" xfId="0" applyFill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50" xfId="0" applyFont="1" applyFill="1" applyBorder="1" applyAlignment="1">
      <alignment horizontal="center" wrapText="1"/>
    </xf>
    <xf numFmtId="0" fontId="4" fillId="9" borderId="12" xfId="0" applyFont="1" applyFill="1" applyBorder="1" applyAlignment="1">
      <alignment horizontal="center" wrapText="1"/>
    </xf>
    <xf numFmtId="0" fontId="4" fillId="9" borderId="13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/>
    <xf numFmtId="0" fontId="4" fillId="9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20" fillId="3" borderId="19" xfId="0" applyFont="1" applyFill="1" applyBorder="1" applyAlignment="1" applyProtection="1">
      <alignment horizontal="center"/>
      <protection hidden="1"/>
    </xf>
    <xf numFmtId="0" fontId="20" fillId="3" borderId="18" xfId="0" applyFont="1" applyFill="1" applyBorder="1" applyAlignment="1" applyProtection="1">
      <alignment horizontal="center"/>
      <protection hidden="1"/>
    </xf>
    <xf numFmtId="0" fontId="4" fillId="0" borderId="38" xfId="0" applyFont="1" applyBorder="1" applyAlignment="1">
      <alignment horizontal="center"/>
    </xf>
    <xf numFmtId="1" fontId="4" fillId="9" borderId="4" xfId="0" applyNumberFormat="1" applyFont="1" applyFill="1" applyBorder="1" applyAlignment="1">
      <alignment horizontal="center"/>
    </xf>
    <xf numFmtId="0" fontId="4" fillId="9" borderId="13" xfId="0" applyFont="1" applyFill="1" applyBorder="1" applyAlignment="1">
      <alignment horizontal="center"/>
    </xf>
    <xf numFmtId="0" fontId="4" fillId="9" borderId="39" xfId="0" applyFont="1" applyFill="1" applyBorder="1" applyAlignment="1">
      <alignment horizontal="center"/>
    </xf>
    <xf numFmtId="0" fontId="4" fillId="9" borderId="10" xfId="0" applyFont="1" applyFill="1" applyBorder="1" applyAlignment="1">
      <alignment horizontal="left"/>
    </xf>
    <xf numFmtId="0" fontId="4" fillId="9" borderId="1" xfId="0" applyFont="1" applyFill="1" applyBorder="1" applyAlignment="1">
      <alignment horizontal="center"/>
    </xf>
    <xf numFmtId="0" fontId="0" fillId="9" borderId="10" xfId="0" applyFill="1" applyBorder="1" applyAlignment="1">
      <alignment horizontal="center" vertical="center"/>
    </xf>
    <xf numFmtId="0" fontId="0" fillId="0" borderId="0" xfId="0"/>
    <xf numFmtId="0" fontId="0" fillId="4" borderId="10" xfId="0" applyFill="1" applyBorder="1" applyAlignment="1">
      <alignment horizontal="center" vertical="center" wrapText="1"/>
    </xf>
    <xf numFmtId="0" fontId="0" fillId="0" borderId="0" xfId="0"/>
    <xf numFmtId="0" fontId="43" fillId="0" borderId="0" xfId="0" applyFont="1" applyBorder="1" applyAlignment="1">
      <alignment horizontal="center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0" fillId="9" borderId="1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Fill="1" applyProtection="1"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hidden="1"/>
    </xf>
    <xf numFmtId="0" fontId="36" fillId="0" borderId="0" xfId="0" applyFont="1" applyFill="1" applyBorder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11" fillId="10" borderId="10" xfId="0" applyFont="1" applyFill="1" applyBorder="1" applyAlignment="1">
      <alignment horizontal="center"/>
    </xf>
    <xf numFmtId="0" fontId="11" fillId="0" borderId="0" xfId="0" applyFont="1" applyAlignment="1" applyProtection="1">
      <alignment wrapText="1"/>
      <protection hidden="1"/>
    </xf>
    <xf numFmtId="0" fontId="11" fillId="10" borderId="0" xfId="0" applyFont="1" applyFill="1" applyAlignment="1" applyProtection="1">
      <alignment wrapText="1"/>
      <protection hidden="1"/>
    </xf>
    <xf numFmtId="0" fontId="11" fillId="10" borderId="1" xfId="0" applyFont="1" applyFill="1" applyBorder="1" applyAlignment="1">
      <alignment horizontal="center"/>
    </xf>
    <xf numFmtId="0" fontId="11" fillId="10" borderId="0" xfId="0" applyFont="1" applyFill="1" applyProtection="1">
      <protection hidden="1"/>
    </xf>
    <xf numFmtId="0" fontId="11" fillId="10" borderId="60" xfId="0" applyFont="1" applyFill="1" applyBorder="1" applyProtection="1">
      <protection hidden="1"/>
    </xf>
    <xf numFmtId="0" fontId="11" fillId="10" borderId="60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0" fontId="36" fillId="0" borderId="2" xfId="0" applyFont="1" applyFill="1" applyBorder="1" applyAlignment="1" applyProtection="1">
      <alignment vertical="center"/>
      <protection hidden="1"/>
    </xf>
    <xf numFmtId="0" fontId="39" fillId="0" borderId="0" xfId="0" applyFont="1" applyFill="1" applyBorder="1" applyAlignment="1" applyProtection="1">
      <alignment horizontal="left"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0" fontId="0" fillId="9" borderId="119" xfId="0" applyFill="1" applyBorder="1"/>
    <xf numFmtId="0" fontId="0" fillId="9" borderId="119" xfId="0" applyFill="1" applyBorder="1" applyAlignment="1">
      <alignment horizontal="center" vertical="center"/>
    </xf>
    <xf numFmtId="0" fontId="0" fillId="9" borderId="17" xfId="0" applyNumberFormat="1" applyFill="1" applyBorder="1" applyAlignment="1">
      <alignment horizontal="center" vertical="center"/>
    </xf>
    <xf numFmtId="49" fontId="0" fillId="9" borderId="17" xfId="0" applyNumberFormat="1" applyFill="1" applyBorder="1" applyAlignment="1">
      <alignment horizontal="center" vertical="center"/>
    </xf>
    <xf numFmtId="0" fontId="0" fillId="9" borderId="1" xfId="0" applyNumberFormat="1" applyFill="1" applyBorder="1" applyAlignment="1">
      <alignment horizontal="center" vertical="center"/>
    </xf>
    <xf numFmtId="49" fontId="0" fillId="9" borderId="1" xfId="0" applyNumberFormat="1" applyFill="1" applyBorder="1" applyAlignment="1">
      <alignment horizontal="center" vertical="center"/>
    </xf>
    <xf numFmtId="0" fontId="0" fillId="9" borderId="1" xfId="0" applyNumberFormat="1" applyFill="1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9" xfId="0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45" fillId="7" borderId="1" xfId="0" applyFont="1" applyFill="1" applyBorder="1" applyAlignment="1" applyProtection="1">
      <alignment horizontal="center" vertical="center"/>
      <protection hidden="1"/>
    </xf>
    <xf numFmtId="0" fontId="36" fillId="11" borderId="0" xfId="0" applyFont="1" applyFill="1" applyBorder="1" applyAlignment="1" applyProtection="1">
      <alignment vertical="center"/>
      <protection hidden="1"/>
    </xf>
    <xf numFmtId="0" fontId="39" fillId="11" borderId="0" xfId="0" applyFont="1" applyFill="1" applyAlignment="1" applyProtection="1">
      <alignment horizontal="left" vertical="center"/>
      <protection hidden="1"/>
    </xf>
    <xf numFmtId="0" fontId="11" fillId="11" borderId="1" xfId="0" applyFont="1" applyFill="1" applyBorder="1" applyAlignment="1">
      <alignment horizontal="center"/>
    </xf>
    <xf numFmtId="0" fontId="4" fillId="0" borderId="55" xfId="0" applyFont="1" applyFill="1" applyBorder="1" applyAlignment="1">
      <alignment wrapText="1"/>
    </xf>
    <xf numFmtId="0" fontId="4" fillId="9" borderId="18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0" borderId="1" xfId="0" applyFont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/>
    <xf numFmtId="0" fontId="46" fillId="0" borderId="4" xfId="0" applyFont="1" applyBorder="1"/>
    <xf numFmtId="0" fontId="46" fillId="0" borderId="20" xfId="0" applyFont="1" applyBorder="1" applyAlignment="1">
      <alignment horizontal="center"/>
    </xf>
    <xf numFmtId="0" fontId="46" fillId="0" borderId="10" xfId="0" applyFont="1" applyBorder="1"/>
    <xf numFmtId="0" fontId="46" fillId="0" borderId="18" xfId="0" applyFont="1" applyBorder="1" applyAlignment="1">
      <alignment horizontal="center"/>
    </xf>
    <xf numFmtId="0" fontId="46" fillId="0" borderId="1" xfId="0" applyFont="1" applyBorder="1"/>
    <xf numFmtId="0" fontId="6" fillId="0" borderId="53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9" fillId="9" borderId="10" xfId="0" applyFont="1" applyFill="1" applyBorder="1" applyAlignment="1">
      <alignment horizontal="center"/>
    </xf>
    <xf numFmtId="0" fontId="23" fillId="9" borderId="10" xfId="0" applyFont="1" applyFill="1" applyBorder="1" applyAlignment="1">
      <alignment horizontal="center"/>
    </xf>
    <xf numFmtId="0" fontId="23" fillId="9" borderId="4" xfId="0" applyFont="1" applyFill="1" applyBorder="1" applyAlignment="1">
      <alignment horizontal="center"/>
    </xf>
    <xf numFmtId="0" fontId="9" fillId="9" borderId="4" xfId="0" applyFont="1" applyFill="1" applyBorder="1" applyAlignment="1">
      <alignment horizontal="center" vertical="center" wrapText="1"/>
    </xf>
    <xf numFmtId="0" fontId="23" fillId="9" borderId="4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7" fillId="0" borderId="18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0" fillId="0" borderId="0" xfId="0" applyNumberFormat="1"/>
    <xf numFmtId="0" fontId="0" fillId="9" borderId="1" xfId="0" applyFill="1" applyBorder="1" applyAlignment="1"/>
    <xf numFmtId="0" fontId="23" fillId="0" borderId="1" xfId="0" applyFont="1" applyFill="1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9" borderId="1" xfId="0" applyFont="1" applyFill="1" applyBorder="1" applyAlignment="1">
      <alignment wrapText="1"/>
    </xf>
    <xf numFmtId="0" fontId="9" fillId="9" borderId="10" xfId="0" applyFont="1" applyFill="1" applyBorder="1" applyAlignment="1">
      <alignment horizontal="center" wrapText="1"/>
    </xf>
    <xf numFmtId="0" fontId="9" fillId="9" borderId="1" xfId="0" applyFont="1" applyFill="1" applyBorder="1" applyAlignment="1">
      <alignment horizontal="center" wrapText="1"/>
    </xf>
    <xf numFmtId="0" fontId="9" fillId="9" borderId="4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Border="1" applyAlignment="1">
      <alignment wrapText="1"/>
    </xf>
    <xf numFmtId="0" fontId="47" fillId="0" borderId="7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0" borderId="0" xfId="0" applyFont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0" fontId="0" fillId="0" borderId="53" xfId="0" applyBorder="1"/>
    <xf numFmtId="0" fontId="0" fillId="0" borderId="54" xfId="0" applyBorder="1"/>
    <xf numFmtId="0" fontId="0" fillId="0" borderId="57" xfId="0" applyBorder="1"/>
    <xf numFmtId="0" fontId="0" fillId="0" borderId="106" xfId="0" applyBorder="1"/>
    <xf numFmtId="0" fontId="0" fillId="0" borderId="83" xfId="0" applyBorder="1"/>
    <xf numFmtId="0" fontId="0" fillId="0" borderId="10" xfId="0" applyBorder="1" applyAlignment="1">
      <alignment horizontal="left"/>
    </xf>
    <xf numFmtId="0" fontId="4" fillId="0" borderId="0" xfId="0" applyFont="1" applyAlignment="1"/>
    <xf numFmtId="0" fontId="4" fillId="9" borderId="119" xfId="0" applyFont="1" applyFill="1" applyBorder="1" applyAlignment="1">
      <alignment horizontal="center" vertical="center"/>
    </xf>
    <xf numFmtId="0" fontId="4" fillId="9" borderId="27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96" xfId="0" applyFont="1" applyBorder="1" applyAlignment="1">
      <alignment horizontal="center" vertical="center"/>
    </xf>
    <xf numFmtId="0" fontId="9" fillId="0" borderId="114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23" fillId="9" borderId="1" xfId="0" applyFont="1" applyFill="1" applyBorder="1"/>
    <xf numFmtId="0" fontId="9" fillId="0" borderId="65" xfId="0" applyFont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wrapText="1"/>
    </xf>
    <xf numFmtId="0" fontId="46" fillId="0" borderId="1" xfId="0" applyFont="1" applyFill="1" applyBorder="1" applyAlignment="1">
      <alignment horizontal="center"/>
    </xf>
    <xf numFmtId="0" fontId="46" fillId="0" borderId="7" xfId="0" applyFont="1" applyBorder="1" applyAlignment="1">
      <alignment horizontal="center" vertical="center" wrapText="1"/>
    </xf>
    <xf numFmtId="0" fontId="46" fillId="0" borderId="4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7" xfId="0" applyFont="1" applyFill="1" applyBorder="1"/>
    <xf numFmtId="0" fontId="46" fillId="0" borderId="4" xfId="0" applyFont="1" applyFill="1" applyBorder="1"/>
    <xf numFmtId="0" fontId="46" fillId="0" borderId="8" xfId="0" applyFont="1" applyFill="1" applyBorder="1"/>
    <xf numFmtId="0" fontId="46" fillId="0" borderId="9" xfId="0" applyFont="1" applyFill="1" applyBorder="1"/>
    <xf numFmtId="0" fontId="46" fillId="0" borderId="17" xfId="0" applyFont="1" applyFill="1" applyBorder="1" applyAlignment="1">
      <alignment horizontal="center"/>
    </xf>
    <xf numFmtId="0" fontId="46" fillId="0" borderId="10" xfId="0" applyFont="1" applyFill="1" applyBorder="1"/>
    <xf numFmtId="0" fontId="46" fillId="0" borderId="16" xfId="0" applyFont="1" applyFill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6" fillId="0" borderId="13" xfId="0" applyFont="1" applyFill="1" applyBorder="1" applyAlignment="1">
      <alignment horizontal="center"/>
    </xf>
    <xf numFmtId="0" fontId="46" fillId="0" borderId="21" xfId="0" applyFont="1" applyFill="1" applyBorder="1"/>
    <xf numFmtId="0" fontId="46" fillId="0" borderId="23" xfId="0" applyFont="1" applyFill="1" applyBorder="1" applyAlignment="1">
      <alignment horizontal="center"/>
    </xf>
    <xf numFmtId="0" fontId="46" fillId="0" borderId="21" xfId="0" applyFont="1" applyFill="1" applyBorder="1" applyAlignment="1">
      <alignment horizontal="center"/>
    </xf>
    <xf numFmtId="0" fontId="46" fillId="0" borderId="1" xfId="0" applyFont="1" applyFill="1" applyBorder="1"/>
    <xf numFmtId="0" fontId="46" fillId="0" borderId="9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right"/>
    </xf>
    <xf numFmtId="0" fontId="46" fillId="0" borderId="26" xfId="0" applyFont="1" applyFill="1" applyBorder="1" applyAlignment="1">
      <alignment horizontal="center"/>
    </xf>
    <xf numFmtId="0" fontId="46" fillId="0" borderId="27" xfId="0" applyFont="1" applyFill="1" applyBorder="1" applyAlignment="1">
      <alignment horizontal="center"/>
    </xf>
    <xf numFmtId="0" fontId="46" fillId="0" borderId="41" xfId="0" applyFont="1" applyFill="1" applyBorder="1" applyAlignment="1">
      <alignment horizontal="center"/>
    </xf>
    <xf numFmtId="0" fontId="46" fillId="0" borderId="4" xfId="0" applyFont="1" applyFill="1" applyBorder="1" applyAlignment="1">
      <alignment horizontal="center"/>
    </xf>
    <xf numFmtId="0" fontId="46" fillId="0" borderId="28" xfId="0" applyFont="1" applyFill="1" applyBorder="1"/>
    <xf numFmtId="0" fontId="46" fillId="0" borderId="28" xfId="0" applyFont="1" applyFill="1" applyBorder="1" applyAlignment="1">
      <alignment horizontal="center"/>
    </xf>
    <xf numFmtId="0" fontId="48" fillId="0" borderId="64" xfId="0" applyFont="1" applyBorder="1"/>
    <xf numFmtId="0" fontId="48" fillId="0" borderId="25" xfId="0" applyFont="1" applyBorder="1"/>
    <xf numFmtId="0" fontId="48" fillId="0" borderId="41" xfId="0" applyFont="1" applyBorder="1"/>
    <xf numFmtId="0" fontId="48" fillId="0" borderId="73" xfId="0" applyFont="1" applyBorder="1"/>
    <xf numFmtId="0" fontId="48" fillId="0" borderId="27" xfId="0" applyFont="1" applyBorder="1"/>
    <xf numFmtId="0" fontId="49" fillId="0" borderId="49" xfId="0" applyFont="1" applyBorder="1"/>
    <xf numFmtId="0" fontId="50" fillId="0" borderId="74" xfId="0" applyFont="1" applyBorder="1"/>
    <xf numFmtId="0" fontId="50" fillId="0" borderId="48" xfId="0" applyFont="1" applyBorder="1"/>
    <xf numFmtId="0" fontId="50" fillId="0" borderId="49" xfId="0" applyFont="1" applyBorder="1"/>
    <xf numFmtId="0" fontId="50" fillId="0" borderId="70" xfId="0" applyFont="1" applyFill="1" applyBorder="1" applyAlignment="1">
      <alignment horizontal="center" vertical="center"/>
    </xf>
    <xf numFmtId="0" fontId="48" fillId="0" borderId="16" xfId="0" applyFont="1" applyBorder="1"/>
    <xf numFmtId="0" fontId="50" fillId="0" borderId="75" xfId="0" applyFont="1" applyBorder="1"/>
    <xf numFmtId="0" fontId="50" fillId="0" borderId="66" xfId="0" applyFont="1" applyBorder="1"/>
    <xf numFmtId="0" fontId="50" fillId="0" borderId="20" xfId="0" applyFont="1" applyBorder="1"/>
    <xf numFmtId="0" fontId="48" fillId="0" borderId="55" xfId="0" applyFont="1" applyFill="1" applyBorder="1"/>
    <xf numFmtId="0" fontId="50" fillId="0" borderId="76" xfId="0" applyFont="1" applyBorder="1"/>
    <xf numFmtId="0" fontId="50" fillId="0" borderId="4" xfId="0" applyFont="1" applyBorder="1"/>
    <xf numFmtId="0" fontId="50" fillId="0" borderId="44" xfId="0" applyFont="1" applyBorder="1"/>
    <xf numFmtId="0" fontId="50" fillId="0" borderId="67" xfId="0" applyFont="1" applyBorder="1"/>
    <xf numFmtId="0" fontId="50" fillId="0" borderId="10" xfId="0" applyFont="1" applyBorder="1"/>
    <xf numFmtId="0" fontId="48" fillId="0" borderId="19" xfId="0" applyFont="1" applyFill="1" applyBorder="1"/>
    <xf numFmtId="0" fontId="50" fillId="0" borderId="77" xfId="0" applyFont="1" applyBorder="1"/>
    <xf numFmtId="0" fontId="50" fillId="0" borderId="1" xfId="0" applyFont="1" applyBorder="1"/>
    <xf numFmtId="0" fontId="50" fillId="0" borderId="60" xfId="0" applyFont="1" applyBorder="1"/>
    <xf numFmtId="0" fontId="48" fillId="0" borderId="19" xfId="0" applyFont="1" applyBorder="1"/>
    <xf numFmtId="0" fontId="50" fillId="0" borderId="18" xfId="0" applyFont="1" applyBorder="1"/>
    <xf numFmtId="0" fontId="48" fillId="0" borderId="38" xfId="0" applyFont="1" applyBorder="1"/>
    <xf numFmtId="0" fontId="50" fillId="0" borderId="78" xfId="0" applyFont="1" applyBorder="1"/>
    <xf numFmtId="0" fontId="50" fillId="0" borderId="13" xfId="0" applyFont="1" applyBorder="1"/>
    <xf numFmtId="0" fontId="50" fillId="0" borderId="39" xfId="0" applyFont="1" applyBorder="1"/>
    <xf numFmtId="0" fontId="48" fillId="0" borderId="68" xfId="0" applyFont="1" applyFill="1" applyBorder="1"/>
    <xf numFmtId="0" fontId="50" fillId="0" borderId="79" xfId="0" applyFont="1" applyBorder="1"/>
    <xf numFmtId="0" fontId="50" fillId="0" borderId="69" xfId="0" applyFont="1" applyBorder="1"/>
    <xf numFmtId="0" fontId="50" fillId="0" borderId="68" xfId="0" applyFont="1" applyBorder="1"/>
    <xf numFmtId="0" fontId="48" fillId="0" borderId="33" xfId="0" applyFont="1" applyFill="1" applyBorder="1"/>
    <xf numFmtId="0" fontId="48" fillId="0" borderId="16" xfId="0" applyFont="1" applyBorder="1" applyAlignment="1">
      <alignment horizontal="center"/>
    </xf>
    <xf numFmtId="0" fontId="48" fillId="0" borderId="23" xfId="0" applyFont="1" applyBorder="1"/>
    <xf numFmtId="0" fontId="48" fillId="0" borderId="10" xfId="0" applyFont="1" applyBorder="1"/>
    <xf numFmtId="0" fontId="48" fillId="0" borderId="60" xfId="0" applyFont="1" applyFill="1" applyBorder="1"/>
    <xf numFmtId="0" fontId="48" fillId="0" borderId="19" xfId="0" applyFont="1" applyBorder="1" applyAlignment="1">
      <alignment horizontal="center"/>
    </xf>
    <xf numFmtId="0" fontId="48" fillId="0" borderId="14" xfId="0" applyFont="1" applyBorder="1"/>
    <xf numFmtId="0" fontId="48" fillId="0" borderId="1" xfId="0" applyFont="1" applyBorder="1"/>
    <xf numFmtId="0" fontId="48" fillId="0" borderId="61" xfId="0" applyFont="1" applyFill="1" applyBorder="1"/>
    <xf numFmtId="0" fontId="48" fillId="0" borderId="61" xfId="0" applyFont="1" applyBorder="1" applyAlignment="1">
      <alignment horizontal="center"/>
    </xf>
    <xf numFmtId="0" fontId="48" fillId="0" borderId="62" xfId="0" applyFont="1" applyBorder="1"/>
    <xf numFmtId="0" fontId="48" fillId="0" borderId="63" xfId="0" applyFont="1" applyBorder="1"/>
    <xf numFmtId="0" fontId="48" fillId="0" borderId="61" xfId="0" applyFont="1" applyBorder="1"/>
    <xf numFmtId="0" fontId="48" fillId="0" borderId="44" xfId="0" applyFont="1" applyFill="1" applyBorder="1"/>
    <xf numFmtId="0" fontId="48" fillId="0" borderId="55" xfId="0" applyFont="1" applyBorder="1" applyAlignment="1">
      <alignment horizontal="center"/>
    </xf>
    <xf numFmtId="0" fontId="48" fillId="0" borderId="7" xfId="0" applyFont="1" applyBorder="1"/>
    <xf numFmtId="0" fontId="48" fillId="0" borderId="4" xfId="0" applyFont="1" applyBorder="1"/>
    <xf numFmtId="0" fontId="48" fillId="0" borderId="55" xfId="0" applyFont="1" applyBorder="1"/>
    <xf numFmtId="0" fontId="48" fillId="0" borderId="59" xfId="0" applyFont="1" applyFill="1" applyBorder="1" applyAlignment="1">
      <alignment horizontal="center" vertical="center"/>
    </xf>
    <xf numFmtId="0" fontId="48" fillId="0" borderId="71" xfId="0" applyFont="1" applyFill="1" applyBorder="1" applyAlignment="1">
      <alignment horizontal="center" vertical="center"/>
    </xf>
    <xf numFmtId="0" fontId="48" fillId="0" borderId="65" xfId="0" applyFont="1" applyFill="1" applyBorder="1"/>
    <xf numFmtId="0" fontId="46" fillId="0" borderId="59" xfId="0" applyFont="1" applyBorder="1"/>
    <xf numFmtId="0" fontId="46" fillId="0" borderId="72" xfId="0" applyFont="1" applyBorder="1"/>
    <xf numFmtId="0" fontId="46" fillId="0" borderId="25" xfId="0" applyFont="1" applyBorder="1"/>
    <xf numFmtId="0" fontId="46" fillId="0" borderId="43" xfId="0" applyFont="1" applyBorder="1"/>
    <xf numFmtId="0" fontId="46" fillId="0" borderId="0" xfId="0" applyFont="1"/>
    <xf numFmtId="0" fontId="0" fillId="0" borderId="0" xfId="0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0" fillId="0" borderId="0" xfId="0"/>
    <xf numFmtId="1" fontId="4" fillId="4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50" fillId="0" borderId="0" xfId="0" applyFont="1" applyAlignment="1">
      <alignment horizontal="center"/>
    </xf>
    <xf numFmtId="0" fontId="17" fillId="0" borderId="31" xfId="0" applyFont="1" applyBorder="1" applyAlignment="1">
      <alignment horizontal="center"/>
    </xf>
    <xf numFmtId="0" fontId="9" fillId="0" borderId="113" xfId="0" applyFont="1" applyBorder="1" applyAlignment="1">
      <alignment horizontal="center"/>
    </xf>
    <xf numFmtId="0" fontId="9" fillId="0" borderId="112" xfId="0" applyFont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106" xfId="0" applyFont="1" applyFill="1" applyBorder="1" applyAlignment="1">
      <alignment horizontal="center"/>
    </xf>
    <xf numFmtId="0" fontId="7" fillId="0" borderId="83" xfId="0" applyFont="1" applyBorder="1" applyAlignment="1">
      <alignment horizontal="center"/>
    </xf>
    <xf numFmtId="0" fontId="7" fillId="0" borderId="57" xfId="0" applyFont="1" applyBorder="1" applyAlignment="1">
      <alignment horizontal="center"/>
    </xf>
    <xf numFmtId="0" fontId="7" fillId="0" borderId="53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9" fillId="0" borderId="10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4" fillId="0" borderId="54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4" fillId="0" borderId="96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9" fillId="0" borderId="38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64" xfId="0" applyFont="1" applyBorder="1" applyAlignment="1">
      <alignment horizontal="center"/>
    </xf>
    <xf numFmtId="0" fontId="4" fillId="0" borderId="65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4" fillId="0" borderId="43" xfId="0" applyFont="1" applyBorder="1" applyAlignment="1">
      <alignment horizontal="center" vertical="center"/>
    </xf>
    <xf numFmtId="0" fontId="23" fillId="0" borderId="82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0" xfId="0" applyFont="1" applyAlignment="1">
      <alignment horizontal="left"/>
    </xf>
    <xf numFmtId="0" fontId="0" fillId="0" borderId="0" xfId="0"/>
    <xf numFmtId="0" fontId="0" fillId="0" borderId="3" xfId="0" applyFont="1" applyBorder="1" applyAlignment="1">
      <alignment horizontal="left"/>
    </xf>
    <xf numFmtId="0" fontId="4" fillId="17" borderId="1" xfId="0" applyFont="1" applyFill="1" applyBorder="1" applyAlignment="1">
      <alignment horizontal="center"/>
    </xf>
    <xf numFmtId="0" fontId="0" fillId="9" borderId="10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9" borderId="19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4" fillId="0" borderId="6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9" borderId="1" xfId="0" applyFill="1" applyBorder="1" applyAlignment="1">
      <alignment vertical="center" wrapText="1"/>
    </xf>
    <xf numFmtId="0" fontId="0" fillId="9" borderId="82" xfId="0" applyFill="1" applyBorder="1" applyAlignment="1">
      <alignment horizontal="center" vertical="center" wrapText="1"/>
    </xf>
    <xf numFmtId="0" fontId="4" fillId="0" borderId="1" xfId="0" applyFont="1" applyBorder="1" applyAlignment="1"/>
    <xf numFmtId="0" fontId="0" fillId="9" borderId="82" xfId="0" applyFont="1" applyFill="1" applyBorder="1" applyAlignment="1">
      <alignment horizontal="center" vertical="center" wrapText="1"/>
    </xf>
    <xf numFmtId="0" fontId="0" fillId="9" borderId="10" xfId="0" applyFont="1" applyFill="1" applyBorder="1" applyAlignment="1">
      <alignment horizontal="center" vertical="center" wrapText="1"/>
    </xf>
    <xf numFmtId="0" fontId="0" fillId="9" borderId="16" xfId="0" applyFont="1" applyFill="1" applyBorder="1" applyAlignment="1">
      <alignment horizontal="center" vertical="center" wrapText="1"/>
    </xf>
    <xf numFmtId="0" fontId="36" fillId="11" borderId="0" xfId="0" applyFont="1" applyFill="1" applyAlignment="1" applyProtection="1">
      <alignment horizontal="left" vertical="center"/>
      <protection hidden="1"/>
    </xf>
    <xf numFmtId="0" fontId="4" fillId="9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9" borderId="19" xfId="0" applyFont="1" applyFill="1" applyBorder="1" applyAlignment="1">
      <alignment horizontal="center" vertical="center"/>
    </xf>
    <xf numFmtId="0" fontId="0" fillId="9" borderId="37" xfId="0" applyFont="1" applyFill="1" applyBorder="1" applyAlignment="1">
      <alignment vertical="center" wrapText="1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23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19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0" fillId="0" borderId="0" xfId="0" applyAlignment="1">
      <alignment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4" fillId="0" borderId="82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/>
    </xf>
    <xf numFmtId="0" fontId="4" fillId="9" borderId="82" xfId="0" applyFont="1" applyFill="1" applyBorder="1" applyAlignment="1">
      <alignment horizontal="center"/>
    </xf>
    <xf numFmtId="0" fontId="4" fillId="9" borderId="100" xfId="0" applyFont="1" applyFill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4" fillId="0" borderId="82" xfId="0" applyFont="1" applyBorder="1" applyAlignment="1">
      <alignment vertical="top" wrapText="1"/>
    </xf>
    <xf numFmtId="0" fontId="4" fillId="0" borderId="19" xfId="0" applyFont="1" applyBorder="1" applyAlignment="1">
      <alignment horizontal="center" vertical="center" wrapText="1"/>
    </xf>
    <xf numFmtId="0" fontId="4" fillId="0" borderId="10" xfId="0" applyFont="1" applyBorder="1" applyAlignment="1"/>
    <xf numFmtId="0" fontId="4" fillId="0" borderId="16" xfId="0" applyFont="1" applyBorder="1" applyAlignment="1"/>
    <xf numFmtId="0" fontId="4" fillId="0" borderId="8" xfId="0" applyFont="1" applyBorder="1" applyAlignment="1">
      <alignment horizontal="center"/>
    </xf>
    <xf numFmtId="0" fontId="4" fillId="9" borderId="104" xfId="0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 wrapText="1"/>
    </xf>
    <xf numFmtId="0" fontId="0" fillId="0" borderId="0" xfId="0"/>
    <xf numFmtId="0" fontId="4" fillId="0" borderId="0" xfId="0" applyFont="1" applyBorder="1" applyAlignment="1">
      <alignment wrapText="1"/>
    </xf>
    <xf numFmtId="0" fontId="4" fillId="0" borderId="9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12" fillId="5" borderId="14" xfId="0" applyFont="1" applyFill="1" applyBorder="1" applyAlignment="1" applyProtection="1">
      <alignment horizontal="left" vertical="center" wrapText="1"/>
      <protection locked="0" hidden="1"/>
    </xf>
    <xf numFmtId="0" fontId="12" fillId="5" borderId="7" xfId="0" applyFont="1" applyFill="1" applyBorder="1" applyAlignment="1" applyProtection="1">
      <alignment horizontal="left" vertical="center" wrapText="1"/>
      <protection locked="0" hidden="1"/>
    </xf>
    <xf numFmtId="0" fontId="4" fillId="0" borderId="0" xfId="0" applyFont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3" fillId="9" borderId="1" xfId="0" applyFont="1" applyFill="1" applyBorder="1" applyAlignment="1">
      <alignment horizontal="center" vertical="center"/>
    </xf>
    <xf numFmtId="0" fontId="0" fillId="9" borderId="12" xfId="0" applyFont="1" applyFill="1" applyBorder="1"/>
    <xf numFmtId="0" fontId="0" fillId="9" borderId="13" xfId="0" applyFont="1" applyFill="1" applyBorder="1"/>
    <xf numFmtId="0" fontId="0" fillId="9" borderId="50" xfId="0" applyFont="1" applyFill="1" applyBorder="1"/>
    <xf numFmtId="0" fontId="0" fillId="9" borderId="14" xfId="0" applyFont="1" applyFill="1" applyBorder="1"/>
    <xf numFmtId="0" fontId="0" fillId="9" borderId="1" xfId="0" applyFont="1" applyFill="1" applyBorder="1"/>
    <xf numFmtId="0" fontId="0" fillId="9" borderId="15" xfId="0" applyFont="1" applyFill="1" applyBorder="1"/>
    <xf numFmtId="0" fontId="0" fillId="9" borderId="7" xfId="0" applyFont="1" applyFill="1" applyBorder="1"/>
    <xf numFmtId="0" fontId="0" fillId="9" borderId="4" xfId="0" applyFont="1" applyFill="1" applyBorder="1"/>
    <xf numFmtId="0" fontId="0" fillId="9" borderId="8" xfId="0" applyFont="1" applyFill="1" applyBorder="1"/>
    <xf numFmtId="0" fontId="0" fillId="9" borderId="1" xfId="0" applyFont="1" applyFill="1" applyBorder="1" applyAlignment="1">
      <alignment horizontal="center"/>
    </xf>
    <xf numFmtId="0" fontId="0" fillId="0" borderId="0" xfId="0" applyFont="1" applyBorder="1"/>
    <xf numFmtId="0" fontId="0" fillId="17" borderId="13" xfId="0" applyFont="1" applyFill="1" applyBorder="1" applyAlignment="1">
      <alignment horizontal="center"/>
    </xf>
    <xf numFmtId="0" fontId="0" fillId="17" borderId="50" xfId="0" applyFont="1" applyFill="1" applyBorder="1" applyAlignment="1">
      <alignment horizontal="center"/>
    </xf>
    <xf numFmtId="0" fontId="0" fillId="9" borderId="14" xfId="0" applyFont="1" applyFill="1" applyBorder="1" applyAlignment="1">
      <alignment horizontal="center"/>
    </xf>
    <xf numFmtId="0" fontId="0" fillId="9" borderId="36" xfId="0" applyFont="1" applyFill="1" applyBorder="1" applyAlignment="1">
      <alignment horizontal="center"/>
    </xf>
    <xf numFmtId="0" fontId="0" fillId="9" borderId="15" xfId="0" applyFont="1" applyFill="1" applyBorder="1" applyAlignment="1">
      <alignment horizontal="center"/>
    </xf>
    <xf numFmtId="0" fontId="0" fillId="9" borderId="82" xfId="0" applyFont="1" applyFill="1" applyBorder="1" applyAlignment="1">
      <alignment horizontal="center"/>
    </xf>
    <xf numFmtId="0" fontId="0" fillId="9" borderId="100" xfId="0" applyFont="1" applyFill="1" applyBorder="1" applyAlignment="1">
      <alignment horizontal="center"/>
    </xf>
    <xf numFmtId="0" fontId="0" fillId="9" borderId="7" xfId="0" applyFont="1" applyFill="1" applyBorder="1" applyAlignment="1">
      <alignment horizontal="center"/>
    </xf>
    <xf numFmtId="0" fontId="0" fillId="9" borderId="31" xfId="0" applyFont="1" applyFill="1" applyBorder="1" applyAlignment="1">
      <alignment horizontal="center"/>
    </xf>
    <xf numFmtId="0" fontId="0" fillId="9" borderId="64" xfId="0" applyFont="1" applyFill="1" applyBorder="1" applyAlignment="1">
      <alignment horizontal="center"/>
    </xf>
    <xf numFmtId="0" fontId="0" fillId="9" borderId="25" xfId="0" applyFont="1" applyFill="1" applyBorder="1" applyAlignment="1">
      <alignment horizontal="center"/>
    </xf>
    <xf numFmtId="0" fontId="0" fillId="9" borderId="43" xfId="0" applyFont="1" applyFill="1" applyBorder="1" applyAlignment="1">
      <alignment horizontal="center"/>
    </xf>
    <xf numFmtId="0" fontId="0" fillId="0" borderId="0" xfId="0" applyFont="1" applyFill="1" applyBorder="1"/>
    <xf numFmtId="0" fontId="0" fillId="17" borderId="7" xfId="0" applyFill="1" applyBorder="1" applyAlignment="1">
      <alignment horizontal="center" vertical="center"/>
    </xf>
    <xf numFmtId="0" fontId="0" fillId="17" borderId="4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23" fillId="9" borderId="50" xfId="0" applyFont="1" applyFill="1" applyBorder="1"/>
    <xf numFmtId="0" fontId="23" fillId="9" borderId="15" xfId="0" applyFont="1" applyFill="1" applyBorder="1"/>
    <xf numFmtId="0" fontId="23" fillId="9" borderId="14" xfId="0" applyFont="1" applyFill="1" applyBorder="1"/>
    <xf numFmtId="0" fontId="23" fillId="9" borderId="7" xfId="0" applyFont="1" applyFill="1" applyBorder="1"/>
    <xf numFmtId="0" fontId="23" fillId="9" borderId="4" xfId="0" applyFont="1" applyFill="1" applyBorder="1" applyAlignment="1">
      <alignment horizontal="center" vertical="center"/>
    </xf>
    <xf numFmtId="0" fontId="23" fillId="9" borderId="8" xfId="0" applyFont="1" applyFill="1" applyBorder="1"/>
    <xf numFmtId="0" fontId="0" fillId="9" borderId="14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15" xfId="0" applyFont="1" applyFill="1" applyBorder="1" applyAlignment="1"/>
    <xf numFmtId="0" fontId="0" fillId="9" borderId="12" xfId="0" applyFont="1" applyFill="1" applyBorder="1" applyAlignment="1">
      <alignment horizontal="center" vertical="center"/>
    </xf>
    <xf numFmtId="0" fontId="0" fillId="9" borderId="13" xfId="0" applyFont="1" applyFill="1" applyBorder="1" applyAlignment="1">
      <alignment horizontal="center" vertical="center"/>
    </xf>
    <xf numFmtId="0" fontId="0" fillId="9" borderId="50" xfId="0" applyFont="1" applyFill="1" applyBorder="1" applyAlignment="1">
      <alignment horizontal="center" vertical="center"/>
    </xf>
    <xf numFmtId="0" fontId="0" fillId="9" borderId="113" xfId="0" applyFont="1" applyFill="1" applyBorder="1" applyAlignment="1">
      <alignment horizontal="center" vertical="center"/>
    </xf>
    <xf numFmtId="0" fontId="0" fillId="9" borderId="112" xfId="0" applyFont="1" applyFill="1" applyBorder="1" applyAlignment="1">
      <alignment horizontal="center" vertical="center"/>
    </xf>
    <xf numFmtId="0" fontId="0" fillId="9" borderId="117" xfId="0" applyFont="1" applyFill="1" applyBorder="1" applyAlignment="1">
      <alignment horizontal="center" vertical="center"/>
    </xf>
    <xf numFmtId="0" fontId="0" fillId="9" borderId="23" xfId="0" applyFont="1" applyFill="1" applyBorder="1" applyAlignment="1">
      <alignment horizontal="center"/>
    </xf>
    <xf numFmtId="0" fontId="0" fillId="9" borderId="35" xfId="0" applyFont="1" applyFill="1" applyBorder="1" applyAlignment="1">
      <alignment horizontal="center"/>
    </xf>
    <xf numFmtId="0" fontId="0" fillId="9" borderId="64" xfId="0" applyFont="1" applyFill="1" applyBorder="1" applyAlignment="1">
      <alignment horizontal="center" vertical="center"/>
    </xf>
    <xf numFmtId="0" fontId="0" fillId="9" borderId="25" xfId="0" applyFont="1" applyFill="1" applyBorder="1" applyAlignment="1">
      <alignment horizontal="center" vertical="center"/>
    </xf>
    <xf numFmtId="0" fontId="0" fillId="9" borderId="4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/>
    <xf numFmtId="0" fontId="51" fillId="0" borderId="1" xfId="0" applyFont="1" applyBorder="1" applyAlignment="1">
      <alignment horizontal="left"/>
    </xf>
    <xf numFmtId="165" fontId="4" fillId="0" borderId="1" xfId="0" applyNumberFormat="1" applyFont="1" applyBorder="1" applyAlignment="1">
      <alignment horizontal="center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0" xfId="0"/>
    <xf numFmtId="0" fontId="0" fillId="0" borderId="0" xfId="0" applyAlignment="1">
      <alignment horizontal="left"/>
    </xf>
    <xf numFmtId="0" fontId="40" fillId="0" borderId="1" xfId="0" applyFont="1" applyBorder="1"/>
    <xf numFmtId="0" fontId="4" fillId="9" borderId="118" xfId="0" applyFont="1" applyFill="1" applyBorder="1" applyAlignment="1">
      <alignment horizontal="center"/>
    </xf>
    <xf numFmtId="0" fontId="4" fillId="0" borderId="82" xfId="0" applyFont="1" applyBorder="1" applyAlignment="1">
      <alignment horizontal="left"/>
    </xf>
    <xf numFmtId="0" fontId="4" fillId="0" borderId="2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0" fillId="0" borderId="0" xfId="0"/>
    <xf numFmtId="0" fontId="4" fillId="0" borderId="32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2" fillId="3" borderId="1" xfId="0" applyFont="1" applyFill="1" applyBorder="1" applyAlignment="1" applyProtection="1">
      <alignment vertical="top" wrapText="1"/>
      <protection hidden="1"/>
    </xf>
    <xf numFmtId="0" fontId="0" fillId="0" borderId="1" xfId="0" applyBorder="1" applyAlignment="1">
      <alignment horizontal="center" vertical="center"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50" xfId="0" applyFont="1" applyBorder="1" applyAlignment="1">
      <alignment horizontal="center"/>
    </xf>
    <xf numFmtId="0" fontId="0" fillId="0" borderId="18" xfId="0" applyBorder="1"/>
    <xf numFmtId="0" fontId="0" fillId="0" borderId="20" xfId="0" applyFont="1" applyBorder="1"/>
    <xf numFmtId="0" fontId="4" fillId="0" borderId="36" xfId="0" applyFont="1" applyBorder="1" applyAlignment="1">
      <alignment horizontal="center"/>
    </xf>
    <xf numFmtId="1" fontId="4" fillId="0" borderId="36" xfId="0" applyNumberFormat="1" applyFont="1" applyBorder="1" applyAlignment="1">
      <alignment horizontal="center"/>
    </xf>
    <xf numFmtId="0" fontId="4" fillId="0" borderId="128" xfId="0" applyFont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51" fillId="0" borderId="1" xfId="0" applyFont="1" applyBorder="1"/>
    <xf numFmtId="0" fontId="0" fillId="0" borderId="1" xfId="0" applyBorder="1" applyAlignment="1">
      <alignment horizontal="left"/>
    </xf>
    <xf numFmtId="0" fontId="51" fillId="0" borderId="1" xfId="0" applyFont="1" applyFill="1" applyBorder="1"/>
    <xf numFmtId="0" fontId="4" fillId="0" borderId="11" xfId="0" applyFont="1" applyFill="1" applyBorder="1"/>
    <xf numFmtId="0" fontId="0" fillId="9" borderId="1" xfId="0" applyFill="1" applyBorder="1" applyProtection="1">
      <protection hidden="1"/>
    </xf>
    <xf numFmtId="0" fontId="0" fillId="9" borderId="1" xfId="0" applyFill="1" applyBorder="1" applyAlignment="1" applyProtection="1">
      <alignment wrapText="1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12" fillId="11" borderId="1" xfId="0" applyFont="1" applyFill="1" applyBorder="1" applyAlignment="1" applyProtection="1">
      <alignment horizontal="center" vertical="center" wrapText="1"/>
      <protection hidden="1"/>
    </xf>
    <xf numFmtId="0" fontId="12" fillId="11" borderId="14" xfId="0" applyFont="1" applyFill="1" applyBorder="1" applyAlignment="1" applyProtection="1">
      <alignment horizontal="left" vertical="center" wrapText="1"/>
      <protection hidden="1"/>
    </xf>
    <xf numFmtId="0" fontId="12" fillId="11" borderId="15" xfId="0" applyFont="1" applyFill="1" applyBorder="1" applyAlignment="1" applyProtection="1">
      <alignment horizontal="center" vertical="center" wrapText="1"/>
    </xf>
    <xf numFmtId="0" fontId="12" fillId="11" borderId="7" xfId="0" applyFont="1" applyFill="1" applyBorder="1" applyAlignment="1" applyProtection="1">
      <alignment horizontal="left" vertical="center" wrapText="1"/>
      <protection hidden="1"/>
    </xf>
    <xf numFmtId="0" fontId="12" fillId="11" borderId="4" xfId="0" applyFont="1" applyFill="1" applyBorder="1" applyAlignment="1" applyProtection="1">
      <alignment horizontal="center" vertical="center" wrapText="1"/>
      <protection hidden="1"/>
    </xf>
    <xf numFmtId="0" fontId="12" fillId="11" borderId="8" xfId="0" applyFont="1" applyFill="1" applyBorder="1" applyAlignment="1" applyProtection="1">
      <alignment horizontal="center" vertical="center" wrapText="1"/>
    </xf>
    <xf numFmtId="0" fontId="0" fillId="9" borderId="1" xfId="0" applyFill="1" applyBorder="1" applyAlignment="1">
      <alignment horizontal="center" wrapText="1"/>
    </xf>
    <xf numFmtId="0" fontId="0" fillId="0" borderId="0" xfId="0"/>
    <xf numFmtId="0" fontId="52" fillId="11" borderId="0" xfId="0" applyFont="1" applyFill="1" applyBorder="1" applyAlignment="1" applyProtection="1">
      <alignment vertical="center"/>
      <protection hidden="1"/>
    </xf>
    <xf numFmtId="0" fontId="0" fillId="9" borderId="1" xfId="0" applyFill="1" applyBorder="1" applyAlignment="1">
      <alignment horizontal="center"/>
    </xf>
    <xf numFmtId="0" fontId="0" fillId="13" borderId="1" xfId="0" applyFill="1" applyBorder="1"/>
    <xf numFmtId="0" fontId="0" fillId="0" borderId="0" xfId="0" applyBorder="1" applyAlignment="1">
      <alignment horizontal="left" vertical="center"/>
    </xf>
    <xf numFmtId="0" fontId="0" fillId="0" borderId="18" xfId="0" applyFill="1" applyBorder="1"/>
    <xf numFmtId="0" fontId="0" fillId="0" borderId="19" xfId="0" applyFill="1" applyBorder="1"/>
    <xf numFmtId="0" fontId="0" fillId="0" borderId="18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9" borderId="10" xfId="0" applyFill="1" applyBorder="1" applyAlignment="1">
      <alignment horizontal="center" vertical="center"/>
    </xf>
    <xf numFmtId="0" fontId="0" fillId="0" borderId="0" xfId="0"/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4" fillId="17" borderId="10" xfId="0" applyFont="1" applyFill="1" applyBorder="1" applyAlignment="1">
      <alignment horizontal="center" vertical="center" wrapText="1"/>
    </xf>
    <xf numFmtId="0" fontId="0" fillId="0" borderId="74" xfId="0" applyFill="1" applyBorder="1"/>
    <xf numFmtId="0" fontId="0" fillId="0" borderId="48" xfId="0" applyFill="1" applyBorder="1"/>
    <xf numFmtId="0" fontId="0" fillId="0" borderId="49" xfId="0" applyFill="1" applyBorder="1"/>
    <xf numFmtId="0" fontId="4" fillId="0" borderId="75" xfId="0" applyFont="1" applyFill="1" applyBorder="1"/>
    <xf numFmtId="0" fontId="4" fillId="0" borderId="66" xfId="0" applyFont="1" applyFill="1" applyBorder="1"/>
    <xf numFmtId="0" fontId="4" fillId="0" borderId="20" xfId="0" applyFont="1" applyFill="1" applyBorder="1"/>
    <xf numFmtId="0" fontId="0" fillId="0" borderId="76" xfId="0" applyFill="1" applyBorder="1"/>
    <xf numFmtId="0" fontId="0" fillId="0" borderId="4" xfId="0" applyFill="1" applyBorder="1"/>
    <xf numFmtId="0" fontId="0" fillId="0" borderId="67" xfId="0" applyFill="1" applyBorder="1"/>
    <xf numFmtId="0" fontId="4" fillId="0" borderId="10" xfId="0" applyFont="1" applyFill="1" applyBorder="1"/>
    <xf numFmtId="0" fontId="0" fillId="0" borderId="75" xfId="0" applyFill="1" applyBorder="1"/>
    <xf numFmtId="0" fontId="0" fillId="0" borderId="10" xfId="0" applyFill="1" applyBorder="1"/>
    <xf numFmtId="0" fontId="0" fillId="0" borderId="20" xfId="0" applyFill="1" applyBorder="1"/>
    <xf numFmtId="0" fontId="0" fillId="0" borderId="77" xfId="0" applyFill="1" applyBorder="1"/>
    <xf numFmtId="0" fontId="0" fillId="0" borderId="60" xfId="0" applyFill="1" applyBorder="1"/>
    <xf numFmtId="0" fontId="0" fillId="0" borderId="78" xfId="0" applyFill="1" applyBorder="1"/>
    <xf numFmtId="0" fontId="0" fillId="0" borderId="13" xfId="0" applyFill="1" applyBorder="1"/>
    <xf numFmtId="0" fontId="0" fillId="0" borderId="39" xfId="0" applyFill="1" applyBorder="1"/>
    <xf numFmtId="0" fontId="0" fillId="0" borderId="79" xfId="0" applyFill="1" applyBorder="1"/>
    <xf numFmtId="0" fontId="0" fillId="0" borderId="69" xfId="0" applyFill="1" applyBorder="1"/>
    <xf numFmtId="0" fontId="0" fillId="0" borderId="68" xfId="0" applyFill="1" applyBorder="1"/>
    <xf numFmtId="0" fontId="23" fillId="0" borderId="18" xfId="0" applyFont="1" applyFill="1" applyBorder="1"/>
    <xf numFmtId="0" fontId="23" fillId="0" borderId="125" xfId="0" applyFont="1" applyFill="1" applyBorder="1"/>
    <xf numFmtId="0" fontId="23" fillId="0" borderId="122" xfId="0" applyFont="1" applyFill="1" applyBorder="1"/>
    <xf numFmtId="0" fontId="23" fillId="0" borderId="126" xfId="0" applyFont="1" applyFill="1" applyBorder="1"/>
    <xf numFmtId="0" fontId="23" fillId="0" borderId="1" xfId="0" applyFont="1" applyFill="1" applyBorder="1"/>
    <xf numFmtId="0" fontId="23" fillId="0" borderId="19" xfId="0" applyFont="1" applyFill="1" applyBorder="1"/>
    <xf numFmtId="0" fontId="0" fillId="0" borderId="129" xfId="0" applyBorder="1"/>
    <xf numFmtId="0" fontId="0" fillId="0" borderId="112" xfId="0" applyBorder="1"/>
    <xf numFmtId="0" fontId="0" fillId="0" borderId="117" xfId="0" applyBorder="1"/>
    <xf numFmtId="49" fontId="0" fillId="0" borderId="0" xfId="0" applyNumberFormat="1"/>
    <xf numFmtId="0" fontId="0" fillId="0" borderId="0" xfId="0"/>
    <xf numFmtId="14" fontId="0" fillId="0" borderId="0" xfId="0" applyNumberFormat="1"/>
    <xf numFmtId="166" fontId="45" fillId="7" borderId="1" xfId="0" applyNumberFormat="1" applyFont="1" applyFill="1" applyBorder="1" applyAlignment="1" applyProtection="1">
      <alignment horizontal="center" vertical="center"/>
      <protection hidden="1"/>
    </xf>
    <xf numFmtId="166" fontId="11" fillId="10" borderId="0" xfId="0" applyNumberFormat="1" applyFont="1" applyFill="1" applyProtection="1">
      <protection hidden="1"/>
    </xf>
    <xf numFmtId="166" fontId="11" fillId="10" borderId="60" xfId="0" applyNumberFormat="1" applyFont="1" applyFill="1" applyBorder="1" applyAlignment="1" applyProtection="1">
      <alignment horizontal="center" vertical="center"/>
      <protection hidden="1"/>
    </xf>
    <xf numFmtId="166" fontId="11" fillId="11" borderId="1" xfId="0" applyNumberFormat="1" applyFont="1" applyFill="1" applyBorder="1" applyAlignment="1">
      <alignment horizontal="center"/>
    </xf>
    <xf numFmtId="0" fontId="0" fillId="0" borderId="0" xfId="0"/>
    <xf numFmtId="0" fontId="28" fillId="0" borderId="32" xfId="0" applyFont="1" applyBorder="1" applyAlignment="1">
      <alignment vertical="center" wrapText="1"/>
    </xf>
    <xf numFmtId="0" fontId="28" fillId="0" borderId="83" xfId="0" applyFont="1" applyBorder="1" applyAlignment="1">
      <alignment vertical="center" wrapText="1"/>
    </xf>
    <xf numFmtId="0" fontId="28" fillId="10" borderId="32" xfId="0" applyFont="1" applyFill="1" applyBorder="1" applyAlignment="1">
      <alignment vertical="center" wrapText="1"/>
    </xf>
    <xf numFmtId="0" fontId="28" fillId="11" borderId="32" xfId="0" applyFont="1" applyFill="1" applyBorder="1" applyAlignment="1">
      <alignment vertical="center" wrapText="1"/>
    </xf>
    <xf numFmtId="0" fontId="28" fillId="9" borderId="32" xfId="0" applyFont="1" applyFill="1" applyBorder="1" applyAlignment="1">
      <alignment vertical="center" wrapText="1"/>
    </xf>
    <xf numFmtId="0" fontId="28" fillId="12" borderId="32" xfId="0" applyFont="1" applyFill="1" applyBorder="1" applyAlignment="1">
      <alignment vertical="center" wrapText="1"/>
    </xf>
    <xf numFmtId="0" fontId="28" fillId="13" borderId="32" xfId="0" applyFont="1" applyFill="1" applyBorder="1" applyAlignment="1">
      <alignment vertical="center" wrapText="1"/>
    </xf>
    <xf numFmtId="0" fontId="28" fillId="14" borderId="32" xfId="0" applyFont="1" applyFill="1" applyBorder="1" applyAlignment="1">
      <alignment vertical="center" wrapText="1"/>
    </xf>
    <xf numFmtId="0" fontId="28" fillId="15" borderId="32" xfId="0" applyFont="1" applyFill="1" applyBorder="1" applyAlignment="1">
      <alignment vertical="center" wrapText="1"/>
    </xf>
    <xf numFmtId="0" fontId="28" fillId="0" borderId="37" xfId="0" applyFont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/>
    </xf>
    <xf numFmtId="0" fontId="0" fillId="9" borderId="17" xfId="0" applyFill="1" applyBorder="1"/>
    <xf numFmtId="49" fontId="0" fillId="0" borderId="0" xfId="0" quotePrefix="1" applyNumberFormat="1" applyFill="1" applyBorder="1" applyProtection="1"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/>
    </xf>
    <xf numFmtId="0" fontId="20" fillId="3" borderId="19" xfId="0" applyFont="1" applyFill="1" applyBorder="1" applyAlignment="1" applyProtection="1">
      <alignment horizontal="center"/>
      <protection hidden="1"/>
    </xf>
    <xf numFmtId="0" fontId="20" fillId="3" borderId="18" xfId="0" applyFont="1" applyFill="1" applyBorder="1" applyAlignment="1" applyProtection="1">
      <alignment horizontal="center"/>
      <protection hidden="1"/>
    </xf>
    <xf numFmtId="0" fontId="0" fillId="0" borderId="0" xfId="0"/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82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9" borderId="10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/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/>
    </xf>
    <xf numFmtId="0" fontId="0" fillId="0" borderId="0" xfId="0"/>
    <xf numFmtId="0" fontId="12" fillId="5" borderId="104" xfId="0" applyFont="1" applyFill="1" applyBorder="1" applyAlignment="1" applyProtection="1">
      <alignment horizontal="left" vertical="center" wrapText="1"/>
      <protection locked="0" hidden="1"/>
    </xf>
    <xf numFmtId="0" fontId="12" fillId="5" borderId="82" xfId="0" applyFont="1" applyFill="1" applyBorder="1" applyAlignment="1" applyProtection="1">
      <alignment horizontal="center" vertical="center" wrapText="1"/>
      <protection locked="0" hidden="1"/>
    </xf>
    <xf numFmtId="0" fontId="12" fillId="5" borderId="17" xfId="0" applyFont="1" applyFill="1" applyBorder="1" applyAlignment="1" applyProtection="1">
      <alignment horizontal="center" vertical="center" wrapText="1"/>
      <protection locked="0" hidden="1"/>
    </xf>
    <xf numFmtId="0" fontId="52" fillId="11" borderId="18" xfId="0" applyFont="1" applyFill="1" applyBorder="1" applyAlignment="1" applyProtection="1">
      <alignment vertical="center"/>
      <protection hidden="1"/>
    </xf>
    <xf numFmtId="0" fontId="12" fillId="5" borderId="100" xfId="0" applyFont="1" applyFill="1" applyBorder="1" applyAlignment="1" applyProtection="1">
      <alignment horizontal="center" vertical="center" wrapText="1"/>
      <protection locked="0"/>
    </xf>
    <xf numFmtId="0" fontId="4" fillId="0" borderId="4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0" fillId="0" borderId="40" xfId="0" applyFill="1" applyBorder="1" applyAlignment="1">
      <alignment horizontal="center" vertical="center"/>
    </xf>
    <xf numFmtId="0" fontId="0" fillId="0" borderId="40" xfId="0" applyFill="1" applyBorder="1"/>
    <xf numFmtId="0" fontId="0" fillId="0" borderId="128" xfId="0" applyBorder="1"/>
    <xf numFmtId="0" fontId="0" fillId="0" borderId="104" xfId="0" applyBorder="1"/>
    <xf numFmtId="0" fontId="0" fillId="0" borderId="82" xfId="0" applyBorder="1" applyAlignment="1">
      <alignment horizontal="center"/>
    </xf>
    <xf numFmtId="0" fontId="0" fillId="0" borderId="82" xfId="0" applyNumberFormat="1" applyBorder="1" applyAlignment="1">
      <alignment horizontal="center"/>
    </xf>
    <xf numFmtId="0" fontId="0" fillId="4" borderId="82" xfId="0" applyFill="1" applyBorder="1"/>
    <xf numFmtId="0" fontId="0" fillId="4" borderId="82" xfId="0" applyFill="1" applyBorder="1" applyAlignment="1">
      <alignment wrapText="1"/>
    </xf>
    <xf numFmtId="0" fontId="0" fillId="4" borderId="82" xfId="0" applyFill="1" applyBorder="1" applyAlignment="1">
      <alignment horizontal="center" vertical="center" wrapText="1"/>
    </xf>
    <xf numFmtId="0" fontId="0" fillId="9" borderId="82" xfId="0" applyFill="1" applyBorder="1" applyAlignment="1">
      <alignment wrapText="1"/>
    </xf>
    <xf numFmtId="0" fontId="0" fillId="4" borderId="101" xfId="0" applyFill="1" applyBorder="1" applyAlignment="1">
      <alignment horizontal="center" vertical="center"/>
    </xf>
    <xf numFmtId="0" fontId="0" fillId="4" borderId="101" xfId="0" applyFill="1" applyBorder="1"/>
    <xf numFmtId="0" fontId="4" fillId="4" borderId="82" xfId="0" applyFont="1" applyFill="1" applyBorder="1" applyAlignment="1">
      <alignment wrapText="1"/>
    </xf>
    <xf numFmtId="0" fontId="0" fillId="9" borderId="101" xfId="0" applyFill="1" applyBorder="1"/>
    <xf numFmtId="0" fontId="4" fillId="4" borderId="82" xfId="0" applyFont="1" applyFill="1" applyBorder="1" applyAlignment="1">
      <alignment horizontal="center" vertical="center" wrapText="1"/>
    </xf>
    <xf numFmtId="0" fontId="4" fillId="17" borderId="82" xfId="0" applyFont="1" applyFill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21" fillId="4" borderId="1" xfId="0" applyFont="1" applyFill="1" applyBorder="1"/>
    <xf numFmtId="0" fontId="0" fillId="4" borderId="1" xfId="0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0" fillId="17" borderId="10" xfId="0" applyFill="1" applyBorder="1" applyAlignment="1">
      <alignment horizontal="right"/>
    </xf>
    <xf numFmtId="0" fontId="0" fillId="17" borderId="1" xfId="0" applyFill="1" applyBorder="1" applyAlignment="1">
      <alignment horizontal="right"/>
    </xf>
    <xf numFmtId="0" fontId="0" fillId="17" borderId="10" xfId="0" applyFill="1" applyBorder="1" applyAlignment="1">
      <alignment horizontal="center" vertical="center"/>
    </xf>
    <xf numFmtId="0" fontId="0" fillId="17" borderId="82" xfId="0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4" fillId="17" borderId="16" xfId="0" applyFont="1" applyFill="1" applyBorder="1" applyAlignment="1">
      <alignment horizontal="center" vertical="center" wrapText="1"/>
    </xf>
    <xf numFmtId="0" fontId="0" fillId="17" borderId="16" xfId="0" applyFill="1" applyBorder="1" applyAlignment="1">
      <alignment horizontal="center" vertical="center"/>
    </xf>
    <xf numFmtId="0" fontId="0" fillId="18" borderId="5" xfId="0" applyFill="1" applyBorder="1"/>
    <xf numFmtId="0" fontId="0" fillId="18" borderId="6" xfId="0" applyFill="1" applyBorder="1" applyAlignment="1">
      <alignment horizontal="center"/>
    </xf>
    <xf numFmtId="0" fontId="0" fillId="18" borderId="88" xfId="0" applyFill="1" applyBorder="1"/>
    <xf numFmtId="0" fontId="0" fillId="18" borderId="89" xfId="0" applyFill="1" applyBorder="1" applyAlignment="1">
      <alignment horizontal="left"/>
    </xf>
    <xf numFmtId="0" fontId="0" fillId="18" borderId="84" xfId="0" applyFill="1" applyBorder="1"/>
    <xf numFmtId="0" fontId="0" fillId="18" borderId="46" xfId="0" applyFill="1" applyBorder="1" applyAlignment="1">
      <alignment horizontal="left"/>
    </xf>
    <xf numFmtId="1" fontId="4" fillId="9" borderId="1" xfId="0" applyNumberFormat="1" applyFont="1" applyFill="1" applyBorder="1" applyAlignment="1">
      <alignment horizontal="center"/>
    </xf>
    <xf numFmtId="0" fontId="0" fillId="9" borderId="55" xfId="0" applyFill="1" applyBorder="1" applyAlignment="1">
      <alignment horizontal="center"/>
    </xf>
    <xf numFmtId="0" fontId="0" fillId="0" borderId="55" xfId="0" applyBorder="1" applyAlignment="1">
      <alignment horizontal="center"/>
    </xf>
    <xf numFmtId="0" fontId="52" fillId="11" borderId="99" xfId="0" applyFont="1" applyFill="1" applyBorder="1" applyAlignment="1" applyProtection="1">
      <alignment vertical="center"/>
      <protection hidden="1"/>
    </xf>
    <xf numFmtId="0" fontId="52" fillId="11" borderId="116" xfId="0" applyFont="1" applyFill="1" applyBorder="1" applyAlignment="1" applyProtection="1">
      <alignment vertical="center"/>
      <protection hidden="1"/>
    </xf>
    <xf numFmtId="0" fontId="12" fillId="5" borderId="8" xfId="0" applyFont="1" applyFill="1" applyBorder="1" applyAlignment="1" applyProtection="1">
      <alignment horizontal="center" vertical="center" wrapText="1"/>
      <protection locked="0"/>
    </xf>
    <xf numFmtId="0" fontId="45" fillId="7" borderId="0" xfId="0" applyFont="1" applyFill="1" applyBorder="1" applyAlignment="1" applyProtection="1">
      <alignment horizontal="center" vertical="center"/>
      <protection hidden="1"/>
    </xf>
    <xf numFmtId="0" fontId="11" fillId="10" borderId="60" xfId="0" applyFont="1" applyFill="1" applyBorder="1" applyAlignment="1">
      <alignment horizontal="center"/>
    </xf>
    <xf numFmtId="0" fontId="45" fillId="7" borderId="60" xfId="0" applyFont="1" applyFill="1" applyBorder="1" applyAlignment="1" applyProtection="1">
      <alignment horizontal="center" vertical="center"/>
      <protection hidden="1"/>
    </xf>
    <xf numFmtId="0" fontId="11" fillId="11" borderId="60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9" borderId="1" xfId="0" applyFill="1" applyBorder="1" applyAlignment="1">
      <alignment horizontal="center"/>
    </xf>
    <xf numFmtId="166" fontId="45" fillId="7" borderId="19" xfId="0" applyNumberFormat="1" applyFont="1" applyFill="1" applyBorder="1" applyAlignment="1" applyProtection="1">
      <alignment horizontal="center" vertical="center"/>
      <protection hidden="1"/>
    </xf>
    <xf numFmtId="166" fontId="45" fillId="7" borderId="18" xfId="0" applyNumberFormat="1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left"/>
      <protection hidden="1"/>
    </xf>
    <xf numFmtId="0" fontId="14" fillId="5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Border="1" applyAlignment="1" applyProtection="1">
      <alignment horizontal="center"/>
      <protection hidden="1"/>
    </xf>
    <xf numFmtId="0" fontId="12" fillId="3" borderId="1" xfId="0" applyFont="1" applyFill="1" applyBorder="1" applyAlignment="1" applyProtection="1">
      <alignment horizontal="center" vertical="center" wrapText="1"/>
      <protection hidden="1"/>
    </xf>
    <xf numFmtId="0" fontId="12" fillId="3" borderId="99" xfId="0" applyFont="1" applyFill="1" applyBorder="1" applyAlignment="1" applyProtection="1">
      <alignment horizontal="left" vertical="center" wrapText="1"/>
      <protection hidden="1"/>
    </xf>
    <xf numFmtId="0" fontId="12" fillId="3" borderId="60" xfId="0" applyFont="1" applyFill="1" applyBorder="1" applyAlignment="1" applyProtection="1">
      <alignment horizontal="left" vertical="center" wrapText="1"/>
      <protection hidden="1"/>
    </xf>
    <xf numFmtId="0" fontId="12" fillId="3" borderId="56" xfId="0" applyFont="1" applyFill="1" applyBorder="1" applyAlignment="1" applyProtection="1">
      <alignment horizontal="left" vertical="center" wrapText="1"/>
      <protection hidden="1"/>
    </xf>
    <xf numFmtId="0" fontId="12" fillId="3" borderId="1" xfId="0" applyFont="1" applyFill="1" applyBorder="1" applyAlignment="1" applyProtection="1">
      <alignment horizontal="center" vertical="center"/>
      <protection hidden="1"/>
    </xf>
    <xf numFmtId="0" fontId="12" fillId="3" borderId="12" xfId="0" applyFont="1" applyFill="1" applyBorder="1" applyAlignment="1" applyProtection="1">
      <alignment horizontal="left" vertical="center"/>
      <protection hidden="1"/>
    </xf>
    <xf numFmtId="0" fontId="12" fillId="3" borderId="13" xfId="0" applyFont="1" applyFill="1" applyBorder="1" applyAlignment="1" applyProtection="1">
      <alignment horizontal="left" vertical="center"/>
      <protection hidden="1"/>
    </xf>
    <xf numFmtId="0" fontId="13" fillId="7" borderId="1" xfId="0" applyFont="1" applyFill="1" applyBorder="1" applyAlignment="1" applyProtection="1">
      <alignment horizontal="center" vertical="center"/>
      <protection hidden="1"/>
    </xf>
    <xf numFmtId="0" fontId="13" fillId="7" borderId="15" xfId="0" applyFont="1" applyFill="1" applyBorder="1" applyAlignment="1" applyProtection="1">
      <alignment horizontal="center" vertical="center"/>
      <protection hidden="1"/>
    </xf>
    <xf numFmtId="0" fontId="12" fillId="5" borderId="1" xfId="0" applyFont="1" applyFill="1" applyBorder="1" applyAlignment="1" applyProtection="1">
      <alignment horizontal="center" vertical="center"/>
      <protection locked="0" hidden="1"/>
    </xf>
    <xf numFmtId="0" fontId="12" fillId="5" borderId="15" xfId="0" applyFont="1" applyFill="1" applyBorder="1" applyAlignment="1" applyProtection="1">
      <alignment horizontal="center" vertical="center"/>
      <protection locked="0" hidden="1"/>
    </xf>
    <xf numFmtId="0" fontId="12" fillId="3" borderId="14" xfId="0" applyFont="1" applyFill="1" applyBorder="1" applyAlignment="1" applyProtection="1">
      <alignment horizontal="left" vertical="center" wrapText="1"/>
      <protection hidden="1"/>
    </xf>
    <xf numFmtId="0" fontId="12" fillId="3" borderId="1" xfId="0" applyFont="1" applyFill="1" applyBorder="1" applyAlignment="1" applyProtection="1">
      <alignment horizontal="left" vertical="center" wrapText="1"/>
      <protection hidden="1"/>
    </xf>
    <xf numFmtId="0" fontId="12" fillId="3" borderId="14" xfId="0" applyFont="1" applyFill="1" applyBorder="1" applyAlignment="1" applyProtection="1">
      <alignment horizontal="left" vertical="center"/>
      <protection hidden="1"/>
    </xf>
    <xf numFmtId="0" fontId="12" fillId="3" borderId="1" xfId="0" applyFont="1" applyFill="1" applyBorder="1" applyAlignment="1" applyProtection="1">
      <alignment horizontal="left" vertical="center"/>
      <protection hidden="1"/>
    </xf>
    <xf numFmtId="0" fontId="13" fillId="7" borderId="13" xfId="0" applyFont="1" applyFill="1" applyBorder="1" applyAlignment="1" applyProtection="1">
      <alignment horizontal="center" vertical="center"/>
      <protection hidden="1"/>
    </xf>
    <xf numFmtId="0" fontId="13" fillId="7" borderId="50" xfId="0" applyFont="1" applyFill="1" applyBorder="1" applyAlignment="1" applyProtection="1">
      <alignment horizontal="center" vertical="center"/>
      <protection hidden="1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5" xfId="0" applyFont="1" applyFill="1" applyBorder="1" applyAlignment="1" applyProtection="1">
      <alignment horizontal="center" vertical="center"/>
      <protection locked="0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0" fontId="12" fillId="5" borderId="15" xfId="0" applyFont="1" applyFill="1" applyBorder="1" applyAlignment="1" applyProtection="1">
      <alignment horizontal="center" vertical="center"/>
      <protection locked="0"/>
    </xf>
    <xf numFmtId="0" fontId="12" fillId="0" borderId="14" xfId="0" applyFont="1" applyFill="1" applyBorder="1" applyAlignment="1" applyProtection="1">
      <alignment horizontal="center"/>
      <protection hidden="1"/>
    </xf>
    <xf numFmtId="0" fontId="12" fillId="0" borderId="1" xfId="0" applyFont="1" applyFill="1" applyBorder="1" applyAlignment="1" applyProtection="1">
      <alignment horizontal="center"/>
      <protection hidden="1"/>
    </xf>
    <xf numFmtId="0" fontId="12" fillId="0" borderId="15" xfId="0" applyFont="1" applyFill="1" applyBorder="1" applyAlignment="1" applyProtection="1">
      <alignment horizontal="center"/>
      <protection hidden="1"/>
    </xf>
    <xf numFmtId="0" fontId="12" fillId="3" borderId="100" xfId="0" applyFont="1" applyFill="1" applyBorder="1" applyAlignment="1" applyProtection="1">
      <alignment horizontal="center" vertical="center" wrapText="1"/>
      <protection hidden="1"/>
    </xf>
    <xf numFmtId="0" fontId="12" fillId="3" borderId="21" xfId="0" applyFont="1" applyFill="1" applyBorder="1" applyAlignment="1" applyProtection="1">
      <alignment horizontal="center" vertical="center" wrapText="1"/>
      <protection hidden="1"/>
    </xf>
    <xf numFmtId="0" fontId="12" fillId="3" borderId="14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 vertical="center"/>
    </xf>
    <xf numFmtId="0" fontId="18" fillId="7" borderId="82" xfId="0" applyFont="1" applyFill="1" applyBorder="1" applyAlignment="1" applyProtection="1">
      <alignment horizontal="center"/>
      <protection hidden="1"/>
    </xf>
    <xf numFmtId="0" fontId="18" fillId="7" borderId="10" xfId="0" applyFont="1" applyFill="1" applyBorder="1" applyAlignment="1" applyProtection="1">
      <alignment horizontal="center"/>
      <protection hidden="1"/>
    </xf>
    <xf numFmtId="0" fontId="12" fillId="7" borderId="19" xfId="0" applyFont="1" applyFill="1" applyBorder="1" applyAlignment="1" applyProtection="1">
      <alignment horizontal="center"/>
      <protection hidden="1"/>
    </xf>
    <xf numFmtId="0" fontId="12" fillId="7" borderId="18" xfId="0" applyFont="1" applyFill="1" applyBorder="1" applyAlignment="1" applyProtection="1">
      <alignment horizontal="center"/>
      <protection hidden="1"/>
    </xf>
    <xf numFmtId="0" fontId="12" fillId="3" borderId="19" xfId="0" applyFont="1" applyFill="1" applyBorder="1" applyAlignment="1" applyProtection="1">
      <alignment horizontal="center"/>
      <protection hidden="1"/>
    </xf>
    <xf numFmtId="0" fontId="12" fillId="3" borderId="60" xfId="0" applyFont="1" applyFill="1" applyBorder="1" applyAlignment="1" applyProtection="1">
      <alignment horizontal="center"/>
      <protection hidden="1"/>
    </xf>
    <xf numFmtId="0" fontId="12" fillId="3" borderId="18" xfId="0" applyFont="1" applyFill="1" applyBorder="1" applyAlignment="1" applyProtection="1">
      <alignment horizontal="center"/>
      <protection hidden="1"/>
    </xf>
    <xf numFmtId="0" fontId="12" fillId="4" borderId="101" xfId="0" applyFont="1" applyFill="1" applyBorder="1" applyAlignment="1" applyProtection="1">
      <alignment horizontal="center" vertical="center" wrapText="1"/>
      <protection locked="0" hidden="1"/>
    </xf>
    <xf numFmtId="0" fontId="12" fillId="4" borderId="102" xfId="0" applyFont="1" applyFill="1" applyBorder="1" applyAlignment="1" applyProtection="1">
      <alignment horizontal="center" vertical="center" wrapText="1"/>
      <protection locked="0" hidden="1"/>
    </xf>
    <xf numFmtId="0" fontId="12" fillId="4" borderId="16" xfId="0" applyFont="1" applyFill="1" applyBorder="1" applyAlignment="1" applyProtection="1">
      <alignment horizontal="center" vertical="center" wrapText="1"/>
      <protection locked="0" hidden="1"/>
    </xf>
    <xf numFmtId="0" fontId="12" fillId="4" borderId="20" xfId="0" applyFont="1" applyFill="1" applyBorder="1" applyAlignment="1" applyProtection="1">
      <alignment horizontal="center" vertical="center" wrapText="1"/>
      <protection locked="0" hidden="1"/>
    </xf>
    <xf numFmtId="0" fontId="12" fillId="3" borderId="19" xfId="0" applyFont="1" applyFill="1" applyBorder="1" applyAlignment="1" applyProtection="1">
      <alignment horizontal="center" vertical="center" wrapText="1"/>
      <protection hidden="1"/>
    </xf>
    <xf numFmtId="0" fontId="12" fillId="3" borderId="60" xfId="0" applyFont="1" applyFill="1" applyBorder="1" applyAlignment="1" applyProtection="1">
      <alignment horizontal="center" vertical="center" wrapText="1"/>
      <protection hidden="1"/>
    </xf>
    <xf numFmtId="0" fontId="12" fillId="3" borderId="18" xfId="0" applyFont="1" applyFill="1" applyBorder="1" applyAlignment="1" applyProtection="1">
      <alignment horizontal="center" vertical="center" wrapText="1"/>
      <protection hidden="1"/>
    </xf>
    <xf numFmtId="0" fontId="12" fillId="3" borderId="82" xfId="0" applyFont="1" applyFill="1" applyBorder="1" applyAlignment="1" applyProtection="1">
      <alignment horizontal="center" vertical="center" wrapText="1"/>
      <protection hidden="1"/>
    </xf>
    <xf numFmtId="0" fontId="12" fillId="3" borderId="10" xfId="0" applyFont="1" applyFill="1" applyBorder="1" applyAlignment="1" applyProtection="1">
      <alignment horizontal="center" vertical="center" wrapText="1"/>
      <protection hidden="1"/>
    </xf>
    <xf numFmtId="0" fontId="11" fillId="10" borderId="1" xfId="0" applyFont="1" applyFill="1" applyBorder="1" applyAlignment="1">
      <alignment horizontal="center"/>
    </xf>
    <xf numFmtId="0" fontId="11" fillId="10" borderId="82" xfId="0" applyFont="1" applyFill="1" applyBorder="1" applyAlignment="1">
      <alignment horizontal="center" vertical="center"/>
    </xf>
    <xf numFmtId="0" fontId="11" fillId="10" borderId="10" xfId="0" applyFont="1" applyFill="1" applyBorder="1" applyAlignment="1">
      <alignment horizontal="center" vertical="center"/>
    </xf>
    <xf numFmtId="0" fontId="11" fillId="10" borderId="1" xfId="0" applyFont="1" applyFill="1" applyBorder="1" applyAlignment="1" applyProtection="1">
      <alignment horizontal="center" vertical="center"/>
      <protection hidden="1"/>
    </xf>
    <xf numFmtId="0" fontId="11" fillId="10" borderId="101" xfId="0" applyFont="1" applyFill="1" applyBorder="1" applyAlignment="1">
      <alignment horizontal="center" vertical="center"/>
    </xf>
    <xf numFmtId="0" fontId="11" fillId="10" borderId="82" xfId="0" applyFont="1" applyFill="1" applyBorder="1" applyAlignment="1">
      <alignment horizontal="center"/>
    </xf>
    <xf numFmtId="0" fontId="12" fillId="3" borderId="1" xfId="0" applyFont="1" applyFill="1" applyBorder="1" applyAlignment="1" applyProtection="1">
      <alignment horizontal="left" vertical="top" wrapText="1"/>
      <protection hidden="1"/>
    </xf>
    <xf numFmtId="0" fontId="20" fillId="3" borderId="19" xfId="0" applyFont="1" applyFill="1" applyBorder="1" applyAlignment="1" applyProtection="1">
      <alignment horizontal="center"/>
      <protection hidden="1"/>
    </xf>
    <xf numFmtId="0" fontId="20" fillId="3" borderId="18" xfId="0" applyFont="1" applyFill="1" applyBorder="1" applyAlignment="1" applyProtection="1">
      <alignment horizontal="center"/>
      <protection hidden="1"/>
    </xf>
    <xf numFmtId="0" fontId="12" fillId="3" borderId="82" xfId="0" applyFont="1" applyFill="1" applyBorder="1" applyAlignment="1" applyProtection="1">
      <alignment horizontal="left" wrapText="1"/>
      <protection hidden="1"/>
    </xf>
    <xf numFmtId="0" fontId="12" fillId="3" borderId="10" xfId="0" applyFont="1" applyFill="1" applyBorder="1" applyAlignment="1" applyProtection="1">
      <alignment horizontal="left" wrapText="1"/>
      <protection hidden="1"/>
    </xf>
    <xf numFmtId="0" fontId="20" fillId="3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top" wrapText="1"/>
      <protection hidden="1"/>
    </xf>
    <xf numFmtId="0" fontId="12" fillId="4" borderId="1" xfId="0" applyFont="1" applyFill="1" applyBorder="1" applyAlignment="1" applyProtection="1">
      <alignment horizontal="center" vertical="center" wrapText="1"/>
      <protection locked="0" hidden="1"/>
    </xf>
    <xf numFmtId="0" fontId="12" fillId="8" borderId="0" xfId="0" applyFont="1" applyFill="1" applyBorder="1" applyAlignment="1" applyProtection="1">
      <alignment horizontal="center"/>
      <protection locked="0" hidden="1"/>
    </xf>
    <xf numFmtId="0" fontId="12" fillId="3" borderId="82" xfId="0" applyFont="1" applyFill="1" applyBorder="1" applyAlignment="1" applyProtection="1">
      <alignment horizontal="left" vertical="top" wrapText="1"/>
      <protection hidden="1"/>
    </xf>
    <xf numFmtId="0" fontId="12" fillId="3" borderId="10" xfId="0" applyFont="1" applyFill="1" applyBorder="1" applyAlignment="1" applyProtection="1">
      <alignment horizontal="left" vertical="top" wrapText="1"/>
      <protection hidden="1"/>
    </xf>
    <xf numFmtId="0" fontId="12" fillId="0" borderId="0" xfId="0" applyFont="1" applyAlignment="1" applyProtection="1">
      <alignment horizontal="left" vertical="top" wrapText="1"/>
      <protection locked="0"/>
    </xf>
    <xf numFmtId="0" fontId="12" fillId="3" borderId="40" xfId="0" applyFont="1" applyFill="1" applyBorder="1" applyAlignment="1" applyProtection="1">
      <alignment horizontal="center"/>
      <protection hidden="1"/>
    </xf>
    <xf numFmtId="0" fontId="4" fillId="0" borderId="1" xfId="0" applyFont="1" applyBorder="1" applyAlignment="1">
      <alignment horizontal="center" vertical="center"/>
    </xf>
    <xf numFmtId="0" fontId="4" fillId="0" borderId="8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00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0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9" fillId="0" borderId="59" xfId="0" applyFont="1" applyBorder="1" applyAlignment="1">
      <alignment horizontal="center"/>
    </xf>
    <xf numFmtId="0" fontId="9" fillId="0" borderId="105" xfId="0" applyFont="1" applyBorder="1" applyAlignment="1">
      <alignment horizontal="center"/>
    </xf>
    <xf numFmtId="0" fontId="9" fillId="0" borderId="65" xfId="0" applyFont="1" applyBorder="1" applyAlignment="1">
      <alignment horizontal="center"/>
    </xf>
    <xf numFmtId="0" fontId="4" fillId="0" borderId="11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1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19" xfId="0" applyFont="1" applyBorder="1" applyAlignment="1">
      <alignment horizontal="center" vertical="center"/>
    </xf>
    <xf numFmtId="0" fontId="9" fillId="0" borderId="1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113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9" fillId="0" borderId="97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106" xfId="0" applyFill="1" applyBorder="1" applyAlignment="1">
      <alignment horizontal="center" vertical="center"/>
    </xf>
    <xf numFmtId="0" fontId="9" fillId="0" borderId="107" xfId="0" applyFont="1" applyFill="1" applyBorder="1" applyAlignment="1">
      <alignment horizontal="center" vertical="center"/>
    </xf>
    <xf numFmtId="0" fontId="9" fillId="0" borderId="108" xfId="0" applyFont="1" applyFill="1" applyBorder="1" applyAlignment="1">
      <alignment horizontal="center" vertical="center"/>
    </xf>
    <xf numFmtId="0" fontId="9" fillId="0" borderId="110" xfId="0" applyFont="1" applyFill="1" applyBorder="1" applyAlignment="1">
      <alignment horizontal="center" vertical="center"/>
    </xf>
    <xf numFmtId="0" fontId="0" fillId="0" borderId="57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1" xfId="0" applyFont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11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6" borderId="19" xfId="0" applyFont="1" applyFill="1" applyBorder="1" applyAlignment="1">
      <alignment horizontal="center"/>
    </xf>
    <xf numFmtId="0" fontId="4" fillId="6" borderId="60" xfId="0" applyFont="1" applyFill="1" applyBorder="1" applyAlignment="1">
      <alignment horizontal="center"/>
    </xf>
    <xf numFmtId="0" fontId="4" fillId="6" borderId="18" xfId="0" applyFont="1" applyFill="1" applyBorder="1" applyAlignment="1">
      <alignment horizontal="center"/>
    </xf>
    <xf numFmtId="0" fontId="9" fillId="0" borderId="113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120" xfId="0" applyFont="1" applyFill="1" applyBorder="1" applyAlignment="1">
      <alignment horizontal="center" vertical="center"/>
    </xf>
    <xf numFmtId="0" fontId="9" fillId="0" borderId="109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0" fontId="4" fillId="0" borderId="10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wrapText="1"/>
    </xf>
    <xf numFmtId="0" fontId="4" fillId="0" borderId="9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9" fillId="0" borderId="127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0" fillId="0" borderId="1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112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17" borderId="112" xfId="0" applyFill="1" applyBorder="1" applyAlignment="1">
      <alignment horizontal="center" vertical="center" wrapText="1"/>
    </xf>
    <xf numFmtId="0" fontId="0" fillId="17" borderId="27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9" borderId="13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 wrapText="1"/>
    </xf>
    <xf numFmtId="0" fontId="0" fillId="9" borderId="60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18" xfId="0" applyBorder="1" applyAlignment="1">
      <alignment horizontal="center" vertical="center" wrapText="1"/>
    </xf>
    <xf numFmtId="0" fontId="0" fillId="0" borderId="119" xfId="0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/>
    </xf>
    <xf numFmtId="0" fontId="4" fillId="9" borderId="60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3" xfId="0" applyFill="1" applyBorder="1" applyAlignment="1">
      <alignment horizontal="center" vertical="center"/>
    </xf>
    <xf numFmtId="0" fontId="0" fillId="0" borderId="116" xfId="0" applyFill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9" borderId="99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60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4" fillId="9" borderId="53" xfId="0" applyFont="1" applyFill="1" applyBorder="1" applyAlignment="1">
      <alignment horizontal="center" vertical="center" wrapText="1"/>
    </xf>
    <xf numFmtId="0" fontId="4" fillId="9" borderId="54" xfId="0" applyFont="1" applyFill="1" applyBorder="1" applyAlignment="1">
      <alignment horizontal="center" vertical="center" wrapText="1"/>
    </xf>
    <xf numFmtId="0" fontId="4" fillId="9" borderId="57" xfId="0" applyFont="1" applyFill="1" applyBorder="1" applyAlignment="1">
      <alignment horizontal="center" vertical="center" wrapText="1"/>
    </xf>
    <xf numFmtId="0" fontId="4" fillId="9" borderId="103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90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6" borderId="82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4" fillId="0" borderId="65" xfId="0" applyFont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9" borderId="13" xfId="0" applyFont="1" applyFill="1" applyBorder="1" applyAlignment="1">
      <alignment horizontal="center"/>
    </xf>
    <xf numFmtId="0" fontId="4" fillId="9" borderId="50" xfId="0" applyFont="1" applyFill="1" applyBorder="1" applyAlignment="1">
      <alignment horizontal="center"/>
    </xf>
    <xf numFmtId="0" fontId="4" fillId="0" borderId="103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top" wrapText="1"/>
    </xf>
    <xf numFmtId="0" fontId="4" fillId="0" borderId="128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 wrapText="1"/>
    </xf>
    <xf numFmtId="0" fontId="4" fillId="9" borderId="56" xfId="0" applyFont="1" applyFill="1" applyBorder="1" applyAlignment="1">
      <alignment horizontal="center"/>
    </xf>
    <xf numFmtId="0" fontId="4" fillId="9" borderId="106" xfId="0" applyFont="1" applyFill="1" applyBorder="1" applyAlignment="1">
      <alignment horizontal="center"/>
    </xf>
    <xf numFmtId="0" fontId="4" fillId="9" borderId="11" xfId="0" applyFont="1" applyFill="1" applyBorder="1" applyAlignment="1">
      <alignment horizontal="center"/>
    </xf>
    <xf numFmtId="0" fontId="4" fillId="9" borderId="83" xfId="0" applyFont="1" applyFill="1" applyBorder="1" applyAlignment="1">
      <alignment horizontal="center"/>
    </xf>
    <xf numFmtId="0" fontId="4" fillId="0" borderId="54" xfId="0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4" fillId="0" borderId="1" xfId="0" applyFont="1" applyBorder="1" applyAlignment="1">
      <alignment horizontal="left" vertical="top" wrapText="1"/>
    </xf>
    <xf numFmtId="0" fontId="9" fillId="0" borderId="47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wrapText="1"/>
    </xf>
    <xf numFmtId="0" fontId="4" fillId="0" borderId="36" xfId="0" applyFont="1" applyBorder="1" applyAlignment="1">
      <alignment horizontal="center" wrapText="1"/>
    </xf>
    <xf numFmtId="0" fontId="4" fillId="0" borderId="16" xfId="0" applyFont="1" applyBorder="1" applyAlignment="1">
      <alignment horizontal="center"/>
    </xf>
    <xf numFmtId="0" fontId="4" fillId="9" borderId="30" xfId="0" applyFont="1" applyFill="1" applyBorder="1" applyAlignment="1">
      <alignment horizontal="center" vertical="center" wrapText="1"/>
    </xf>
    <xf numFmtId="0" fontId="4" fillId="9" borderId="32" xfId="0" applyFon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164" fontId="0" fillId="4" borderId="105" xfId="0" applyNumberFormat="1" applyFill="1" applyBorder="1" applyAlignment="1">
      <alignment horizontal="center" vertical="center" wrapText="1"/>
    </xf>
    <xf numFmtId="164" fontId="0" fillId="4" borderId="65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/>
    </xf>
    <xf numFmtId="0" fontId="0" fillId="9" borderId="19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 wrapText="1"/>
    </xf>
    <xf numFmtId="0" fontId="0" fillId="9" borderId="82" xfId="0" applyFont="1" applyFill="1" applyBorder="1" applyAlignment="1">
      <alignment horizontal="center" vertical="center" wrapText="1"/>
    </xf>
    <xf numFmtId="0" fontId="0" fillId="9" borderId="82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/>
    </xf>
    <xf numFmtId="0" fontId="0" fillId="9" borderId="50" xfId="0" applyFill="1" applyBorder="1" applyAlignment="1">
      <alignment horizontal="center" vertical="center"/>
    </xf>
    <xf numFmtId="0" fontId="0" fillId="9" borderId="82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64" fontId="6" fillId="9" borderId="30" xfId="0" applyNumberFormat="1" applyFont="1" applyFill="1" applyBorder="1" applyAlignment="1">
      <alignment horizontal="center" vertical="center" wrapText="1"/>
    </xf>
    <xf numFmtId="164" fontId="6" fillId="9" borderId="32" xfId="0" applyNumberFormat="1" applyFont="1" applyFill="1" applyBorder="1" applyAlignment="1">
      <alignment horizontal="center" vertical="center" wrapText="1"/>
    </xf>
    <xf numFmtId="0" fontId="0" fillId="9" borderId="37" xfId="0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2" fillId="0" borderId="37" xfId="0" applyFont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9" borderId="20" xfId="0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0" fillId="9" borderId="10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 wrapText="1"/>
    </xf>
    <xf numFmtId="164" fontId="0" fillId="4" borderId="30" xfId="0" applyNumberForma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 vertical="center"/>
    </xf>
    <xf numFmtId="0" fontId="46" fillId="0" borderId="19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46" fillId="0" borderId="82" xfId="0" applyFont="1" applyBorder="1" applyAlignment="1">
      <alignment horizontal="center" wrapText="1"/>
    </xf>
    <xf numFmtId="0" fontId="46" fillId="0" borderId="27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6" fillId="0" borderId="118" xfId="0" applyFont="1" applyFill="1" applyBorder="1" applyAlignment="1">
      <alignment horizontal="center" vertical="center" wrapText="1"/>
    </xf>
    <xf numFmtId="0" fontId="46" fillId="0" borderId="119" xfId="0" applyFont="1" applyFill="1" applyBorder="1" applyAlignment="1">
      <alignment horizontal="center" vertical="center" wrapText="1"/>
    </xf>
    <xf numFmtId="0" fontId="46" fillId="0" borderId="112" xfId="0" applyFont="1" applyFill="1" applyBorder="1" applyAlignment="1">
      <alignment horizontal="center" vertical="center"/>
    </xf>
    <xf numFmtId="0" fontId="46" fillId="0" borderId="27" xfId="0" applyFont="1" applyFill="1" applyBorder="1" applyAlignment="1">
      <alignment horizontal="center" vertical="center"/>
    </xf>
    <xf numFmtId="0" fontId="46" fillId="0" borderId="12" xfId="0" applyFont="1" applyFill="1" applyBorder="1" applyAlignment="1">
      <alignment horizontal="center" vertical="center"/>
    </xf>
    <xf numFmtId="0" fontId="46" fillId="0" borderId="7" xfId="0" applyFont="1" applyFill="1" applyBorder="1" applyAlignment="1">
      <alignment horizontal="center" vertical="center"/>
    </xf>
    <xf numFmtId="0" fontId="46" fillId="0" borderId="112" xfId="0" applyFont="1" applyFill="1" applyBorder="1" applyAlignment="1">
      <alignment horizontal="center" vertical="center" wrapText="1"/>
    </xf>
    <xf numFmtId="0" fontId="46" fillId="0" borderId="2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58" xfId="0" applyFont="1" applyFill="1" applyBorder="1" applyAlignment="1">
      <alignment horizontal="center" vertical="center" wrapText="1"/>
    </xf>
    <xf numFmtId="0" fontId="46" fillId="0" borderId="96" xfId="0" applyFont="1" applyFill="1" applyBorder="1" applyAlignment="1">
      <alignment horizontal="center" vertical="center" wrapText="1"/>
    </xf>
    <xf numFmtId="0" fontId="46" fillId="0" borderId="117" xfId="0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46" fillId="0" borderId="60" xfId="0" applyFont="1" applyFill="1" applyBorder="1" applyAlignment="1">
      <alignment horizontal="center" vertical="center" wrapText="1"/>
    </xf>
    <xf numFmtId="0" fontId="46" fillId="0" borderId="18" xfId="0" applyFont="1" applyFill="1" applyBorder="1" applyAlignment="1">
      <alignment horizontal="center" vertical="center" wrapText="1"/>
    </xf>
    <xf numFmtId="0" fontId="46" fillId="0" borderId="13" xfId="0" applyFont="1" applyFill="1" applyBorder="1" applyAlignment="1">
      <alignment horizontal="center" vertical="center" wrapText="1"/>
    </xf>
    <xf numFmtId="0" fontId="46" fillId="0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/>
    </xf>
    <xf numFmtId="0" fontId="48" fillId="0" borderId="121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/>
    </xf>
    <xf numFmtId="0" fontId="48" fillId="0" borderId="17" xfId="0" applyFont="1" applyFill="1" applyBorder="1" applyAlignment="1">
      <alignment horizontal="center" vertical="center"/>
    </xf>
    <xf numFmtId="0" fontId="48" fillId="0" borderId="27" xfId="0" applyFont="1" applyFill="1" applyBorder="1" applyAlignment="1">
      <alignment horizontal="center" vertical="center"/>
    </xf>
    <xf numFmtId="0" fontId="50" fillId="0" borderId="53" xfId="0" applyFont="1" applyFill="1" applyBorder="1" applyAlignment="1">
      <alignment horizontal="center" vertical="center"/>
    </xf>
    <xf numFmtId="0" fontId="50" fillId="0" borderId="106" xfId="0" applyFont="1" applyFill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65" xfId="0" applyFont="1" applyBorder="1" applyAlignment="1">
      <alignment horizontal="center" vertical="center"/>
    </xf>
    <xf numFmtId="0" fontId="50" fillId="0" borderId="22" xfId="0" applyFont="1" applyFill="1" applyBorder="1" applyAlignment="1">
      <alignment horizontal="center" vertical="center"/>
    </xf>
    <xf numFmtId="0" fontId="48" fillId="0" borderId="107" xfId="0" applyFont="1" applyFill="1" applyBorder="1" applyAlignment="1">
      <alignment horizontal="center" vertical="center"/>
    </xf>
    <xf numFmtId="0" fontId="48" fillId="0" borderId="108" xfId="0" applyFont="1" applyFill="1" applyBorder="1" applyAlignment="1">
      <alignment horizontal="center" vertical="center"/>
    </xf>
    <xf numFmtId="0" fontId="48" fillId="0" borderId="109" xfId="0" applyFont="1" applyFill="1" applyBorder="1" applyAlignment="1">
      <alignment horizontal="center" vertical="center"/>
    </xf>
    <xf numFmtId="0" fontId="48" fillId="0" borderId="110" xfId="0" applyFont="1" applyFill="1" applyBorder="1" applyAlignment="1">
      <alignment horizontal="center" vertical="center"/>
    </xf>
    <xf numFmtId="0" fontId="50" fillId="0" borderId="111" xfId="0" applyFont="1" applyFill="1" applyBorder="1" applyAlignment="1">
      <alignment horizontal="center" vertical="center"/>
    </xf>
    <xf numFmtId="0" fontId="50" fillId="0" borderId="57" xfId="0" applyFont="1" applyFill="1" applyBorder="1" applyAlignment="1">
      <alignment horizontal="center" vertical="center"/>
    </xf>
    <xf numFmtId="0" fontId="50" fillId="0" borderId="3" xfId="0" applyFont="1" applyFill="1" applyBorder="1" applyAlignment="1">
      <alignment horizontal="center" vertical="center"/>
    </xf>
    <xf numFmtId="0" fontId="50" fillId="0" borderId="83" xfId="0" applyFont="1" applyFill="1" applyBorder="1" applyAlignment="1">
      <alignment horizontal="center" vertical="center"/>
    </xf>
    <xf numFmtId="0" fontId="50" fillId="0" borderId="115" xfId="0" applyFont="1" applyFill="1" applyBorder="1" applyAlignment="1">
      <alignment horizontal="center" vertical="center"/>
    </xf>
    <xf numFmtId="0" fontId="50" fillId="0" borderId="116" xfId="0" applyFont="1" applyFill="1" applyBorder="1" applyAlignment="1">
      <alignment horizontal="center" vertical="center"/>
    </xf>
    <xf numFmtId="0" fontId="50" fillId="0" borderId="103" xfId="0" applyFont="1" applyFill="1" applyBorder="1" applyAlignment="1">
      <alignment horizontal="center" vertical="center"/>
    </xf>
    <xf numFmtId="0" fontId="48" fillId="0" borderId="47" xfId="0" applyFont="1" applyBorder="1" applyAlignment="1">
      <alignment horizontal="center" vertical="center"/>
    </xf>
    <xf numFmtId="0" fontId="48" fillId="0" borderId="35" xfId="0" applyFont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 wrapText="1"/>
    </xf>
    <xf numFmtId="0" fontId="48" fillId="0" borderId="26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/>
    </xf>
    <xf numFmtId="0" fontId="0" fillId="4" borderId="60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48" fillId="0" borderId="113" xfId="0" applyFont="1" applyBorder="1" applyAlignment="1">
      <alignment horizontal="center" vertical="center"/>
    </xf>
    <xf numFmtId="0" fontId="48" fillId="0" borderId="30" xfId="0" applyFont="1" applyBorder="1" applyAlignment="1">
      <alignment horizontal="center" vertical="center"/>
    </xf>
    <xf numFmtId="0" fontId="48" fillId="0" borderId="32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8" fillId="0" borderId="112" xfId="0" applyFont="1" applyFill="1" applyBorder="1" applyAlignment="1">
      <alignment horizontal="center" vertical="center"/>
    </xf>
    <xf numFmtId="0" fontId="48" fillId="0" borderId="120" xfId="0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horizontal="center"/>
    </xf>
    <xf numFmtId="0" fontId="24" fillId="0" borderId="99" xfId="0" applyFont="1" applyBorder="1" applyAlignment="1">
      <alignment horizontal="center"/>
    </xf>
    <xf numFmtId="0" fontId="24" fillId="0" borderId="60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06" xfId="0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4" fillId="4" borderId="33" xfId="0" applyFont="1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9" borderId="50" xfId="0" applyFill="1" applyBorder="1" applyAlignment="1">
      <alignment horizontal="center"/>
    </xf>
    <xf numFmtId="0" fontId="0" fillId="9" borderId="59" xfId="0" applyFont="1" applyFill="1" applyBorder="1" applyAlignment="1">
      <alignment horizontal="center"/>
    </xf>
    <xf numFmtId="0" fontId="0" fillId="9" borderId="105" xfId="0" applyFont="1" applyFill="1" applyBorder="1" applyAlignment="1">
      <alignment horizontal="center"/>
    </xf>
    <xf numFmtId="0" fontId="0" fillId="9" borderId="65" xfId="0" applyFont="1" applyFill="1" applyBorder="1" applyAlignment="1">
      <alignment horizontal="center"/>
    </xf>
    <xf numFmtId="0" fontId="0" fillId="9" borderId="101" xfId="0" applyFill="1" applyBorder="1" applyAlignment="1">
      <alignment horizontal="center" vertical="center"/>
    </xf>
    <xf numFmtId="0" fontId="0" fillId="9" borderId="24" xfId="0" applyFill="1" applyBorder="1" applyAlignment="1">
      <alignment horizontal="center" vertical="center"/>
    </xf>
    <xf numFmtId="0" fontId="0" fillId="9" borderId="102" xfId="0" applyFill="1" applyBorder="1" applyAlignment="1">
      <alignment horizontal="center" vertical="center"/>
    </xf>
    <xf numFmtId="0" fontId="0" fillId="9" borderId="16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82" xfId="0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19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0" borderId="18" xfId="0" applyBorder="1" applyAlignment="1">
      <alignment horizontal="left"/>
    </xf>
    <xf numFmtId="0" fontId="8" fillId="5" borderId="40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0" fontId="0" fillId="0" borderId="30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9" borderId="35" xfId="0" applyFill="1" applyBorder="1" applyAlignment="1">
      <alignment horizontal="center"/>
    </xf>
    <xf numFmtId="0" fontId="0" fillId="0" borderId="35" xfId="0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5" fillId="5" borderId="22" xfId="0" applyFont="1" applyFill="1" applyBorder="1" applyAlignment="1">
      <alignment horizontal="center"/>
    </xf>
    <xf numFmtId="0" fontId="25" fillId="5" borderId="2" xfId="0" applyFont="1" applyFill="1" applyBorder="1" applyAlignment="1">
      <alignment horizontal="center"/>
    </xf>
    <xf numFmtId="0" fontId="24" fillId="0" borderId="103" xfId="0" applyFont="1" applyBorder="1" applyAlignment="1">
      <alignment horizontal="center"/>
    </xf>
    <xf numFmtId="0" fontId="24" fillId="0" borderId="9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3" fillId="9" borderId="13" xfId="0" applyFont="1" applyFill="1" applyBorder="1" applyAlignment="1">
      <alignment horizontal="center" vertical="center" wrapText="1"/>
    </xf>
    <xf numFmtId="0" fontId="23" fillId="9" borderId="1" xfId="0" applyFont="1" applyFill="1" applyBorder="1" applyAlignment="1">
      <alignment horizontal="center" vertical="center" wrapText="1"/>
    </xf>
    <xf numFmtId="0" fontId="23" fillId="9" borderId="13" xfId="0" applyFont="1" applyFill="1" applyBorder="1" applyAlignment="1">
      <alignment horizontal="center"/>
    </xf>
    <xf numFmtId="0" fontId="23" fillId="9" borderId="12" xfId="0" applyFont="1" applyFill="1" applyBorder="1" applyAlignment="1">
      <alignment horizontal="center" wrapText="1"/>
    </xf>
    <xf numFmtId="0" fontId="23" fillId="9" borderId="14" xfId="0" applyFont="1" applyFill="1" applyBorder="1" applyAlignment="1">
      <alignment horizontal="center" wrapText="1"/>
    </xf>
    <xf numFmtId="0" fontId="0" fillId="9" borderId="19" xfId="0" applyFill="1" applyBorder="1" applyAlignment="1">
      <alignment horizontal="center" wrapText="1"/>
    </xf>
    <xf numFmtId="0" fontId="26" fillId="2" borderId="22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0" fillId="0" borderId="55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5" xfId="0" applyBorder="1" applyAlignment="1">
      <alignment horizontal="left"/>
    </xf>
    <xf numFmtId="0" fontId="4" fillId="9" borderId="82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0" fontId="25" fillId="5" borderId="80" xfId="0" applyFont="1" applyFill="1" applyBorder="1" applyAlignment="1">
      <alignment horizontal="center"/>
    </xf>
    <xf numFmtId="0" fontId="25" fillId="5" borderId="114" xfId="0" applyFont="1" applyFill="1" applyBorder="1" applyAlignment="1">
      <alignment horizontal="center"/>
    </xf>
    <xf numFmtId="0" fontId="0" fillId="4" borderId="103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4" borderId="90" xfId="0" applyFill="1" applyBorder="1" applyAlignment="1">
      <alignment horizontal="center"/>
    </xf>
    <xf numFmtId="0" fontId="0" fillId="4" borderId="103" xfId="0" applyFont="1" applyFill="1" applyBorder="1" applyAlignment="1">
      <alignment horizontal="center"/>
    </xf>
    <xf numFmtId="0" fontId="0" fillId="4" borderId="33" xfId="0" applyFont="1" applyFill="1" applyBorder="1" applyAlignment="1">
      <alignment horizontal="center"/>
    </xf>
    <xf numFmtId="0" fontId="0" fillId="4" borderId="20" xfId="0" applyFont="1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23" fillId="9" borderId="13" xfId="0" applyFont="1" applyFill="1" applyBorder="1" applyAlignment="1">
      <alignment horizontal="center" wrapText="1"/>
    </xf>
    <xf numFmtId="0" fontId="23" fillId="9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4" fillId="9" borderId="18" xfId="0" applyFont="1" applyFill="1" applyBorder="1" applyAlignment="1">
      <alignment horizontal="center" vertical="center" wrapText="1"/>
    </xf>
    <xf numFmtId="0" fontId="4" fillId="9" borderId="102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82" xfId="0" applyFont="1" applyFill="1" applyBorder="1" applyAlignment="1">
      <alignment horizontal="center" vertical="center" wrapText="1"/>
    </xf>
    <xf numFmtId="0" fontId="6" fillId="9" borderId="19" xfId="0" applyFont="1" applyFill="1" applyBorder="1" applyAlignment="1">
      <alignment horizontal="center" vertical="center" wrapText="1"/>
    </xf>
    <xf numFmtId="0" fontId="6" fillId="9" borderId="101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13" xfId="0" applyFont="1" applyBorder="1" applyAlignment="1">
      <alignment horizontal="center" vertical="center" wrapText="1"/>
    </xf>
    <xf numFmtId="0" fontId="46" fillId="0" borderId="50" xfId="0" applyFont="1" applyBorder="1" applyAlignment="1">
      <alignment horizontal="center" vertical="center" wrapText="1"/>
    </xf>
    <xf numFmtId="0" fontId="0" fillId="9" borderId="40" xfId="0" applyFill="1" applyBorder="1" applyAlignment="1">
      <alignment horizontal="center" vertical="center"/>
    </xf>
    <xf numFmtId="0" fontId="0" fillId="9" borderId="0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0" fontId="0" fillId="9" borderId="100" xfId="0" applyFill="1" applyBorder="1" applyAlignment="1">
      <alignment horizontal="center" vertical="center"/>
    </xf>
    <xf numFmtId="0" fontId="0" fillId="9" borderId="42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wrapText="1"/>
    </xf>
    <xf numFmtId="0" fontId="28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29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wrapText="1"/>
    </xf>
    <xf numFmtId="0" fontId="42" fillId="0" borderId="0" xfId="0" applyFont="1" applyAlignment="1">
      <alignment horizontal="left" vertical="center" wrapText="1"/>
    </xf>
    <xf numFmtId="49" fontId="0" fillId="0" borderId="0" xfId="0" applyNumberFormat="1"/>
    <xf numFmtId="0" fontId="0" fillId="0" borderId="0" xfId="0"/>
    <xf numFmtId="14" fontId="0" fillId="0" borderId="0" xfId="0" applyNumberFormat="1"/>
    <xf numFmtId="0" fontId="12" fillId="11" borderId="1" xfId="0" applyFont="1" applyFill="1" applyBorder="1" applyAlignment="1" applyProtection="1">
      <alignment horizontal="center" vertical="center"/>
    </xf>
    <xf numFmtId="0" fontId="12" fillId="11" borderId="15" xfId="0" applyFont="1" applyFill="1" applyBorder="1" applyAlignment="1" applyProtection="1">
      <alignment horizontal="center" vertical="center"/>
    </xf>
    <xf numFmtId="0" fontId="12" fillId="11" borderId="1" xfId="0" applyFont="1" applyFill="1" applyBorder="1" applyAlignment="1" applyProtection="1">
      <alignment horizontal="center" vertical="center"/>
      <protection hidden="1"/>
    </xf>
    <xf numFmtId="0" fontId="12" fillId="11" borderId="15" xfId="0" applyFont="1" applyFill="1" applyBorder="1" applyAlignment="1" applyProtection="1">
      <alignment horizontal="center" vertical="center"/>
      <protection hidden="1"/>
    </xf>
    <xf numFmtId="0" fontId="45" fillId="7" borderId="19" xfId="0" applyFont="1" applyFill="1" applyBorder="1" applyAlignment="1" applyProtection="1">
      <alignment horizontal="center" vertical="center"/>
      <protection hidden="1"/>
    </xf>
    <xf numFmtId="0" fontId="45" fillId="7" borderId="18" xfId="0" applyFont="1" applyFill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/>
      <protection hidden="1"/>
    </xf>
  </cellXfs>
  <cellStyles count="2">
    <cellStyle name="Денежный" xfId="1" builtinId="4"/>
    <cellStyle name="Обычный" xfId="0" builtinId="0"/>
  </cellStyles>
  <dxfs count="516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 val="0"/>
        <i/>
        <condense val="0"/>
        <extend val="0"/>
        <color indexed="10"/>
      </font>
      <fill>
        <patternFill patternType="solid">
          <bgColor indexed="51"/>
        </patternFill>
      </fill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 val="0"/>
        <i/>
        <condense val="0"/>
        <extend val="0"/>
        <color indexed="10"/>
      </font>
      <fill>
        <patternFill patternType="solid">
          <bgColor indexed="5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  <fill>
        <patternFill patternType="none">
          <bgColor indexed="65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0000FF"/>
      </font>
      <border>
        <vertical/>
        <horizontal/>
      </border>
    </dxf>
    <dxf>
      <font>
        <color rgb="FF0000FF"/>
      </font>
      <border>
        <vertical/>
        <horizontal/>
      </border>
    </dxf>
    <dxf>
      <font>
        <color rgb="FF0000FF"/>
      </font>
      <border>
        <vertical/>
        <horizontal/>
      </border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0000FF"/>
      </font>
    </dxf>
    <dxf>
      <font>
        <condense val="0"/>
        <extend val="0"/>
        <color indexed="12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5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theme="7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rgb="FFFFC000"/>
        </patternFill>
      </fill>
    </dxf>
    <dxf>
      <font>
        <color rgb="FFFF0000"/>
      </font>
      <fill>
        <patternFill>
          <bgColor rgb="FFFFC000"/>
        </patternFill>
      </fill>
    </dxf>
    <dxf>
      <font>
        <color theme="5"/>
      </font>
    </dxf>
    <dxf>
      <font>
        <color rgb="FFFF0000"/>
      </font>
    </dxf>
    <dxf>
      <font>
        <color theme="5"/>
      </font>
    </dxf>
    <dxf>
      <font>
        <color rgb="FFFF0000"/>
      </font>
    </dxf>
    <dxf>
      <font>
        <color theme="5"/>
      </font>
    </dxf>
    <dxf>
      <font>
        <color rgb="FFFF0000"/>
      </font>
    </dxf>
    <dxf>
      <font>
        <color theme="5"/>
      </font>
    </dxf>
    <dxf>
      <font>
        <color rgb="FFFF0000"/>
      </font>
    </dxf>
    <dxf>
      <font>
        <color theme="5"/>
      </font>
    </dxf>
    <dxf>
      <font>
        <color rgb="FFFF0000"/>
      </font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ill>
        <patternFill>
          <bgColor rgb="FFCC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ndense val="0"/>
        <extend val="0"/>
        <color auto="1"/>
      </font>
      <fill>
        <patternFill>
          <bgColor indexed="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color indexed="10"/>
      </font>
      <border>
        <left style="thin">
          <color indexed="10"/>
        </left>
        <right style="thin">
          <color indexed="10"/>
        </right>
        <top style="thin">
          <color indexed="10"/>
        </top>
        <bottom style="thin">
          <color indexed="10"/>
        </bottom>
      </border>
    </dxf>
    <dxf>
      <font>
        <b val="0"/>
        <i/>
        <condense val="0"/>
        <extend val="0"/>
        <color indexed="10"/>
      </font>
      <fill>
        <patternFill patternType="solid">
          <bgColor indexed="51"/>
        </patternFill>
      </fill>
    </dxf>
    <dxf>
      <font>
        <b val="0"/>
        <i val="0"/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condense val="0"/>
        <extend val="0"/>
        <color indexed="1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condense val="0"/>
        <extend val="0"/>
        <color indexed="10"/>
      </font>
      <fill>
        <patternFill patternType="solid">
          <bgColor indexed="51"/>
        </patternFill>
      </fill>
    </dxf>
  </dxfs>
  <tableStyles count="0" defaultTableStyle="TableStyleMedium2" defaultPivotStyle="PivotStyleLight16"/>
  <colors>
    <mruColors>
      <color rgb="FFCCFFCC"/>
      <color rgb="FF99CCFF"/>
      <color rgb="FF0000FF"/>
      <color rgb="FF66CCFF"/>
      <color rgb="FF6699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</xdr:col>
          <xdr:colOff>9525</xdr:colOff>
          <xdr:row>18</xdr:row>
          <xdr:rowOff>123825</xdr:rowOff>
        </xdr:from>
        <xdr:to>
          <xdr:col>96</xdr:col>
          <xdr:colOff>1000125</xdr:colOff>
          <xdr:row>51</xdr:row>
          <xdr:rowOff>9525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</xdr:col>
          <xdr:colOff>104775</xdr:colOff>
          <xdr:row>51</xdr:row>
          <xdr:rowOff>19050</xdr:rowOff>
        </xdr:from>
        <xdr:to>
          <xdr:col>97</xdr:col>
          <xdr:colOff>104775</xdr:colOff>
          <xdr:row>89</xdr:row>
          <xdr:rowOff>95250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</xdr:col>
          <xdr:colOff>57150</xdr:colOff>
          <xdr:row>90</xdr:row>
          <xdr:rowOff>9525</xdr:rowOff>
        </xdr:from>
        <xdr:to>
          <xdr:col>94</xdr:col>
          <xdr:colOff>685800</xdr:colOff>
          <xdr:row>133</xdr:row>
          <xdr:rowOff>57150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0</xdr:rowOff>
        </xdr:from>
        <xdr:to>
          <xdr:col>9</xdr:col>
          <xdr:colOff>590550</xdr:colOff>
          <xdr:row>76</xdr:row>
          <xdr:rowOff>76200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79</xdr:row>
          <xdr:rowOff>0</xdr:rowOff>
        </xdr:from>
        <xdr:to>
          <xdr:col>9</xdr:col>
          <xdr:colOff>590550</xdr:colOff>
          <xdr:row>124</xdr:row>
          <xdr:rowOff>95250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5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4.png"/><Relationship Id="rId4" Type="http://schemas.openxmlformats.org/officeDocument/2006/relationships/oleObject" Target="../embeddings/oleObject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CJ137"/>
  <sheetViews>
    <sheetView tabSelected="1" zoomScale="85" zoomScaleNormal="85" workbookViewId="0">
      <selection activeCell="B39" sqref="B39:O39"/>
    </sheetView>
  </sheetViews>
  <sheetFormatPr defaultRowHeight="12.75" x14ac:dyDescent="0.2"/>
  <cols>
    <col min="1" max="1" width="3.7109375" style="73" customWidth="1"/>
    <col min="2" max="2" width="35.7109375" style="73" customWidth="1"/>
    <col min="3" max="3" width="19.7109375" style="76" customWidth="1"/>
    <col min="4" max="4" width="7" style="76" customWidth="1"/>
    <col min="5" max="5" width="21.85546875" style="73" customWidth="1"/>
    <col min="6" max="6" width="7.7109375" style="73" customWidth="1"/>
    <col min="7" max="7" width="8.7109375" style="73" customWidth="1"/>
    <col min="8" max="8" width="11.42578125" style="73" customWidth="1"/>
    <col min="9" max="9" width="5.85546875" style="73" customWidth="1"/>
    <col min="10" max="10" width="7" style="73" customWidth="1"/>
    <col min="11" max="11" width="6.7109375" style="73" customWidth="1"/>
    <col min="12" max="12" width="20.7109375" style="73" customWidth="1"/>
    <col min="13" max="13" width="11.7109375" style="73" customWidth="1"/>
    <col min="14" max="14" width="10.7109375" style="73" customWidth="1"/>
    <col min="15" max="15" width="9.7109375" style="73" customWidth="1"/>
    <col min="16" max="16" width="122.7109375" style="317" customWidth="1"/>
    <col min="17" max="17" width="10.7109375" style="487" customWidth="1"/>
    <col min="18" max="18" width="26.85546875" style="317" hidden="1" customWidth="1"/>
    <col min="19" max="19" width="16.7109375" style="73" hidden="1" customWidth="1"/>
    <col min="20" max="23" width="13.7109375" style="73" hidden="1" customWidth="1"/>
    <col min="24" max="24" width="35.28515625" style="73" hidden="1" customWidth="1"/>
    <col min="25" max="44" width="9.7109375" style="73" hidden="1" customWidth="1"/>
    <col min="45" max="45" width="10.7109375" style="73" hidden="1" customWidth="1"/>
    <col min="46" max="46" width="21.42578125" style="73" hidden="1" customWidth="1"/>
    <col min="47" max="66" width="9.7109375" style="73" hidden="1" customWidth="1"/>
    <col min="67" max="67" width="10.7109375" style="73" hidden="1" customWidth="1"/>
    <col min="68" max="68" width="22.7109375" style="73" hidden="1" customWidth="1"/>
    <col min="69" max="88" width="9.7109375" style="73" hidden="1" customWidth="1"/>
    <col min="89" max="16384" width="9.140625" style="73"/>
  </cols>
  <sheetData>
    <row r="1" spans="1:88" ht="18" x14ac:dyDescent="0.2">
      <c r="B1" s="1098" t="s">
        <v>0</v>
      </c>
      <c r="C1" s="1099"/>
      <c r="D1" s="1099"/>
      <c r="E1" s="1099"/>
      <c r="F1" s="1099"/>
      <c r="G1" s="1099"/>
      <c r="H1" s="1099"/>
      <c r="I1" s="1099"/>
      <c r="J1" s="1099"/>
      <c r="K1" s="1108" t="str">
        <f ca="1">IF(C41="ЩР",C41,C41&amp;"-06")&amp;"-"&amp;D!$H$1&amp;"-"&amp;D!$E$1&amp;"-"&amp;D!$L$1&amp;D!J1&amp;"-"&amp;C42</f>
        <v>ЩР-250-01-14-УХЛ3</v>
      </c>
      <c r="L1" s="1108"/>
      <c r="M1" s="1108"/>
      <c r="N1" s="1108"/>
      <c r="O1" s="1109"/>
      <c r="P1" s="477"/>
      <c r="Q1" s="477"/>
      <c r="R1" s="477"/>
      <c r="S1" s="68"/>
      <c r="T1" s="68"/>
      <c r="U1" s="69"/>
      <c r="V1" s="70"/>
      <c r="W1" s="70"/>
      <c r="X1" s="68"/>
      <c r="Y1" s="70"/>
      <c r="Z1" s="71"/>
      <c r="AA1" s="71"/>
      <c r="AB1" s="72"/>
    </row>
    <row r="2" spans="1:88" ht="18" x14ac:dyDescent="0.2">
      <c r="B2" s="1106" t="s">
        <v>1</v>
      </c>
      <c r="C2" s="1107"/>
      <c r="D2" s="1107"/>
      <c r="E2" s="1107"/>
      <c r="F2" s="1107"/>
      <c r="G2" s="1107"/>
      <c r="H2" s="1107"/>
      <c r="I2" s="1107"/>
      <c r="J2" s="1107"/>
      <c r="K2" s="1110"/>
      <c r="L2" s="1110"/>
      <c r="M2" s="1110"/>
      <c r="N2" s="1110"/>
      <c r="O2" s="1111"/>
      <c r="P2" s="312"/>
      <c r="Q2" s="312"/>
      <c r="R2" s="312"/>
      <c r="S2" s="68"/>
      <c r="T2" s="68"/>
      <c r="U2" s="72"/>
      <c r="V2" s="71"/>
      <c r="W2" s="71"/>
      <c r="X2" s="71"/>
      <c r="Y2" s="71"/>
      <c r="Z2" s="72"/>
      <c r="AA2" s="71"/>
      <c r="AB2" s="71"/>
    </row>
    <row r="3" spans="1:88" ht="18" x14ac:dyDescent="0.2">
      <c r="B3" s="1106" t="s">
        <v>2</v>
      </c>
      <c r="C3" s="1107"/>
      <c r="D3" s="1107"/>
      <c r="E3" s="1107"/>
      <c r="F3" s="1107"/>
      <c r="G3" s="1107"/>
      <c r="H3" s="1107"/>
      <c r="I3" s="1107"/>
      <c r="J3" s="1107"/>
      <c r="K3" s="1102" t="s">
        <v>5</v>
      </c>
      <c r="L3" s="1102"/>
      <c r="M3" s="1102"/>
      <c r="N3" s="1102"/>
      <c r="O3" s="1103"/>
      <c r="P3" s="312" t="str">
        <f ca="1">Проверки!$DJ$4</f>
        <v/>
      </c>
      <c r="Q3" s="312"/>
      <c r="R3" s="312"/>
      <c r="S3" s="68"/>
      <c r="T3" s="68"/>
      <c r="U3" s="72"/>
      <c r="V3" s="71"/>
      <c r="W3" s="71"/>
      <c r="X3" s="71"/>
      <c r="Y3" s="71"/>
      <c r="Z3" s="71"/>
      <c r="AA3" s="71"/>
      <c r="AB3" s="71"/>
    </row>
    <row r="4" spans="1:88" ht="18" x14ac:dyDescent="0.2">
      <c r="B4" s="1106" t="s">
        <v>3</v>
      </c>
      <c r="C4" s="1107"/>
      <c r="D4" s="1107"/>
      <c r="E4" s="1107"/>
      <c r="F4" s="1107"/>
      <c r="G4" s="1107"/>
      <c r="H4" s="1107"/>
      <c r="I4" s="1107"/>
      <c r="J4" s="1107"/>
      <c r="K4" s="1112">
        <v>10</v>
      </c>
      <c r="L4" s="1112"/>
      <c r="M4" s="1112"/>
      <c r="N4" s="1112"/>
      <c r="O4" s="1113"/>
      <c r="P4" s="312"/>
      <c r="Q4" s="312"/>
      <c r="R4" s="312"/>
      <c r="S4" s="68"/>
      <c r="T4" s="68"/>
      <c r="U4" s="72"/>
      <c r="V4" s="71"/>
      <c r="W4" s="71"/>
      <c r="X4" s="71"/>
      <c r="Y4" s="71"/>
      <c r="Z4" s="71"/>
      <c r="AA4" s="71"/>
      <c r="AB4" s="71"/>
    </row>
    <row r="5" spans="1:88" ht="18" x14ac:dyDescent="0.2">
      <c r="B5" s="1106" t="s">
        <v>4</v>
      </c>
      <c r="C5" s="1107"/>
      <c r="D5" s="1107"/>
      <c r="E5" s="1107"/>
      <c r="F5" s="1107"/>
      <c r="G5" s="1107"/>
      <c r="H5" s="1107"/>
      <c r="I5" s="1107"/>
      <c r="J5" s="1107"/>
      <c r="K5" s="1100" t="str">
        <f ca="1">D!$R$1&amp;"x"&amp;D!$S$1&amp;"x"&amp;D!$T$1</f>
        <v>600x400x200</v>
      </c>
      <c r="L5" s="1100"/>
      <c r="M5" s="1100"/>
      <c r="N5" s="1100"/>
      <c r="O5" s="1101"/>
      <c r="P5" s="1038" t="str">
        <f ca="1">Проверки!$CO$4</f>
        <v/>
      </c>
      <c r="Q5" s="477"/>
      <c r="R5" s="312"/>
      <c r="S5" s="68"/>
      <c r="T5" s="68"/>
      <c r="U5" s="72"/>
      <c r="V5" s="71"/>
      <c r="W5" s="71"/>
      <c r="X5" s="71"/>
      <c r="Y5" s="71"/>
      <c r="Z5" s="71"/>
      <c r="AA5" s="71"/>
      <c r="AB5" s="71"/>
    </row>
    <row r="6" spans="1:88" ht="36" customHeight="1" x14ac:dyDescent="0.2">
      <c r="B6" s="1104" t="s">
        <v>313</v>
      </c>
      <c r="C6" s="1105"/>
      <c r="D6" s="1105"/>
      <c r="E6" s="1105"/>
      <c r="F6" s="1105"/>
      <c r="G6" s="1105"/>
      <c r="H6" s="1105"/>
      <c r="I6" s="1105"/>
      <c r="J6" s="1105"/>
      <c r="K6" s="1102" t="s">
        <v>303</v>
      </c>
      <c r="L6" s="1102"/>
      <c r="M6" s="1102"/>
      <c r="N6" s="1102"/>
      <c r="O6" s="1103"/>
      <c r="P6" s="312"/>
      <c r="Q6" s="312"/>
      <c r="R6" s="312"/>
      <c r="S6" s="68"/>
      <c r="T6" s="74"/>
      <c r="U6" s="72"/>
      <c r="V6" s="71"/>
      <c r="W6" s="71"/>
      <c r="X6" s="71"/>
      <c r="Y6" s="71"/>
      <c r="Z6" s="71"/>
      <c r="AA6" s="71"/>
      <c r="AB6" s="71"/>
    </row>
    <row r="7" spans="1:88" ht="18" hidden="1" x14ac:dyDescent="0.25">
      <c r="B7" s="1114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  <c r="O7" s="1116"/>
      <c r="P7" s="313"/>
      <c r="Q7" s="313"/>
      <c r="R7" s="313"/>
      <c r="S7" s="75"/>
      <c r="T7" s="75"/>
      <c r="AA7" s="71"/>
      <c r="AB7" s="71"/>
    </row>
    <row r="8" spans="1:88" ht="18" customHeight="1" x14ac:dyDescent="0.25">
      <c r="B8" s="1119" t="s">
        <v>9</v>
      </c>
      <c r="C8" s="1093" t="s">
        <v>134</v>
      </c>
      <c r="D8" s="1093" t="s">
        <v>11</v>
      </c>
      <c r="E8" s="1135" t="s">
        <v>12</v>
      </c>
      <c r="F8" s="1093" t="s">
        <v>13</v>
      </c>
      <c r="G8" s="1093" t="s">
        <v>14</v>
      </c>
      <c r="H8" s="1093" t="s">
        <v>579</v>
      </c>
      <c r="I8" s="1093" t="s">
        <v>309</v>
      </c>
      <c r="J8" s="1093" t="s">
        <v>310</v>
      </c>
      <c r="K8" s="1093" t="s">
        <v>447</v>
      </c>
      <c r="L8" s="1132" t="s">
        <v>15</v>
      </c>
      <c r="M8" s="1133"/>
      <c r="N8" s="1134"/>
      <c r="O8" s="1117" t="s">
        <v>286</v>
      </c>
      <c r="P8" s="314"/>
      <c r="Q8" s="313"/>
      <c r="R8" s="314"/>
      <c r="X8" s="1140" t="s">
        <v>450</v>
      </c>
      <c r="Y8" s="1140"/>
      <c r="Z8" s="1140"/>
      <c r="AA8" s="1140"/>
      <c r="AB8" s="1140"/>
      <c r="AC8" s="1140"/>
      <c r="AD8" s="1140"/>
      <c r="AE8" s="1140"/>
      <c r="AF8" s="1140"/>
      <c r="AG8" s="1140"/>
      <c r="AH8" s="1140"/>
      <c r="AI8" s="1140"/>
      <c r="AJ8" s="1140"/>
      <c r="AK8" s="1140"/>
      <c r="AL8" s="1140"/>
      <c r="AM8" s="1140"/>
      <c r="AN8" s="1140"/>
      <c r="AO8" s="1140"/>
      <c r="AP8" s="1140"/>
      <c r="AQ8" s="1140"/>
      <c r="AR8" s="1140"/>
      <c r="AS8" s="82"/>
      <c r="AT8" s="1137" t="s">
        <v>836</v>
      </c>
      <c r="AU8" s="1142"/>
      <c r="AV8" s="1142"/>
      <c r="AW8" s="1142"/>
      <c r="AX8" s="1142"/>
      <c r="AY8" s="1142"/>
      <c r="AZ8" s="1142"/>
      <c r="BA8" s="1142"/>
      <c r="BB8" s="1142"/>
      <c r="BC8" s="1142"/>
      <c r="BD8" s="1142"/>
      <c r="BE8" s="1142"/>
      <c r="BF8" s="1142"/>
      <c r="BG8" s="1142"/>
      <c r="BH8" s="1142"/>
      <c r="BI8" s="1142"/>
      <c r="BJ8" s="1142"/>
      <c r="BK8" s="1142"/>
      <c r="BL8" s="1142"/>
      <c r="BM8" s="1142"/>
      <c r="BN8" s="1142"/>
      <c r="BO8" s="82"/>
      <c r="BP8" s="1137" t="s">
        <v>860</v>
      </c>
      <c r="BQ8" s="1137"/>
      <c r="BR8" s="1137"/>
      <c r="BS8" s="1137"/>
      <c r="BT8" s="1137"/>
      <c r="BU8" s="1137"/>
      <c r="BV8" s="1137"/>
      <c r="BW8" s="1137"/>
      <c r="BX8" s="1137"/>
      <c r="BY8" s="1137"/>
      <c r="BZ8" s="1137"/>
      <c r="CA8" s="1137"/>
      <c r="CB8" s="1137"/>
      <c r="CC8" s="1137"/>
      <c r="CD8" s="1137"/>
      <c r="CE8" s="1137"/>
      <c r="CF8" s="1137"/>
      <c r="CG8" s="1137"/>
      <c r="CH8" s="1137"/>
      <c r="CI8" s="1137"/>
      <c r="CJ8" s="1137"/>
    </row>
    <row r="9" spans="1:88" ht="36" customHeight="1" x14ac:dyDescent="0.25">
      <c r="B9" s="1119"/>
      <c r="C9" s="1093"/>
      <c r="D9" s="1093"/>
      <c r="E9" s="1136"/>
      <c r="F9" s="1093"/>
      <c r="G9" s="1093"/>
      <c r="H9" s="1093"/>
      <c r="I9" s="1093"/>
      <c r="J9" s="1093"/>
      <c r="K9" s="1093"/>
      <c r="L9" s="1010" t="s">
        <v>311</v>
      </c>
      <c r="M9" s="1010" t="s">
        <v>84</v>
      </c>
      <c r="N9" s="1010" t="s">
        <v>16</v>
      </c>
      <c r="O9" s="1118"/>
      <c r="P9" s="314"/>
      <c r="Q9" s="488"/>
      <c r="R9" s="1093" t="s">
        <v>863</v>
      </c>
      <c r="S9" s="1097" t="s">
        <v>232</v>
      </c>
      <c r="T9" s="1093" t="s">
        <v>1054</v>
      </c>
      <c r="U9" s="1093"/>
      <c r="V9" s="1093"/>
      <c r="W9" s="475"/>
      <c r="X9" s="1120" t="s">
        <v>482</v>
      </c>
      <c r="Y9" s="1120" t="s">
        <v>460</v>
      </c>
      <c r="Z9" s="1120"/>
      <c r="AA9" s="1120" t="s">
        <v>471</v>
      </c>
      <c r="AB9" s="1120"/>
      <c r="AC9" s="1120" t="s">
        <v>472</v>
      </c>
      <c r="AD9" s="1120"/>
      <c r="AE9" s="1120" t="s">
        <v>473</v>
      </c>
      <c r="AF9" s="1120"/>
      <c r="AG9" s="1120" t="s">
        <v>474</v>
      </c>
      <c r="AH9" s="1120"/>
      <c r="AI9" s="1120" t="s">
        <v>479</v>
      </c>
      <c r="AJ9" s="1120"/>
      <c r="AK9" s="1120" t="s">
        <v>478</v>
      </c>
      <c r="AL9" s="1120"/>
      <c r="AM9" s="1120" t="s">
        <v>477</v>
      </c>
      <c r="AN9" s="1120"/>
      <c r="AO9" s="1120" t="s">
        <v>476</v>
      </c>
      <c r="AP9" s="1120"/>
      <c r="AQ9" s="1120" t="s">
        <v>480</v>
      </c>
      <c r="AR9" s="1120"/>
      <c r="AS9" s="82"/>
      <c r="AT9" s="1141" t="s">
        <v>482</v>
      </c>
      <c r="AU9" s="1120" t="s">
        <v>460</v>
      </c>
      <c r="AV9" s="1120"/>
      <c r="AW9" s="1120" t="s">
        <v>471</v>
      </c>
      <c r="AX9" s="1120"/>
      <c r="AY9" s="1120" t="s">
        <v>472</v>
      </c>
      <c r="AZ9" s="1120"/>
      <c r="BA9" s="1120" t="s">
        <v>473</v>
      </c>
      <c r="BB9" s="1120"/>
      <c r="BC9" s="1120" t="s">
        <v>474</v>
      </c>
      <c r="BD9" s="1120"/>
      <c r="BE9" s="1120" t="s">
        <v>479</v>
      </c>
      <c r="BF9" s="1120"/>
      <c r="BG9" s="1120" t="s">
        <v>478</v>
      </c>
      <c r="BH9" s="1120"/>
      <c r="BI9" s="1120" t="s">
        <v>477</v>
      </c>
      <c r="BJ9" s="1120"/>
      <c r="BK9" s="1120" t="s">
        <v>476</v>
      </c>
      <c r="BL9" s="1120"/>
      <c r="BM9" s="1120" t="s">
        <v>480</v>
      </c>
      <c r="BN9" s="1120"/>
      <c r="BO9" s="82"/>
      <c r="BP9" s="1138" t="s">
        <v>482</v>
      </c>
      <c r="BQ9" s="1120" t="s">
        <v>460</v>
      </c>
      <c r="BR9" s="1120"/>
      <c r="BS9" s="1120" t="s">
        <v>471</v>
      </c>
      <c r="BT9" s="1120"/>
      <c r="BU9" s="1120" t="s">
        <v>472</v>
      </c>
      <c r="BV9" s="1120"/>
      <c r="BW9" s="1120" t="s">
        <v>473</v>
      </c>
      <c r="BX9" s="1120"/>
      <c r="BY9" s="1120" t="s">
        <v>474</v>
      </c>
      <c r="BZ9" s="1120"/>
      <c r="CA9" s="1120" t="s">
        <v>479</v>
      </c>
      <c r="CB9" s="1120"/>
      <c r="CC9" s="1120" t="s">
        <v>478</v>
      </c>
      <c r="CD9" s="1120"/>
      <c r="CE9" s="1120" t="s">
        <v>477</v>
      </c>
      <c r="CF9" s="1120"/>
      <c r="CG9" s="1120" t="s">
        <v>476</v>
      </c>
      <c r="CH9" s="1120"/>
      <c r="CI9" s="1120" t="s">
        <v>480</v>
      </c>
      <c r="CJ9" s="1120"/>
    </row>
    <row r="10" spans="1:88" ht="15" customHeight="1" x14ac:dyDescent="0.25">
      <c r="B10" s="1094" t="s">
        <v>118</v>
      </c>
      <c r="C10" s="1095"/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5"/>
      <c r="O10" s="1096"/>
      <c r="P10" s="314"/>
      <c r="Q10" s="488"/>
      <c r="R10" s="1093"/>
      <c r="S10" s="1097"/>
      <c r="T10" s="468" t="s">
        <v>802</v>
      </c>
      <c r="U10" s="468" t="s">
        <v>803</v>
      </c>
      <c r="V10" s="468" t="s">
        <v>804</v>
      </c>
      <c r="W10" s="475"/>
      <c r="X10" s="1120"/>
      <c r="Y10" s="482" t="s">
        <v>286</v>
      </c>
      <c r="Z10" s="482" t="s">
        <v>99</v>
      </c>
      <c r="AA10" s="482" t="s">
        <v>286</v>
      </c>
      <c r="AB10" s="482" t="s">
        <v>99</v>
      </c>
      <c r="AC10" s="482" t="s">
        <v>286</v>
      </c>
      <c r="AD10" s="482" t="s">
        <v>99</v>
      </c>
      <c r="AE10" s="482" t="s">
        <v>286</v>
      </c>
      <c r="AF10" s="482" t="s">
        <v>99</v>
      </c>
      <c r="AG10" s="482" t="s">
        <v>286</v>
      </c>
      <c r="AH10" s="482" t="s">
        <v>99</v>
      </c>
      <c r="AI10" s="482" t="s">
        <v>286</v>
      </c>
      <c r="AJ10" s="482" t="s">
        <v>99</v>
      </c>
      <c r="AK10" s="482" t="s">
        <v>286</v>
      </c>
      <c r="AL10" s="482" t="s">
        <v>99</v>
      </c>
      <c r="AM10" s="482" t="s">
        <v>286</v>
      </c>
      <c r="AN10" s="482" t="s">
        <v>99</v>
      </c>
      <c r="AO10" s="482" t="s">
        <v>286</v>
      </c>
      <c r="AP10" s="482" t="s">
        <v>99</v>
      </c>
      <c r="AQ10" s="482" t="s">
        <v>286</v>
      </c>
      <c r="AR10" s="482" t="s">
        <v>99</v>
      </c>
      <c r="AS10" s="82"/>
      <c r="AT10" s="1139"/>
      <c r="AU10" s="479" t="s">
        <v>286</v>
      </c>
      <c r="AV10" s="479" t="s">
        <v>99</v>
      </c>
      <c r="AW10" s="479" t="s">
        <v>286</v>
      </c>
      <c r="AX10" s="479" t="s">
        <v>99</v>
      </c>
      <c r="AY10" s="479" t="s">
        <v>286</v>
      </c>
      <c r="AZ10" s="479" t="s">
        <v>99</v>
      </c>
      <c r="BA10" s="479" t="s">
        <v>286</v>
      </c>
      <c r="BB10" s="479" t="s">
        <v>99</v>
      </c>
      <c r="BC10" s="479" t="s">
        <v>286</v>
      </c>
      <c r="BD10" s="479" t="s">
        <v>99</v>
      </c>
      <c r="BE10" s="479" t="s">
        <v>286</v>
      </c>
      <c r="BF10" s="479" t="s">
        <v>99</v>
      </c>
      <c r="BG10" s="479" t="s">
        <v>286</v>
      </c>
      <c r="BH10" s="479" t="s">
        <v>99</v>
      </c>
      <c r="BI10" s="479" t="s">
        <v>286</v>
      </c>
      <c r="BJ10" s="479" t="s">
        <v>99</v>
      </c>
      <c r="BK10" s="479" t="s">
        <v>286</v>
      </c>
      <c r="BL10" s="479" t="s">
        <v>99</v>
      </c>
      <c r="BM10" s="479" t="s">
        <v>286</v>
      </c>
      <c r="BN10" s="479" t="s">
        <v>99</v>
      </c>
      <c r="BO10" s="82"/>
      <c r="BP10" s="1139"/>
      <c r="BQ10" s="479" t="s">
        <v>286</v>
      </c>
      <c r="BR10" s="479" t="s">
        <v>99</v>
      </c>
      <c r="BS10" s="479" t="s">
        <v>286</v>
      </c>
      <c r="BT10" s="479" t="s">
        <v>99</v>
      </c>
      <c r="BU10" s="479" t="s">
        <v>286</v>
      </c>
      <c r="BV10" s="479" t="s">
        <v>99</v>
      </c>
      <c r="BW10" s="479" t="s">
        <v>286</v>
      </c>
      <c r="BX10" s="479" t="s">
        <v>99</v>
      </c>
      <c r="BY10" s="479" t="s">
        <v>286</v>
      </c>
      <c r="BZ10" s="479" t="s">
        <v>99</v>
      </c>
      <c r="CA10" s="479" t="s">
        <v>286</v>
      </c>
      <c r="CB10" s="479" t="s">
        <v>99</v>
      </c>
      <c r="CC10" s="479" t="s">
        <v>286</v>
      </c>
      <c r="CD10" s="479" t="s">
        <v>99</v>
      </c>
      <c r="CE10" s="479" t="s">
        <v>286</v>
      </c>
      <c r="CF10" s="479" t="s">
        <v>99</v>
      </c>
      <c r="CG10" s="479" t="s">
        <v>286</v>
      </c>
      <c r="CH10" s="479" t="s">
        <v>99</v>
      </c>
      <c r="CI10" s="479" t="s">
        <v>286</v>
      </c>
      <c r="CJ10" s="479" t="s">
        <v>99</v>
      </c>
    </row>
    <row r="11" spans="1:88" s="77" customFormat="1" ht="18" x14ac:dyDescent="0.25">
      <c r="B11" s="815" t="s">
        <v>484</v>
      </c>
      <c r="C11" s="113">
        <v>3</v>
      </c>
      <c r="D11" s="113">
        <v>250</v>
      </c>
      <c r="E11" s="113" t="s">
        <v>70</v>
      </c>
      <c r="F11" s="113"/>
      <c r="G11" s="113"/>
      <c r="H11" s="113"/>
      <c r="I11" s="113"/>
      <c r="J11" s="113"/>
      <c r="K11" s="113"/>
      <c r="L11" s="113"/>
      <c r="M11" s="113"/>
      <c r="N11" s="113" t="s">
        <v>79</v>
      </c>
      <c r="O11" s="191">
        <v>1</v>
      </c>
      <c r="P11" s="1038" t="str">
        <f ca="1">Проверки!BK4</f>
        <v/>
      </c>
      <c r="Q11" s="489"/>
      <c r="R11" s="504" t="str">
        <f>IF($S11="","",IF(D!EQ3=0,"Тип кабеля не найден","Тип кабеля найден"))</f>
        <v>Тип кабеля не найден</v>
      </c>
      <c r="S11" s="504" t="str">
        <f>IF(Габариты!$ES$5&gt;0,Габариты!$ES$5,"")</f>
        <v>MG63</v>
      </c>
      <c r="T11" s="979">
        <f ca="1">IF(OR($C$11=3,$C$11=4,SUMPRODUCT(T13:T32)),$O$11,0)</f>
        <v>1</v>
      </c>
      <c r="U11" s="979">
        <f ca="1">IF(OR($C$11=3,$C$11=4,SUMPRODUCT(U13:U32)),$O$11,0)</f>
        <v>1</v>
      </c>
      <c r="V11" s="979">
        <f ca="1">IF(OR($C$11=3,$C$11=4,SUMPRODUCT(V13:V32)),$O$11,0)</f>
        <v>1</v>
      </c>
      <c r="W11" s="475"/>
      <c r="X11" s="482" t="s">
        <v>864</v>
      </c>
      <c r="Y11" s="979">
        <f>Габариты!CK6</f>
        <v>0</v>
      </c>
      <c r="Z11" s="979">
        <f>Габариты!CL6</f>
        <v>0</v>
      </c>
      <c r="AA11" s="979">
        <f>Габариты!CN6</f>
        <v>0</v>
      </c>
      <c r="AB11" s="979">
        <f>Габариты!CO6</f>
        <v>0</v>
      </c>
      <c r="AC11" s="979">
        <f>Габариты!CQ6</f>
        <v>0</v>
      </c>
      <c r="AD11" s="979">
        <f>Габариты!CR6</f>
        <v>0</v>
      </c>
      <c r="AE11" s="979">
        <f>Габариты!CT6</f>
        <v>0</v>
      </c>
      <c r="AF11" s="979">
        <f>Габариты!CU6</f>
        <v>0</v>
      </c>
      <c r="AG11" s="979">
        <f>Габариты!CW6</f>
        <v>0</v>
      </c>
      <c r="AH11" s="979">
        <f>Габариты!CX6</f>
        <v>0</v>
      </c>
      <c r="AI11" s="979">
        <f>Габариты!CZ6</f>
        <v>0</v>
      </c>
      <c r="AJ11" s="979">
        <f>Габариты!DA6</f>
        <v>0</v>
      </c>
      <c r="AK11" s="979">
        <f>Габариты!DC6</f>
        <v>0</v>
      </c>
      <c r="AL11" s="979">
        <f>Габариты!DD6</f>
        <v>0</v>
      </c>
      <c r="AM11" s="979">
        <f>Габариты!DF6</f>
        <v>0</v>
      </c>
      <c r="AN11" s="979">
        <f>Габариты!DG6</f>
        <v>0</v>
      </c>
      <c r="AO11" s="979">
        <f>Габариты!DI6</f>
        <v>0</v>
      </c>
      <c r="AP11" s="979">
        <f>Габариты!DJ6</f>
        <v>0</v>
      </c>
      <c r="AQ11" s="979">
        <f>Габариты!DL6</f>
        <v>0</v>
      </c>
      <c r="AR11" s="979">
        <f>Габариты!DM6</f>
        <v>0</v>
      </c>
      <c r="AS11" s="480"/>
      <c r="AT11" s="484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0"/>
      <c r="BP11" s="484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</row>
    <row r="12" spans="1:88" ht="18" customHeight="1" x14ac:dyDescent="0.25">
      <c r="B12" s="1094" t="s">
        <v>17</v>
      </c>
      <c r="C12" s="1095"/>
      <c r="D12" s="1095"/>
      <c r="E12" s="1095"/>
      <c r="F12" s="1095"/>
      <c r="G12" s="1095"/>
      <c r="H12" s="1095"/>
      <c r="I12" s="1095"/>
      <c r="J12" s="1095"/>
      <c r="K12" s="1095"/>
      <c r="L12" s="1095"/>
      <c r="M12" s="1095"/>
      <c r="N12" s="1095"/>
      <c r="O12" s="1096"/>
      <c r="P12" s="314"/>
      <c r="Q12" s="488"/>
      <c r="R12" s="478"/>
      <c r="S12" s="434"/>
      <c r="T12" s="996" t="s">
        <v>802</v>
      </c>
      <c r="U12" s="996" t="s">
        <v>803</v>
      </c>
      <c r="V12" s="996" t="s">
        <v>804</v>
      </c>
      <c r="W12" s="476"/>
      <c r="X12" s="483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82"/>
      <c r="AT12" s="484"/>
      <c r="AU12" s="479" t="s">
        <v>286</v>
      </c>
      <c r="AV12" s="479" t="s">
        <v>99</v>
      </c>
      <c r="AW12" s="479" t="s">
        <v>286</v>
      </c>
      <c r="AX12" s="479" t="s">
        <v>99</v>
      </c>
      <c r="AY12" s="479" t="s">
        <v>286</v>
      </c>
      <c r="AZ12" s="479" t="s">
        <v>99</v>
      </c>
      <c r="BA12" s="479" t="s">
        <v>286</v>
      </c>
      <c r="BB12" s="479" t="s">
        <v>99</v>
      </c>
      <c r="BC12" s="479" t="s">
        <v>286</v>
      </c>
      <c r="BD12" s="479" t="s">
        <v>99</v>
      </c>
      <c r="BE12" s="479" t="s">
        <v>286</v>
      </c>
      <c r="BF12" s="479" t="s">
        <v>99</v>
      </c>
      <c r="BG12" s="479" t="s">
        <v>286</v>
      </c>
      <c r="BH12" s="479" t="s">
        <v>99</v>
      </c>
      <c r="BI12" s="479" t="s">
        <v>286</v>
      </c>
      <c r="BJ12" s="479" t="s">
        <v>99</v>
      </c>
      <c r="BK12" s="479" t="s">
        <v>286</v>
      </c>
      <c r="BL12" s="479" t="s">
        <v>99</v>
      </c>
      <c r="BM12" s="479" t="s">
        <v>286</v>
      </c>
      <c r="BN12" s="479" t="s">
        <v>99</v>
      </c>
      <c r="BO12" s="82"/>
      <c r="BP12" s="484"/>
      <c r="BQ12" s="479" t="s">
        <v>286</v>
      </c>
      <c r="BR12" s="479" t="s">
        <v>99</v>
      </c>
      <c r="BS12" s="479" t="s">
        <v>286</v>
      </c>
      <c r="BT12" s="479" t="s">
        <v>99</v>
      </c>
      <c r="BU12" s="479" t="s">
        <v>286</v>
      </c>
      <c r="BV12" s="479" t="s">
        <v>99</v>
      </c>
      <c r="BW12" s="479" t="s">
        <v>286</v>
      </c>
      <c r="BX12" s="479" t="s">
        <v>99</v>
      </c>
      <c r="BY12" s="479" t="s">
        <v>286</v>
      </c>
      <c r="BZ12" s="479" t="s">
        <v>99</v>
      </c>
      <c r="CA12" s="479" t="s">
        <v>286</v>
      </c>
      <c r="CB12" s="479" t="s">
        <v>99</v>
      </c>
      <c r="CC12" s="479" t="s">
        <v>286</v>
      </c>
      <c r="CD12" s="479" t="s">
        <v>99</v>
      </c>
      <c r="CE12" s="479" t="s">
        <v>286</v>
      </c>
      <c r="CF12" s="479" t="s">
        <v>99</v>
      </c>
      <c r="CG12" s="479" t="s">
        <v>286</v>
      </c>
      <c r="CH12" s="479" t="s">
        <v>99</v>
      </c>
      <c r="CI12" s="479" t="s">
        <v>286</v>
      </c>
      <c r="CJ12" s="479" t="s">
        <v>99</v>
      </c>
    </row>
    <row r="13" spans="1:88" ht="18" x14ac:dyDescent="0.25">
      <c r="A13" s="434">
        <v>1</v>
      </c>
      <c r="B13" s="815" t="s">
        <v>19</v>
      </c>
      <c r="C13" s="113" t="s">
        <v>326</v>
      </c>
      <c r="D13" s="113">
        <v>40</v>
      </c>
      <c r="E13" s="113" t="s">
        <v>59</v>
      </c>
      <c r="F13" s="113"/>
      <c r="G13" s="113"/>
      <c r="H13" s="113"/>
      <c r="I13" s="113"/>
      <c r="J13" s="113"/>
      <c r="K13" s="113"/>
      <c r="L13" s="113"/>
      <c r="M13" s="113"/>
      <c r="N13" s="113" t="s">
        <v>79</v>
      </c>
      <c r="O13" s="191">
        <v>3</v>
      </c>
      <c r="P13" s="1038" t="str">
        <f ca="1">Проверки!BK5</f>
        <v/>
      </c>
      <c r="Q13" s="489"/>
      <c r="R13" s="504" t="str">
        <f>IF($S13="","",IF(D!EQ4=0,"Тип кабеля не найден","Тип кабеля найден"))</f>
        <v>Тип кабеля не найден</v>
      </c>
      <c r="S13" s="504" t="str">
        <f>IF(Габариты!$ES6&gt;0,Габариты!$ES6,"")</f>
        <v>PG21</v>
      </c>
      <c r="T13" s="979">
        <f ca="1">VLOOKUP(ROW(S13)-12,D!$BQ$85:$CA$104,COLUMN(S13)-10,FALSE)</f>
        <v>1</v>
      </c>
      <c r="U13" s="979">
        <f ca="1">VLOOKUP(ROW(T13)-12,D!$BQ$85:$CA$104,COLUMN(T13)-10,FALSE)</f>
        <v>1</v>
      </c>
      <c r="V13" s="979">
        <f ca="1">VLOOKUP(ROW(U13)-12,D!$BQ$85:$CA$104,COLUMN(U13)-10,FALSE)</f>
        <v>1</v>
      </c>
      <c r="W13" s="475"/>
      <c r="X13" s="482" t="s">
        <v>85</v>
      </c>
      <c r="Y13" s="979">
        <f>Габариты!CK7</f>
        <v>3</v>
      </c>
      <c r="Z13" s="979">
        <f>Габариты!CL7</f>
        <v>54</v>
      </c>
      <c r="AA13" s="979">
        <f>Габариты!CN7</f>
        <v>0</v>
      </c>
      <c r="AB13" s="979">
        <f>Габариты!CO7</f>
        <v>0</v>
      </c>
      <c r="AC13" s="979">
        <f>Габариты!CQ7</f>
        <v>0</v>
      </c>
      <c r="AD13" s="979">
        <f>Габариты!CR7</f>
        <v>0</v>
      </c>
      <c r="AE13" s="979">
        <f>Габариты!CT7</f>
        <v>0</v>
      </c>
      <c r="AF13" s="979">
        <f>Габариты!CU7</f>
        <v>0</v>
      </c>
      <c r="AG13" s="979">
        <f>Габариты!CW7</f>
        <v>0</v>
      </c>
      <c r="AH13" s="979">
        <f>Габариты!CX7</f>
        <v>0</v>
      </c>
      <c r="AI13" s="979">
        <f>Габариты!CZ7</f>
        <v>0</v>
      </c>
      <c r="AJ13" s="979">
        <f>Габариты!DA7</f>
        <v>0</v>
      </c>
      <c r="AK13" s="979">
        <f>Габариты!DC7</f>
        <v>0</v>
      </c>
      <c r="AL13" s="979">
        <f>Габариты!DD7</f>
        <v>0</v>
      </c>
      <c r="AM13" s="979">
        <f>Габариты!DF7</f>
        <v>0</v>
      </c>
      <c r="AN13" s="979">
        <f>Габариты!DG7</f>
        <v>0</v>
      </c>
      <c r="AO13" s="979">
        <f>Габариты!DI7</f>
        <v>0</v>
      </c>
      <c r="AP13" s="979">
        <f>Габариты!DJ7</f>
        <v>0</v>
      </c>
      <c r="AQ13" s="979">
        <f>Габариты!DL7</f>
        <v>0</v>
      </c>
      <c r="AR13" s="979">
        <f>Габариты!DM7</f>
        <v>0</v>
      </c>
      <c r="AS13" s="82"/>
      <c r="AT13" s="482" t="s">
        <v>85</v>
      </c>
      <c r="AU13" s="979">
        <f>Габариты!CK36</f>
        <v>0</v>
      </c>
      <c r="AV13" s="979">
        <f>Габариты!CL36</f>
        <v>0</v>
      </c>
      <c r="AW13" s="979">
        <f>Габариты!CN36</f>
        <v>0</v>
      </c>
      <c r="AX13" s="979">
        <f>Габариты!CO36</f>
        <v>0</v>
      </c>
      <c r="AY13" s="979">
        <f>Габариты!CQ36</f>
        <v>0</v>
      </c>
      <c r="AZ13" s="979">
        <f>Габариты!CR36</f>
        <v>0</v>
      </c>
      <c r="BA13" s="979">
        <f>Габариты!CT36</f>
        <v>0</v>
      </c>
      <c r="BB13" s="979">
        <f>Габариты!CU36</f>
        <v>0</v>
      </c>
      <c r="BC13" s="979">
        <f>Габариты!CW36</f>
        <v>0</v>
      </c>
      <c r="BD13" s="979">
        <f>Габариты!CX36</f>
        <v>0</v>
      </c>
      <c r="BE13" s="979">
        <f>Габариты!CZ36</f>
        <v>0</v>
      </c>
      <c r="BF13" s="979">
        <f>Габариты!DA36</f>
        <v>0</v>
      </c>
      <c r="BG13" s="979">
        <f>Габариты!DC36</f>
        <v>0</v>
      </c>
      <c r="BH13" s="979">
        <f>Габариты!DD36</f>
        <v>0</v>
      </c>
      <c r="BI13" s="979">
        <f>Габариты!DF36</f>
        <v>0</v>
      </c>
      <c r="BJ13" s="979">
        <f>Габариты!DG36</f>
        <v>0</v>
      </c>
      <c r="BK13" s="979">
        <f>Габариты!DI36</f>
        <v>0</v>
      </c>
      <c r="BL13" s="979">
        <f>Габариты!DJ36</f>
        <v>0</v>
      </c>
      <c r="BM13" s="979">
        <f>Габариты!DL36</f>
        <v>0</v>
      </c>
      <c r="BN13" s="979">
        <f>Габариты!DM36</f>
        <v>0</v>
      </c>
      <c r="BO13" s="82"/>
      <c r="BP13" s="482" t="s">
        <v>85</v>
      </c>
      <c r="BQ13" s="982">
        <f>Габариты!CK63</f>
        <v>0</v>
      </c>
      <c r="BR13" s="982">
        <f>Габариты!CL63</f>
        <v>0</v>
      </c>
      <c r="BS13" s="982">
        <f>Габариты!CN63</f>
        <v>0</v>
      </c>
      <c r="BT13" s="982">
        <f>Габариты!CO63</f>
        <v>0</v>
      </c>
      <c r="BU13" s="982">
        <f>Габариты!CQ63</f>
        <v>0</v>
      </c>
      <c r="BV13" s="982">
        <f>Габариты!CR63</f>
        <v>0</v>
      </c>
      <c r="BW13" s="982">
        <f>Габариты!CT63</f>
        <v>0</v>
      </c>
      <c r="BX13" s="982">
        <f>Габариты!CU63</f>
        <v>0</v>
      </c>
      <c r="BY13" s="982">
        <f>Габариты!CW63</f>
        <v>0</v>
      </c>
      <c r="BZ13" s="982">
        <f>Габариты!CX63</f>
        <v>0</v>
      </c>
      <c r="CA13" s="982">
        <f>Габариты!CZ63</f>
        <v>0</v>
      </c>
      <c r="CB13" s="982">
        <f>Габариты!DA63</f>
        <v>0</v>
      </c>
      <c r="CC13" s="982">
        <f>Габариты!DC63</f>
        <v>0</v>
      </c>
      <c r="CD13" s="982">
        <f>Габариты!DD63</f>
        <v>0</v>
      </c>
      <c r="CE13" s="982">
        <f>Габариты!DF63</f>
        <v>0</v>
      </c>
      <c r="CF13" s="982">
        <f>Габариты!DG63</f>
        <v>0</v>
      </c>
      <c r="CG13" s="982">
        <f>Габариты!DI63</f>
        <v>0</v>
      </c>
      <c r="CH13" s="982">
        <f>Габариты!DJ63</f>
        <v>0</v>
      </c>
      <c r="CI13" s="982">
        <f>Габариты!DL63</f>
        <v>0</v>
      </c>
      <c r="CJ13" s="982">
        <f>Габариты!DM63</f>
        <v>0</v>
      </c>
    </row>
    <row r="14" spans="1:88" ht="18" x14ac:dyDescent="0.25">
      <c r="A14" s="434">
        <v>2</v>
      </c>
      <c r="B14" s="815" t="s">
        <v>19</v>
      </c>
      <c r="C14" s="113" t="s">
        <v>326</v>
      </c>
      <c r="D14" s="113">
        <v>16</v>
      </c>
      <c r="E14" s="113" t="s">
        <v>58</v>
      </c>
      <c r="F14" s="113"/>
      <c r="G14" s="113"/>
      <c r="H14" s="113"/>
      <c r="I14" s="113"/>
      <c r="J14" s="113"/>
      <c r="K14" s="113"/>
      <c r="L14" s="113"/>
      <c r="M14" s="113"/>
      <c r="N14" s="113" t="s">
        <v>79</v>
      </c>
      <c r="O14" s="191">
        <v>9</v>
      </c>
      <c r="P14" s="1038" t="str">
        <f ca="1">Проверки!BK6</f>
        <v/>
      </c>
      <c r="Q14" s="489"/>
      <c r="R14" s="504" t="str">
        <f>IF($S14="","",IF(D!EQ5=0,"Тип кабеля не найден","Тип кабеля найден"))</f>
        <v>Тип кабеля не найден</v>
      </c>
      <c r="S14" s="504" t="str">
        <f>IF(Габариты!$ES7&gt;0,Габариты!$ES7,"")</f>
        <v>PG13</v>
      </c>
      <c r="T14" s="979">
        <f ca="1">VLOOKUP(ROW(S14)-12,D!$BQ$85:$CA$104,COLUMN(S14)-10,FALSE)</f>
        <v>3</v>
      </c>
      <c r="U14" s="979">
        <f ca="1">VLOOKUP(ROW(T14)-12,D!$BQ$85:$CA$104,COLUMN(T14)-10,FALSE)</f>
        <v>3</v>
      </c>
      <c r="V14" s="979">
        <f ca="1">VLOOKUP(ROW(U14)-12,D!$BQ$85:$CA$104,COLUMN(U14)-10,FALSE)</f>
        <v>3</v>
      </c>
      <c r="W14" s="475"/>
      <c r="X14" s="482" t="s">
        <v>86</v>
      </c>
      <c r="Y14" s="979">
        <f>Габариты!CK8</f>
        <v>9</v>
      </c>
      <c r="Z14" s="979">
        <f>Габариты!CL8</f>
        <v>162</v>
      </c>
      <c r="AA14" s="979">
        <f>Габариты!CN8</f>
        <v>0</v>
      </c>
      <c r="AB14" s="979">
        <f>Габариты!CO8</f>
        <v>0</v>
      </c>
      <c r="AC14" s="979">
        <f>Габариты!CQ8</f>
        <v>0</v>
      </c>
      <c r="AD14" s="979">
        <f>Габариты!CR8</f>
        <v>0</v>
      </c>
      <c r="AE14" s="979">
        <f>Габариты!CT8</f>
        <v>0</v>
      </c>
      <c r="AF14" s="979">
        <f>Габариты!CU8</f>
        <v>0</v>
      </c>
      <c r="AG14" s="979">
        <f>Габариты!CW8</f>
        <v>0</v>
      </c>
      <c r="AH14" s="979">
        <f>Габариты!CX8</f>
        <v>0</v>
      </c>
      <c r="AI14" s="979">
        <f>Габариты!CZ8</f>
        <v>0</v>
      </c>
      <c r="AJ14" s="979">
        <f>Габариты!DA8</f>
        <v>0</v>
      </c>
      <c r="AK14" s="979">
        <f>Габариты!DC8</f>
        <v>0</v>
      </c>
      <c r="AL14" s="979">
        <f>Габариты!DD8</f>
        <v>0</v>
      </c>
      <c r="AM14" s="979">
        <f>Габариты!DF8</f>
        <v>0</v>
      </c>
      <c r="AN14" s="979">
        <f>Габариты!DG8</f>
        <v>0</v>
      </c>
      <c r="AO14" s="979">
        <f>Габариты!DI8</f>
        <v>0</v>
      </c>
      <c r="AP14" s="979">
        <f>Габариты!DJ8</f>
        <v>0</v>
      </c>
      <c r="AQ14" s="979">
        <f>Габариты!DL8</f>
        <v>0</v>
      </c>
      <c r="AR14" s="979">
        <f>Габариты!DM8</f>
        <v>0</v>
      </c>
      <c r="AS14" s="82"/>
      <c r="AT14" s="482" t="s">
        <v>86</v>
      </c>
      <c r="AU14" s="979">
        <f>Габариты!CK37</f>
        <v>0</v>
      </c>
      <c r="AV14" s="979">
        <f>Габариты!CL37</f>
        <v>0</v>
      </c>
      <c r="AW14" s="979">
        <f>Габариты!CN37</f>
        <v>0</v>
      </c>
      <c r="AX14" s="979">
        <f>Габариты!CO37</f>
        <v>0</v>
      </c>
      <c r="AY14" s="979">
        <f>Габариты!CQ37</f>
        <v>0</v>
      </c>
      <c r="AZ14" s="979">
        <f>Габариты!CR37</f>
        <v>0</v>
      </c>
      <c r="BA14" s="979">
        <f>Габариты!CT37</f>
        <v>0</v>
      </c>
      <c r="BB14" s="979">
        <f>Габариты!CU37</f>
        <v>0</v>
      </c>
      <c r="BC14" s="979">
        <f>Габариты!CW37</f>
        <v>0</v>
      </c>
      <c r="BD14" s="979">
        <f>Габариты!CX37</f>
        <v>0</v>
      </c>
      <c r="BE14" s="979">
        <f>Габариты!CZ37</f>
        <v>0</v>
      </c>
      <c r="BF14" s="979">
        <f>Габариты!DA37</f>
        <v>0</v>
      </c>
      <c r="BG14" s="979">
        <f>Габариты!DC37</f>
        <v>0</v>
      </c>
      <c r="BH14" s="979">
        <f>Габариты!DD37</f>
        <v>0</v>
      </c>
      <c r="BI14" s="979">
        <f>Габариты!DF37</f>
        <v>0</v>
      </c>
      <c r="BJ14" s="979">
        <f>Габариты!DG37</f>
        <v>0</v>
      </c>
      <c r="BK14" s="979">
        <f>Габариты!DI37</f>
        <v>0</v>
      </c>
      <c r="BL14" s="979">
        <f>Габариты!DJ37</f>
        <v>0</v>
      </c>
      <c r="BM14" s="979">
        <f>Габариты!DL37</f>
        <v>0</v>
      </c>
      <c r="BN14" s="979">
        <f>Габариты!DM37</f>
        <v>0</v>
      </c>
      <c r="BO14" s="82"/>
      <c r="BP14" s="482" t="s">
        <v>86</v>
      </c>
      <c r="BQ14" s="982">
        <f>Габариты!CK64</f>
        <v>0</v>
      </c>
      <c r="BR14" s="982">
        <f>Габариты!CL64</f>
        <v>0</v>
      </c>
      <c r="BS14" s="982">
        <f>Габариты!CN64</f>
        <v>0</v>
      </c>
      <c r="BT14" s="982">
        <f>Габариты!CO64</f>
        <v>0</v>
      </c>
      <c r="BU14" s="982">
        <f>Габариты!CQ64</f>
        <v>0</v>
      </c>
      <c r="BV14" s="982">
        <f>Габариты!CR64</f>
        <v>0</v>
      </c>
      <c r="BW14" s="982">
        <f>Габариты!CT64</f>
        <v>0</v>
      </c>
      <c r="BX14" s="982">
        <f>Габариты!CU64</f>
        <v>0</v>
      </c>
      <c r="BY14" s="982">
        <f>Габариты!CW64</f>
        <v>0</v>
      </c>
      <c r="BZ14" s="982">
        <f>Габариты!CX64</f>
        <v>0</v>
      </c>
      <c r="CA14" s="982">
        <f>Габариты!CZ64</f>
        <v>0</v>
      </c>
      <c r="CB14" s="982">
        <f>Габариты!DA64</f>
        <v>0</v>
      </c>
      <c r="CC14" s="982">
        <f>Габариты!DC64</f>
        <v>0</v>
      </c>
      <c r="CD14" s="982">
        <f>Габариты!DD64</f>
        <v>0</v>
      </c>
      <c r="CE14" s="982">
        <f>Габариты!DF64</f>
        <v>0</v>
      </c>
      <c r="CF14" s="982">
        <f>Габариты!DG64</f>
        <v>0</v>
      </c>
      <c r="CG14" s="982">
        <f>Габариты!DI64</f>
        <v>0</v>
      </c>
      <c r="CH14" s="982">
        <f>Габариты!DJ64</f>
        <v>0</v>
      </c>
      <c r="CI14" s="982">
        <f>Габариты!DL64</f>
        <v>0</v>
      </c>
      <c r="CJ14" s="982">
        <f>Габариты!DM64</f>
        <v>0</v>
      </c>
    </row>
    <row r="15" spans="1:88" ht="18" x14ac:dyDescent="0.25">
      <c r="A15" s="434">
        <v>3</v>
      </c>
      <c r="B15" s="815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91"/>
      <c r="P15" s="1038" t="str">
        <f>Проверки!BK7</f>
        <v/>
      </c>
      <c r="Q15" s="489"/>
      <c r="R15" s="504" t="str">
        <f>IF($S15="","",IF(D!EQ6=0,"Тип кабеля не найден","Тип кабеля найден"))</f>
        <v/>
      </c>
      <c r="S15" s="504" t="str">
        <f>IF(Габариты!$ES8&gt;0,Габариты!$ES8,"")</f>
        <v/>
      </c>
      <c r="T15" s="979">
        <f ca="1">VLOOKUP(ROW(S15)-12,D!$BQ$85:$CA$104,COLUMN(S15)-10,FALSE)</f>
        <v>0</v>
      </c>
      <c r="U15" s="979">
        <f ca="1">VLOOKUP(ROW(T15)-12,D!$BQ$85:$CA$104,COLUMN(T15)-10,FALSE)</f>
        <v>0</v>
      </c>
      <c r="V15" s="979">
        <f ca="1">VLOOKUP(ROW(U15)-12,D!$BQ$85:$CA$104,COLUMN(U15)-10,FALSE)</f>
        <v>0</v>
      </c>
      <c r="W15" s="475"/>
      <c r="X15" s="482" t="s">
        <v>87</v>
      </c>
      <c r="Y15" s="979">
        <f>Габариты!CK9</f>
        <v>0</v>
      </c>
      <c r="Z15" s="979">
        <f>Габариты!CL9</f>
        <v>0</v>
      </c>
      <c r="AA15" s="979">
        <f>Габариты!CN9</f>
        <v>0</v>
      </c>
      <c r="AB15" s="979">
        <f>Габариты!CO9</f>
        <v>0</v>
      </c>
      <c r="AC15" s="979">
        <f>Габариты!CQ9</f>
        <v>0</v>
      </c>
      <c r="AD15" s="979">
        <f>Габариты!CR9</f>
        <v>0</v>
      </c>
      <c r="AE15" s="979">
        <f>Габариты!CT9</f>
        <v>0</v>
      </c>
      <c r="AF15" s="979">
        <f>Габариты!CU9</f>
        <v>0</v>
      </c>
      <c r="AG15" s="979">
        <f>Габариты!CW9</f>
        <v>0</v>
      </c>
      <c r="AH15" s="979">
        <f>Габариты!CX9</f>
        <v>0</v>
      </c>
      <c r="AI15" s="979">
        <f>Габариты!CZ9</f>
        <v>0</v>
      </c>
      <c r="AJ15" s="979">
        <f>Габариты!DA9</f>
        <v>0</v>
      </c>
      <c r="AK15" s="979">
        <f>Габариты!DC9</f>
        <v>0</v>
      </c>
      <c r="AL15" s="979">
        <f>Габариты!DD9</f>
        <v>0</v>
      </c>
      <c r="AM15" s="979">
        <f>Габариты!DF9</f>
        <v>0</v>
      </c>
      <c r="AN15" s="979">
        <f>Габариты!DG9</f>
        <v>0</v>
      </c>
      <c r="AO15" s="979">
        <f>Габариты!DI9</f>
        <v>0</v>
      </c>
      <c r="AP15" s="979">
        <f>Габариты!DJ9</f>
        <v>0</v>
      </c>
      <c r="AQ15" s="979">
        <f>Габариты!DL9</f>
        <v>0</v>
      </c>
      <c r="AR15" s="979">
        <f>Габариты!DM9</f>
        <v>0</v>
      </c>
      <c r="AS15" s="82"/>
      <c r="AT15" s="482" t="s">
        <v>87</v>
      </c>
      <c r="AU15" s="979">
        <f>Габариты!CK38</f>
        <v>0</v>
      </c>
      <c r="AV15" s="979">
        <f>Габариты!CL38</f>
        <v>0</v>
      </c>
      <c r="AW15" s="979">
        <f>Габариты!CN38</f>
        <v>0</v>
      </c>
      <c r="AX15" s="979">
        <f>Габариты!CO38</f>
        <v>0</v>
      </c>
      <c r="AY15" s="979">
        <f>Габариты!CQ38</f>
        <v>0</v>
      </c>
      <c r="AZ15" s="979">
        <f>Габариты!CR38</f>
        <v>0</v>
      </c>
      <c r="BA15" s="979">
        <f>Габариты!CT38</f>
        <v>0</v>
      </c>
      <c r="BB15" s="979">
        <f>Габариты!CU38</f>
        <v>0</v>
      </c>
      <c r="BC15" s="979">
        <f>Габариты!CW38</f>
        <v>0</v>
      </c>
      <c r="BD15" s="979">
        <f>Габариты!CX38</f>
        <v>0</v>
      </c>
      <c r="BE15" s="979">
        <f>Габариты!CZ38</f>
        <v>0</v>
      </c>
      <c r="BF15" s="979">
        <f>Габариты!DA38</f>
        <v>0</v>
      </c>
      <c r="BG15" s="979">
        <f>Габариты!DC38</f>
        <v>0</v>
      </c>
      <c r="BH15" s="979">
        <f>Габариты!DD38</f>
        <v>0</v>
      </c>
      <c r="BI15" s="979">
        <f>Габариты!DF38</f>
        <v>0</v>
      </c>
      <c r="BJ15" s="979">
        <f>Габариты!DG38</f>
        <v>0</v>
      </c>
      <c r="BK15" s="979">
        <f>Габариты!DI38</f>
        <v>0</v>
      </c>
      <c r="BL15" s="979">
        <f>Габариты!DJ38</f>
        <v>0</v>
      </c>
      <c r="BM15" s="979">
        <f>Габариты!DL38</f>
        <v>0</v>
      </c>
      <c r="BN15" s="979">
        <f>Габариты!DM38</f>
        <v>0</v>
      </c>
      <c r="BO15" s="82"/>
      <c r="BP15" s="482" t="s">
        <v>87</v>
      </c>
      <c r="BQ15" s="982">
        <f>Габариты!CK65</f>
        <v>0</v>
      </c>
      <c r="BR15" s="982">
        <f>Габариты!CL65</f>
        <v>0</v>
      </c>
      <c r="BS15" s="982">
        <f>Габариты!CN65</f>
        <v>0</v>
      </c>
      <c r="BT15" s="982">
        <f>Габариты!CO65</f>
        <v>0</v>
      </c>
      <c r="BU15" s="982">
        <f>Габариты!CQ65</f>
        <v>0</v>
      </c>
      <c r="BV15" s="982">
        <f>Габариты!CR65</f>
        <v>0</v>
      </c>
      <c r="BW15" s="982">
        <f>Габариты!CT65</f>
        <v>0</v>
      </c>
      <c r="BX15" s="982">
        <f>Габариты!CU65</f>
        <v>0</v>
      </c>
      <c r="BY15" s="982">
        <f>Габариты!CW65</f>
        <v>0</v>
      </c>
      <c r="BZ15" s="982">
        <f>Габариты!CX65</f>
        <v>0</v>
      </c>
      <c r="CA15" s="982">
        <f>Габариты!CZ65</f>
        <v>0</v>
      </c>
      <c r="CB15" s="982">
        <f>Габариты!DA65</f>
        <v>0</v>
      </c>
      <c r="CC15" s="982">
        <f>Габариты!DC65</f>
        <v>0</v>
      </c>
      <c r="CD15" s="982">
        <f>Габариты!DD65</f>
        <v>0</v>
      </c>
      <c r="CE15" s="982">
        <f>Габариты!DF65</f>
        <v>0</v>
      </c>
      <c r="CF15" s="982">
        <f>Габариты!DG65</f>
        <v>0</v>
      </c>
      <c r="CG15" s="982">
        <f>Габариты!DI65</f>
        <v>0</v>
      </c>
      <c r="CH15" s="982">
        <f>Габариты!DJ65</f>
        <v>0</v>
      </c>
      <c r="CI15" s="982">
        <f>Габариты!DL65</f>
        <v>0</v>
      </c>
      <c r="CJ15" s="982">
        <f>Габариты!DM65</f>
        <v>0</v>
      </c>
    </row>
    <row r="16" spans="1:88" ht="18" x14ac:dyDescent="0.25">
      <c r="A16" s="434">
        <v>4</v>
      </c>
      <c r="B16" s="815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91"/>
      <c r="P16" s="1038" t="str">
        <f>Проверки!BK8</f>
        <v/>
      </c>
      <c r="Q16" s="489"/>
      <c r="R16" s="504" t="str">
        <f>IF($S16="","",IF(D!EQ7=0,"Тип кабеля не найден","Тип кабеля найден"))</f>
        <v/>
      </c>
      <c r="S16" s="504" t="str">
        <f>IF(Габариты!$ES9&gt;0,Габариты!$ES9,"")</f>
        <v/>
      </c>
      <c r="T16" s="979">
        <f ca="1">VLOOKUP(ROW(S16)-12,D!$BQ$85:$CA$104,COLUMN(S16)-10,FALSE)</f>
        <v>0</v>
      </c>
      <c r="U16" s="979">
        <f ca="1">VLOOKUP(ROW(T16)-12,D!$BQ$85:$CA$104,COLUMN(T16)-10,FALSE)</f>
        <v>0</v>
      </c>
      <c r="V16" s="979">
        <f ca="1">VLOOKUP(ROW(U16)-12,D!$BQ$85:$CA$104,COLUMN(U16)-10,FALSE)</f>
        <v>0</v>
      </c>
      <c r="W16" s="475"/>
      <c r="X16" s="482" t="s">
        <v>88</v>
      </c>
      <c r="Y16" s="979">
        <f>Габариты!CK10</f>
        <v>0</v>
      </c>
      <c r="Z16" s="979">
        <f>Габариты!CL10</f>
        <v>0</v>
      </c>
      <c r="AA16" s="979">
        <f>Габариты!CN10</f>
        <v>0</v>
      </c>
      <c r="AB16" s="979">
        <f>Габариты!CO10</f>
        <v>0</v>
      </c>
      <c r="AC16" s="979">
        <f>Габариты!CQ10</f>
        <v>0</v>
      </c>
      <c r="AD16" s="979">
        <f>Габариты!CR10</f>
        <v>0</v>
      </c>
      <c r="AE16" s="979">
        <f>Габариты!CT10</f>
        <v>0</v>
      </c>
      <c r="AF16" s="979">
        <f>Габариты!CU10</f>
        <v>0</v>
      </c>
      <c r="AG16" s="979">
        <f>Габариты!CW10</f>
        <v>0</v>
      </c>
      <c r="AH16" s="979">
        <f>Габариты!CX10</f>
        <v>0</v>
      </c>
      <c r="AI16" s="979">
        <f>Габариты!CZ10</f>
        <v>0</v>
      </c>
      <c r="AJ16" s="979">
        <f>Габариты!DA10</f>
        <v>0</v>
      </c>
      <c r="AK16" s="979">
        <f>Габариты!DC10</f>
        <v>0</v>
      </c>
      <c r="AL16" s="979">
        <f>Габариты!DD10</f>
        <v>0</v>
      </c>
      <c r="AM16" s="979">
        <f>Габариты!DF10</f>
        <v>0</v>
      </c>
      <c r="AN16" s="979">
        <f>Габариты!DG10</f>
        <v>0</v>
      </c>
      <c r="AO16" s="979">
        <f>Габариты!DI10</f>
        <v>0</v>
      </c>
      <c r="AP16" s="979">
        <f>Габариты!DJ10</f>
        <v>0</v>
      </c>
      <c r="AQ16" s="979">
        <f>Габариты!DL10</f>
        <v>0</v>
      </c>
      <c r="AR16" s="979">
        <f>Габариты!DM10</f>
        <v>0</v>
      </c>
      <c r="AS16" s="82"/>
      <c r="AT16" s="482" t="s">
        <v>88</v>
      </c>
      <c r="AU16" s="979">
        <f>Габариты!CK39</f>
        <v>0</v>
      </c>
      <c r="AV16" s="979">
        <f>Габариты!CL39</f>
        <v>0</v>
      </c>
      <c r="AW16" s="979">
        <f>Габариты!CN39</f>
        <v>0</v>
      </c>
      <c r="AX16" s="979">
        <f>Габариты!CO39</f>
        <v>0</v>
      </c>
      <c r="AY16" s="979">
        <f>Габариты!CQ39</f>
        <v>0</v>
      </c>
      <c r="AZ16" s="979">
        <f>Габариты!CR39</f>
        <v>0</v>
      </c>
      <c r="BA16" s="979">
        <f>Габариты!CT39</f>
        <v>0</v>
      </c>
      <c r="BB16" s="979">
        <f>Габариты!CU39</f>
        <v>0</v>
      </c>
      <c r="BC16" s="979">
        <f>Габариты!CW39</f>
        <v>0</v>
      </c>
      <c r="BD16" s="979">
        <f>Габариты!CX39</f>
        <v>0</v>
      </c>
      <c r="BE16" s="979">
        <f>Габариты!CZ39</f>
        <v>0</v>
      </c>
      <c r="BF16" s="979">
        <f>Габариты!DA39</f>
        <v>0</v>
      </c>
      <c r="BG16" s="979">
        <f>Габариты!DC39</f>
        <v>0</v>
      </c>
      <c r="BH16" s="979">
        <f>Габариты!DD39</f>
        <v>0</v>
      </c>
      <c r="BI16" s="979">
        <f>Габариты!DF39</f>
        <v>0</v>
      </c>
      <c r="BJ16" s="979">
        <f>Габариты!DG39</f>
        <v>0</v>
      </c>
      <c r="BK16" s="979">
        <f>Габариты!DI39</f>
        <v>0</v>
      </c>
      <c r="BL16" s="979">
        <f>Габариты!DJ39</f>
        <v>0</v>
      </c>
      <c r="BM16" s="979">
        <f>Габариты!DL39</f>
        <v>0</v>
      </c>
      <c r="BN16" s="979">
        <f>Габариты!DM39</f>
        <v>0</v>
      </c>
      <c r="BO16" s="82"/>
      <c r="BP16" s="482" t="s">
        <v>88</v>
      </c>
      <c r="BQ16" s="982">
        <f>Габариты!CK66</f>
        <v>0</v>
      </c>
      <c r="BR16" s="982">
        <f>Габариты!CL66</f>
        <v>0</v>
      </c>
      <c r="BS16" s="982">
        <f>Габариты!CN66</f>
        <v>0</v>
      </c>
      <c r="BT16" s="982">
        <f>Габариты!CO66</f>
        <v>0</v>
      </c>
      <c r="BU16" s="982">
        <f>Габариты!CQ66</f>
        <v>0</v>
      </c>
      <c r="BV16" s="982">
        <f>Габариты!CR66</f>
        <v>0</v>
      </c>
      <c r="BW16" s="982">
        <f>Габариты!CT66</f>
        <v>0</v>
      </c>
      <c r="BX16" s="982">
        <f>Габариты!CU66</f>
        <v>0</v>
      </c>
      <c r="BY16" s="982">
        <f>Габариты!CW66</f>
        <v>0</v>
      </c>
      <c r="BZ16" s="982">
        <f>Габариты!CX66</f>
        <v>0</v>
      </c>
      <c r="CA16" s="982">
        <f>Габариты!CZ66</f>
        <v>0</v>
      </c>
      <c r="CB16" s="982">
        <f>Габариты!DA66</f>
        <v>0</v>
      </c>
      <c r="CC16" s="982">
        <f>Габариты!DC66</f>
        <v>0</v>
      </c>
      <c r="CD16" s="982">
        <f>Габариты!DD66</f>
        <v>0</v>
      </c>
      <c r="CE16" s="982">
        <f>Габариты!DF66</f>
        <v>0</v>
      </c>
      <c r="CF16" s="982">
        <f>Габариты!DG66</f>
        <v>0</v>
      </c>
      <c r="CG16" s="982">
        <f>Габариты!DI66</f>
        <v>0</v>
      </c>
      <c r="CH16" s="982">
        <f>Габариты!DJ66</f>
        <v>0</v>
      </c>
      <c r="CI16" s="982">
        <f>Габариты!DL66</f>
        <v>0</v>
      </c>
      <c r="CJ16" s="982">
        <f>Габариты!DM66</f>
        <v>0</v>
      </c>
    </row>
    <row r="17" spans="1:88" ht="18" x14ac:dyDescent="0.25">
      <c r="A17" s="434">
        <v>5</v>
      </c>
      <c r="B17" s="815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91"/>
      <c r="P17" s="1038" t="str">
        <f>Проверки!BK9</f>
        <v/>
      </c>
      <c r="Q17" s="489"/>
      <c r="R17" s="504" t="str">
        <f>IF($S17="","",IF(D!EQ8=0,"Тип кабеля не найден","Тип кабеля найден"))</f>
        <v/>
      </c>
      <c r="S17" s="504" t="str">
        <f>IF(Габариты!$ES10&gt;0,Габариты!$ES10,"")</f>
        <v/>
      </c>
      <c r="T17" s="979">
        <f ca="1">VLOOKUP(ROW(S17)-12,D!$BQ$85:$CA$104,COLUMN(S17)-10,FALSE)</f>
        <v>0</v>
      </c>
      <c r="U17" s="979">
        <f ca="1">VLOOKUP(ROW(T17)-12,D!$BQ$85:$CA$104,COLUMN(T17)-10,FALSE)</f>
        <v>0</v>
      </c>
      <c r="V17" s="979">
        <f ca="1">VLOOKUP(ROW(U17)-12,D!$BQ$85:$CA$104,COLUMN(U17)-10,FALSE)</f>
        <v>0</v>
      </c>
      <c r="W17" s="475"/>
      <c r="X17" s="482" t="s">
        <v>89</v>
      </c>
      <c r="Y17" s="979">
        <f>Габариты!CK11</f>
        <v>0</v>
      </c>
      <c r="Z17" s="979">
        <f>Габариты!CL11</f>
        <v>0</v>
      </c>
      <c r="AA17" s="979">
        <f>Габариты!CN11</f>
        <v>0</v>
      </c>
      <c r="AB17" s="979">
        <f>Габариты!CO11</f>
        <v>0</v>
      </c>
      <c r="AC17" s="979">
        <f>Габариты!CQ11</f>
        <v>0</v>
      </c>
      <c r="AD17" s="979">
        <f>Габариты!CR11</f>
        <v>0</v>
      </c>
      <c r="AE17" s="979">
        <f>Габариты!CT11</f>
        <v>0</v>
      </c>
      <c r="AF17" s="979">
        <f>Габариты!CU11</f>
        <v>0</v>
      </c>
      <c r="AG17" s="979">
        <f>Габариты!CW11</f>
        <v>0</v>
      </c>
      <c r="AH17" s="979">
        <f>Габариты!CX11</f>
        <v>0</v>
      </c>
      <c r="AI17" s="979">
        <f>Габариты!CZ11</f>
        <v>0</v>
      </c>
      <c r="AJ17" s="979">
        <f>Габариты!DA11</f>
        <v>0</v>
      </c>
      <c r="AK17" s="979">
        <f>Габариты!DC11</f>
        <v>0</v>
      </c>
      <c r="AL17" s="979">
        <f>Габариты!DD11</f>
        <v>0</v>
      </c>
      <c r="AM17" s="979">
        <f>Габариты!DF11</f>
        <v>0</v>
      </c>
      <c r="AN17" s="979">
        <f>Габариты!DG11</f>
        <v>0</v>
      </c>
      <c r="AO17" s="979">
        <f>Габариты!DI11</f>
        <v>0</v>
      </c>
      <c r="AP17" s="979">
        <f>Габариты!DJ11</f>
        <v>0</v>
      </c>
      <c r="AQ17" s="979">
        <f>Габариты!DL11</f>
        <v>0</v>
      </c>
      <c r="AR17" s="979">
        <f>Габариты!DM11</f>
        <v>0</v>
      </c>
      <c r="AS17" s="82"/>
      <c r="AT17" s="482" t="s">
        <v>89</v>
      </c>
      <c r="AU17" s="979">
        <f>Габариты!CK40</f>
        <v>0</v>
      </c>
      <c r="AV17" s="979">
        <f>Габариты!CL40</f>
        <v>0</v>
      </c>
      <c r="AW17" s="979">
        <f>Габариты!CN40</f>
        <v>0</v>
      </c>
      <c r="AX17" s="979">
        <f>Габариты!CO40</f>
        <v>0</v>
      </c>
      <c r="AY17" s="979">
        <f>Габариты!CQ40</f>
        <v>0</v>
      </c>
      <c r="AZ17" s="979">
        <f>Габариты!CR40</f>
        <v>0</v>
      </c>
      <c r="BA17" s="979">
        <f>Габариты!CT40</f>
        <v>0</v>
      </c>
      <c r="BB17" s="979">
        <f>Габариты!CU40</f>
        <v>0</v>
      </c>
      <c r="BC17" s="979">
        <f>Габариты!CW40</f>
        <v>0</v>
      </c>
      <c r="BD17" s="979">
        <f>Габариты!CX40</f>
        <v>0</v>
      </c>
      <c r="BE17" s="979">
        <f>Габариты!CZ40</f>
        <v>0</v>
      </c>
      <c r="BF17" s="979">
        <f>Габариты!DA40</f>
        <v>0</v>
      </c>
      <c r="BG17" s="979">
        <f>Габариты!DC40</f>
        <v>0</v>
      </c>
      <c r="BH17" s="979">
        <f>Габариты!DD40</f>
        <v>0</v>
      </c>
      <c r="BI17" s="979">
        <f>Габариты!DF40</f>
        <v>0</v>
      </c>
      <c r="BJ17" s="979">
        <f>Габариты!DG40</f>
        <v>0</v>
      </c>
      <c r="BK17" s="979">
        <f>Габариты!DI40</f>
        <v>0</v>
      </c>
      <c r="BL17" s="979">
        <f>Габариты!DJ40</f>
        <v>0</v>
      </c>
      <c r="BM17" s="979">
        <f>Габариты!DL40</f>
        <v>0</v>
      </c>
      <c r="BN17" s="979">
        <f>Габариты!DM40</f>
        <v>0</v>
      </c>
      <c r="BO17" s="82"/>
      <c r="BP17" s="482" t="s">
        <v>89</v>
      </c>
      <c r="BQ17" s="982">
        <f>Габариты!CK67</f>
        <v>0</v>
      </c>
      <c r="BR17" s="982">
        <f>Габариты!CL67</f>
        <v>0</v>
      </c>
      <c r="BS17" s="982">
        <f>Габариты!CN67</f>
        <v>0</v>
      </c>
      <c r="BT17" s="982">
        <f>Габариты!CO67</f>
        <v>0</v>
      </c>
      <c r="BU17" s="982">
        <f>Габариты!CQ67</f>
        <v>0</v>
      </c>
      <c r="BV17" s="982">
        <f>Габариты!CR67</f>
        <v>0</v>
      </c>
      <c r="BW17" s="982">
        <f>Габариты!CT67</f>
        <v>0</v>
      </c>
      <c r="BX17" s="982">
        <f>Габариты!CU67</f>
        <v>0</v>
      </c>
      <c r="BY17" s="982">
        <f>Габариты!CW67</f>
        <v>0</v>
      </c>
      <c r="BZ17" s="982">
        <f>Габариты!CX67</f>
        <v>0</v>
      </c>
      <c r="CA17" s="982">
        <f>Габариты!CZ67</f>
        <v>0</v>
      </c>
      <c r="CB17" s="982">
        <f>Габариты!DA67</f>
        <v>0</v>
      </c>
      <c r="CC17" s="982">
        <f>Габариты!DC67</f>
        <v>0</v>
      </c>
      <c r="CD17" s="982">
        <f>Габариты!DD67</f>
        <v>0</v>
      </c>
      <c r="CE17" s="982">
        <f>Габариты!DF67</f>
        <v>0</v>
      </c>
      <c r="CF17" s="982">
        <f>Габариты!DG67</f>
        <v>0</v>
      </c>
      <c r="CG17" s="982">
        <f>Габариты!DI67</f>
        <v>0</v>
      </c>
      <c r="CH17" s="982">
        <f>Габариты!DJ67</f>
        <v>0</v>
      </c>
      <c r="CI17" s="982">
        <f>Габариты!DL67</f>
        <v>0</v>
      </c>
      <c r="CJ17" s="982">
        <f>Габариты!DM67</f>
        <v>0</v>
      </c>
    </row>
    <row r="18" spans="1:88" ht="18" x14ac:dyDescent="0.25">
      <c r="A18" s="434">
        <v>6</v>
      </c>
      <c r="B18" s="815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91"/>
      <c r="P18" s="1038" t="str">
        <f>Проверки!BK10</f>
        <v/>
      </c>
      <c r="Q18" s="489"/>
      <c r="R18" s="504" t="str">
        <f>IF($S18="","",IF(D!EQ9=0,"Тип кабеля не найден","Тип кабеля найден"))</f>
        <v/>
      </c>
      <c r="S18" s="504" t="str">
        <f>IF(Габариты!$ES11&gt;0,Габариты!$ES11,"")</f>
        <v/>
      </c>
      <c r="T18" s="979">
        <f ca="1">VLOOKUP(ROW(S18)-12,D!$BQ$85:$CA$104,COLUMN(S18)-10,FALSE)</f>
        <v>0</v>
      </c>
      <c r="U18" s="979">
        <f ca="1">VLOOKUP(ROW(T18)-12,D!$BQ$85:$CA$104,COLUMN(T18)-10,FALSE)</f>
        <v>0</v>
      </c>
      <c r="V18" s="979">
        <f ca="1">VLOOKUP(ROW(U18)-12,D!$BQ$85:$CA$104,COLUMN(U18)-10,FALSE)</f>
        <v>0</v>
      </c>
      <c r="W18" s="475"/>
      <c r="X18" s="482" t="s">
        <v>90</v>
      </c>
      <c r="Y18" s="979">
        <f>Габариты!CK12</f>
        <v>0</v>
      </c>
      <c r="Z18" s="979">
        <f>Габариты!CL12</f>
        <v>0</v>
      </c>
      <c r="AA18" s="979">
        <f>Габариты!CN12</f>
        <v>0</v>
      </c>
      <c r="AB18" s="979">
        <f>Габариты!CO12</f>
        <v>0</v>
      </c>
      <c r="AC18" s="979">
        <f>Габариты!CQ12</f>
        <v>0</v>
      </c>
      <c r="AD18" s="979">
        <f>Габариты!CR12</f>
        <v>0</v>
      </c>
      <c r="AE18" s="979">
        <f>Габариты!CT12</f>
        <v>0</v>
      </c>
      <c r="AF18" s="979">
        <f>Габариты!CU12</f>
        <v>0</v>
      </c>
      <c r="AG18" s="979">
        <f>Габариты!CW12</f>
        <v>0</v>
      </c>
      <c r="AH18" s="979">
        <f>Габариты!CX12</f>
        <v>0</v>
      </c>
      <c r="AI18" s="979">
        <f>Габариты!CZ12</f>
        <v>0</v>
      </c>
      <c r="AJ18" s="979">
        <f>Габариты!DA12</f>
        <v>0</v>
      </c>
      <c r="AK18" s="979">
        <f>Габариты!DC12</f>
        <v>0</v>
      </c>
      <c r="AL18" s="979">
        <f>Габариты!DD12</f>
        <v>0</v>
      </c>
      <c r="AM18" s="979">
        <f>Габариты!DF12</f>
        <v>0</v>
      </c>
      <c r="AN18" s="979">
        <f>Габариты!DG12</f>
        <v>0</v>
      </c>
      <c r="AO18" s="979">
        <f>Габариты!DI12</f>
        <v>0</v>
      </c>
      <c r="AP18" s="979">
        <f>Габариты!DJ12</f>
        <v>0</v>
      </c>
      <c r="AQ18" s="979">
        <f>Габариты!DL12</f>
        <v>0</v>
      </c>
      <c r="AR18" s="979">
        <f>Габариты!DM12</f>
        <v>0</v>
      </c>
      <c r="AS18" s="82"/>
      <c r="AT18" s="482" t="s">
        <v>90</v>
      </c>
      <c r="AU18" s="979">
        <f>Габариты!CK41</f>
        <v>0</v>
      </c>
      <c r="AV18" s="979">
        <f>Габариты!CL41</f>
        <v>0</v>
      </c>
      <c r="AW18" s="979">
        <f>Габариты!CN41</f>
        <v>0</v>
      </c>
      <c r="AX18" s="979">
        <f>Габариты!CO41</f>
        <v>0</v>
      </c>
      <c r="AY18" s="979">
        <f>Габариты!CQ41</f>
        <v>0</v>
      </c>
      <c r="AZ18" s="979">
        <f>Габариты!CR41</f>
        <v>0</v>
      </c>
      <c r="BA18" s="979">
        <f>Габариты!CT41</f>
        <v>0</v>
      </c>
      <c r="BB18" s="979">
        <f>Габариты!CU41</f>
        <v>0</v>
      </c>
      <c r="BC18" s="979">
        <f>Габариты!CW41</f>
        <v>0</v>
      </c>
      <c r="BD18" s="979">
        <f>Габариты!CX41</f>
        <v>0</v>
      </c>
      <c r="BE18" s="979">
        <f>Габариты!CZ41</f>
        <v>0</v>
      </c>
      <c r="BF18" s="979">
        <f>Габариты!DA41</f>
        <v>0</v>
      </c>
      <c r="BG18" s="979">
        <f>Габариты!DC41</f>
        <v>0</v>
      </c>
      <c r="BH18" s="979">
        <f>Габариты!DD41</f>
        <v>0</v>
      </c>
      <c r="BI18" s="979">
        <f>Габариты!DF41</f>
        <v>0</v>
      </c>
      <c r="BJ18" s="979">
        <f>Габариты!DG41</f>
        <v>0</v>
      </c>
      <c r="BK18" s="979">
        <f>Габариты!DI41</f>
        <v>0</v>
      </c>
      <c r="BL18" s="979">
        <f>Габариты!DJ41</f>
        <v>0</v>
      </c>
      <c r="BM18" s="979">
        <f>Габариты!DL41</f>
        <v>0</v>
      </c>
      <c r="BN18" s="979">
        <f>Габариты!DM41</f>
        <v>0</v>
      </c>
      <c r="BO18" s="82"/>
      <c r="BP18" s="482" t="s">
        <v>90</v>
      </c>
      <c r="BQ18" s="982">
        <f>Габариты!CK68</f>
        <v>0</v>
      </c>
      <c r="BR18" s="982">
        <f>Габариты!CL68</f>
        <v>0</v>
      </c>
      <c r="BS18" s="982">
        <f>Габариты!CN68</f>
        <v>0</v>
      </c>
      <c r="BT18" s="982">
        <f>Габариты!CO68</f>
        <v>0</v>
      </c>
      <c r="BU18" s="982">
        <f>Габариты!CQ68</f>
        <v>0</v>
      </c>
      <c r="BV18" s="982">
        <f>Габариты!CR68</f>
        <v>0</v>
      </c>
      <c r="BW18" s="982">
        <f>Габариты!CT68</f>
        <v>0</v>
      </c>
      <c r="BX18" s="982">
        <f>Габариты!CU68</f>
        <v>0</v>
      </c>
      <c r="BY18" s="982">
        <f>Габариты!CW68</f>
        <v>0</v>
      </c>
      <c r="BZ18" s="982">
        <f>Габариты!CX68</f>
        <v>0</v>
      </c>
      <c r="CA18" s="982">
        <f>Габариты!CZ68</f>
        <v>0</v>
      </c>
      <c r="CB18" s="982">
        <f>Габариты!DA68</f>
        <v>0</v>
      </c>
      <c r="CC18" s="982">
        <f>Габариты!DC68</f>
        <v>0</v>
      </c>
      <c r="CD18" s="982">
        <f>Габариты!DD68</f>
        <v>0</v>
      </c>
      <c r="CE18" s="982">
        <f>Габариты!DF68</f>
        <v>0</v>
      </c>
      <c r="CF18" s="982">
        <f>Габариты!DG68</f>
        <v>0</v>
      </c>
      <c r="CG18" s="982">
        <f>Габариты!DI68</f>
        <v>0</v>
      </c>
      <c r="CH18" s="982">
        <f>Габариты!DJ68</f>
        <v>0</v>
      </c>
      <c r="CI18" s="982">
        <f>Габариты!DL68</f>
        <v>0</v>
      </c>
      <c r="CJ18" s="982">
        <f>Габариты!DM68</f>
        <v>0</v>
      </c>
    </row>
    <row r="19" spans="1:88" ht="18" x14ac:dyDescent="0.25">
      <c r="A19" s="434">
        <v>7</v>
      </c>
      <c r="B19" s="815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91"/>
      <c r="P19" s="1038" t="str">
        <f>Проверки!BK11</f>
        <v/>
      </c>
      <c r="Q19" s="489"/>
      <c r="R19" s="504" t="str">
        <f>IF($S19="","",IF(D!EQ10=0,"Тип кабеля не найден","Тип кабеля найден"))</f>
        <v/>
      </c>
      <c r="S19" s="504" t="str">
        <f>IF(Габариты!$ES12&gt;0,Габариты!$ES12,"")</f>
        <v/>
      </c>
      <c r="T19" s="979">
        <f ca="1">VLOOKUP(ROW(S19)-12,D!$BQ$85:$CA$104,COLUMN(S19)-10,FALSE)</f>
        <v>0</v>
      </c>
      <c r="U19" s="979">
        <f ca="1">VLOOKUP(ROW(T19)-12,D!$BQ$85:$CA$104,COLUMN(T19)-10,FALSE)</f>
        <v>0</v>
      </c>
      <c r="V19" s="979">
        <f ca="1">VLOOKUP(ROW(U19)-12,D!$BQ$85:$CA$104,COLUMN(U19)-10,FALSE)</f>
        <v>0</v>
      </c>
      <c r="W19" s="475"/>
      <c r="X19" s="482" t="s">
        <v>91</v>
      </c>
      <c r="Y19" s="979">
        <f>Габариты!CK13</f>
        <v>0</v>
      </c>
      <c r="Z19" s="979">
        <f>Габариты!CL13</f>
        <v>0</v>
      </c>
      <c r="AA19" s="979">
        <f>Габариты!CN13</f>
        <v>0</v>
      </c>
      <c r="AB19" s="979">
        <f>Габариты!CO13</f>
        <v>0</v>
      </c>
      <c r="AC19" s="979">
        <f>Габариты!CQ13</f>
        <v>0</v>
      </c>
      <c r="AD19" s="979">
        <f>Габариты!CR13</f>
        <v>0</v>
      </c>
      <c r="AE19" s="979">
        <f>Габариты!CT13</f>
        <v>0</v>
      </c>
      <c r="AF19" s="979">
        <f>Габариты!CU13</f>
        <v>0</v>
      </c>
      <c r="AG19" s="979">
        <f>Габариты!CW13</f>
        <v>0</v>
      </c>
      <c r="AH19" s="979">
        <f>Габариты!CX13</f>
        <v>0</v>
      </c>
      <c r="AI19" s="979">
        <f>Габариты!CZ13</f>
        <v>0</v>
      </c>
      <c r="AJ19" s="979">
        <f>Габариты!DA13</f>
        <v>0</v>
      </c>
      <c r="AK19" s="979">
        <f>Габариты!DC13</f>
        <v>0</v>
      </c>
      <c r="AL19" s="979">
        <f>Габариты!DD13</f>
        <v>0</v>
      </c>
      <c r="AM19" s="979">
        <f>Габариты!DF13</f>
        <v>0</v>
      </c>
      <c r="AN19" s="979">
        <f>Габариты!DG13</f>
        <v>0</v>
      </c>
      <c r="AO19" s="979">
        <f>Габариты!DI13</f>
        <v>0</v>
      </c>
      <c r="AP19" s="979">
        <f>Габариты!DJ13</f>
        <v>0</v>
      </c>
      <c r="AQ19" s="979">
        <f>Габариты!DL13</f>
        <v>0</v>
      </c>
      <c r="AR19" s="979">
        <f>Габариты!DM13</f>
        <v>0</v>
      </c>
      <c r="AS19" s="82"/>
      <c r="AT19" s="482" t="s">
        <v>91</v>
      </c>
      <c r="AU19" s="979">
        <f>Габариты!CK42</f>
        <v>0</v>
      </c>
      <c r="AV19" s="979">
        <f>Габариты!CL42</f>
        <v>0</v>
      </c>
      <c r="AW19" s="979">
        <f>Габариты!CN42</f>
        <v>0</v>
      </c>
      <c r="AX19" s="979">
        <f>Габариты!CO42</f>
        <v>0</v>
      </c>
      <c r="AY19" s="979">
        <f>Габариты!CQ42</f>
        <v>0</v>
      </c>
      <c r="AZ19" s="979">
        <f>Габариты!CR42</f>
        <v>0</v>
      </c>
      <c r="BA19" s="979">
        <f>Габариты!CT42</f>
        <v>0</v>
      </c>
      <c r="BB19" s="979">
        <f>Габариты!CU42</f>
        <v>0</v>
      </c>
      <c r="BC19" s="979">
        <f>Габариты!CW42</f>
        <v>0</v>
      </c>
      <c r="BD19" s="979">
        <f>Габариты!CX42</f>
        <v>0</v>
      </c>
      <c r="BE19" s="979">
        <f>Габариты!CZ42</f>
        <v>0</v>
      </c>
      <c r="BF19" s="979">
        <f>Габариты!DA42</f>
        <v>0</v>
      </c>
      <c r="BG19" s="979">
        <f>Габариты!DC42</f>
        <v>0</v>
      </c>
      <c r="BH19" s="979">
        <f>Габариты!DD42</f>
        <v>0</v>
      </c>
      <c r="BI19" s="979">
        <f>Габариты!DF42</f>
        <v>0</v>
      </c>
      <c r="BJ19" s="979">
        <f>Габариты!DG42</f>
        <v>0</v>
      </c>
      <c r="BK19" s="979">
        <f>Габариты!DI42</f>
        <v>0</v>
      </c>
      <c r="BL19" s="979">
        <f>Габариты!DJ42</f>
        <v>0</v>
      </c>
      <c r="BM19" s="979">
        <f>Габариты!DL42</f>
        <v>0</v>
      </c>
      <c r="BN19" s="979">
        <f>Габариты!DM42</f>
        <v>0</v>
      </c>
      <c r="BO19" s="82"/>
      <c r="BP19" s="482" t="s">
        <v>91</v>
      </c>
      <c r="BQ19" s="982">
        <f>Габариты!CK69</f>
        <v>0</v>
      </c>
      <c r="BR19" s="982">
        <f>Габариты!CL69</f>
        <v>0</v>
      </c>
      <c r="BS19" s="982">
        <f>Габариты!CN69</f>
        <v>0</v>
      </c>
      <c r="BT19" s="982">
        <f>Габариты!CO69</f>
        <v>0</v>
      </c>
      <c r="BU19" s="982">
        <f>Габариты!CQ69</f>
        <v>0</v>
      </c>
      <c r="BV19" s="982">
        <f>Габариты!CR69</f>
        <v>0</v>
      </c>
      <c r="BW19" s="982">
        <f>Габариты!CT69</f>
        <v>0</v>
      </c>
      <c r="BX19" s="982">
        <f>Габариты!CU69</f>
        <v>0</v>
      </c>
      <c r="BY19" s="982">
        <f>Габариты!CW69</f>
        <v>0</v>
      </c>
      <c r="BZ19" s="982">
        <f>Габариты!CX69</f>
        <v>0</v>
      </c>
      <c r="CA19" s="982">
        <f>Габариты!CZ69</f>
        <v>0</v>
      </c>
      <c r="CB19" s="982">
        <f>Габариты!DA69</f>
        <v>0</v>
      </c>
      <c r="CC19" s="982">
        <f>Габариты!DC69</f>
        <v>0</v>
      </c>
      <c r="CD19" s="982">
        <f>Габариты!DD69</f>
        <v>0</v>
      </c>
      <c r="CE19" s="982">
        <f>Габариты!DF69</f>
        <v>0</v>
      </c>
      <c r="CF19" s="982">
        <f>Габариты!DG69</f>
        <v>0</v>
      </c>
      <c r="CG19" s="982">
        <f>Габариты!DI69</f>
        <v>0</v>
      </c>
      <c r="CH19" s="982">
        <f>Габариты!DJ69</f>
        <v>0</v>
      </c>
      <c r="CI19" s="982">
        <f>Габариты!DL69</f>
        <v>0</v>
      </c>
      <c r="CJ19" s="982">
        <f>Габариты!DM69</f>
        <v>0</v>
      </c>
    </row>
    <row r="20" spans="1:88" ht="18" x14ac:dyDescent="0.25">
      <c r="A20" s="434">
        <v>8</v>
      </c>
      <c r="B20" s="815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91"/>
      <c r="P20" s="1038" t="str">
        <f>Проверки!BK12</f>
        <v/>
      </c>
      <c r="Q20" s="489"/>
      <c r="R20" s="504" t="str">
        <f>IF($S20="","",IF(D!EQ11=0,"Тип кабеля не найден","Тип кабеля найден"))</f>
        <v/>
      </c>
      <c r="S20" s="504" t="str">
        <f>IF(Габариты!$ES13&gt;0,Габариты!$ES13,"")</f>
        <v/>
      </c>
      <c r="T20" s="979">
        <f ca="1">VLOOKUP(ROW(S20)-12,D!$BQ$85:$CA$104,COLUMN(S20)-10,FALSE)</f>
        <v>0</v>
      </c>
      <c r="U20" s="979">
        <f ca="1">VLOOKUP(ROW(T20)-12,D!$BQ$85:$CA$104,COLUMN(T20)-10,FALSE)</f>
        <v>0</v>
      </c>
      <c r="V20" s="979">
        <f ca="1">VLOOKUP(ROW(U20)-12,D!$BQ$85:$CA$104,COLUMN(U20)-10,FALSE)</f>
        <v>0</v>
      </c>
      <c r="W20" s="475"/>
      <c r="X20" s="482" t="s">
        <v>92</v>
      </c>
      <c r="Y20" s="979">
        <f>Габариты!CK14</f>
        <v>0</v>
      </c>
      <c r="Z20" s="979">
        <f>Габариты!CL14</f>
        <v>0</v>
      </c>
      <c r="AA20" s="979">
        <f>Габариты!CN14</f>
        <v>0</v>
      </c>
      <c r="AB20" s="979">
        <f>Габариты!CO14</f>
        <v>0</v>
      </c>
      <c r="AC20" s="979">
        <f>Габариты!CQ14</f>
        <v>0</v>
      </c>
      <c r="AD20" s="979">
        <f>Габариты!CR14</f>
        <v>0</v>
      </c>
      <c r="AE20" s="979">
        <f>Габариты!CT14</f>
        <v>0</v>
      </c>
      <c r="AF20" s="979">
        <f>Габариты!CU14</f>
        <v>0</v>
      </c>
      <c r="AG20" s="979">
        <f>Габариты!CW14</f>
        <v>0</v>
      </c>
      <c r="AH20" s="979">
        <f>Габариты!CX14</f>
        <v>0</v>
      </c>
      <c r="AI20" s="979">
        <f>Габариты!CZ14</f>
        <v>0</v>
      </c>
      <c r="AJ20" s="979">
        <f>Габариты!DA14</f>
        <v>0</v>
      </c>
      <c r="AK20" s="979">
        <f>Габариты!DC14</f>
        <v>0</v>
      </c>
      <c r="AL20" s="979">
        <f>Габариты!DD14</f>
        <v>0</v>
      </c>
      <c r="AM20" s="979">
        <f>Габариты!DF14</f>
        <v>0</v>
      </c>
      <c r="AN20" s="979">
        <f>Габариты!DG14</f>
        <v>0</v>
      </c>
      <c r="AO20" s="979">
        <f>Габариты!DI14</f>
        <v>0</v>
      </c>
      <c r="AP20" s="979">
        <f>Габариты!DJ14</f>
        <v>0</v>
      </c>
      <c r="AQ20" s="979">
        <f>Габариты!DL14</f>
        <v>0</v>
      </c>
      <c r="AR20" s="979">
        <f>Габариты!DM14</f>
        <v>0</v>
      </c>
      <c r="AS20" s="82"/>
      <c r="AT20" s="482" t="s">
        <v>92</v>
      </c>
      <c r="AU20" s="979">
        <f>Габариты!CK43</f>
        <v>0</v>
      </c>
      <c r="AV20" s="979">
        <f>Габариты!CL43</f>
        <v>0</v>
      </c>
      <c r="AW20" s="979">
        <f>Габариты!CN43</f>
        <v>0</v>
      </c>
      <c r="AX20" s="979">
        <f>Габариты!CO43</f>
        <v>0</v>
      </c>
      <c r="AY20" s="979">
        <f>Габариты!CQ43</f>
        <v>0</v>
      </c>
      <c r="AZ20" s="979">
        <f>Габариты!CR43</f>
        <v>0</v>
      </c>
      <c r="BA20" s="979">
        <f>Габариты!CT43</f>
        <v>0</v>
      </c>
      <c r="BB20" s="979">
        <f>Габариты!CU43</f>
        <v>0</v>
      </c>
      <c r="BC20" s="979">
        <f>Габариты!CW43</f>
        <v>0</v>
      </c>
      <c r="BD20" s="979">
        <f>Габариты!CX43</f>
        <v>0</v>
      </c>
      <c r="BE20" s="979">
        <f>Габариты!CZ43</f>
        <v>0</v>
      </c>
      <c r="BF20" s="979">
        <f>Габариты!DA43</f>
        <v>0</v>
      </c>
      <c r="BG20" s="979">
        <f>Габариты!DC43</f>
        <v>0</v>
      </c>
      <c r="BH20" s="979">
        <f>Габариты!DD43</f>
        <v>0</v>
      </c>
      <c r="BI20" s="979">
        <f>Габариты!DF43</f>
        <v>0</v>
      </c>
      <c r="BJ20" s="979">
        <f>Габариты!DG43</f>
        <v>0</v>
      </c>
      <c r="BK20" s="979">
        <f>Габариты!DI43</f>
        <v>0</v>
      </c>
      <c r="BL20" s="979">
        <f>Габариты!DJ43</f>
        <v>0</v>
      </c>
      <c r="BM20" s="979">
        <f>Габариты!DL43</f>
        <v>0</v>
      </c>
      <c r="BN20" s="979">
        <f>Габариты!DM43</f>
        <v>0</v>
      </c>
      <c r="BO20" s="82"/>
      <c r="BP20" s="482" t="s">
        <v>92</v>
      </c>
      <c r="BQ20" s="982">
        <f>Габариты!CK70</f>
        <v>0</v>
      </c>
      <c r="BR20" s="982">
        <f>Габариты!CL70</f>
        <v>0</v>
      </c>
      <c r="BS20" s="982">
        <f>Габариты!CN70</f>
        <v>0</v>
      </c>
      <c r="BT20" s="982">
        <f>Габариты!CO70</f>
        <v>0</v>
      </c>
      <c r="BU20" s="982">
        <f>Габариты!CQ70</f>
        <v>0</v>
      </c>
      <c r="BV20" s="982">
        <f>Габариты!CR70</f>
        <v>0</v>
      </c>
      <c r="BW20" s="982">
        <f>Габариты!CT70</f>
        <v>0</v>
      </c>
      <c r="BX20" s="982">
        <f>Габариты!CU70</f>
        <v>0</v>
      </c>
      <c r="BY20" s="982">
        <f>Габариты!CW70</f>
        <v>0</v>
      </c>
      <c r="BZ20" s="982">
        <f>Габариты!CX70</f>
        <v>0</v>
      </c>
      <c r="CA20" s="982">
        <f>Габариты!CZ70</f>
        <v>0</v>
      </c>
      <c r="CB20" s="982">
        <f>Габариты!DA70</f>
        <v>0</v>
      </c>
      <c r="CC20" s="982">
        <f>Габариты!DC70</f>
        <v>0</v>
      </c>
      <c r="CD20" s="982">
        <f>Габариты!DD70</f>
        <v>0</v>
      </c>
      <c r="CE20" s="982">
        <f>Габариты!DF70</f>
        <v>0</v>
      </c>
      <c r="CF20" s="982">
        <f>Габариты!DG70</f>
        <v>0</v>
      </c>
      <c r="CG20" s="982">
        <f>Габариты!DI70</f>
        <v>0</v>
      </c>
      <c r="CH20" s="982">
        <f>Габариты!DJ70</f>
        <v>0</v>
      </c>
      <c r="CI20" s="982">
        <f>Габариты!DL70</f>
        <v>0</v>
      </c>
      <c r="CJ20" s="982">
        <f>Габариты!DM70</f>
        <v>0</v>
      </c>
    </row>
    <row r="21" spans="1:88" ht="18" x14ac:dyDescent="0.25">
      <c r="A21" s="434">
        <v>9</v>
      </c>
      <c r="B21" s="815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91"/>
      <c r="P21" s="1038" t="str">
        <f>Проверки!BK13</f>
        <v/>
      </c>
      <c r="Q21" s="489"/>
      <c r="R21" s="504" t="str">
        <f>IF($S21="","",IF(D!EQ12=0,"Тип кабеля не найден","Тип кабеля найден"))</f>
        <v/>
      </c>
      <c r="S21" s="504" t="str">
        <f>IF(Габариты!$ES14&gt;0,Габариты!$ES14,"")</f>
        <v/>
      </c>
      <c r="T21" s="979">
        <f ca="1">VLOOKUP(ROW(S21)-12,D!$BQ$85:$CA$104,COLUMN(S21)-10,FALSE)</f>
        <v>0</v>
      </c>
      <c r="U21" s="979">
        <f ca="1">VLOOKUP(ROW(T21)-12,D!$BQ$85:$CA$104,COLUMN(T21)-10,FALSE)</f>
        <v>0</v>
      </c>
      <c r="V21" s="979">
        <f ca="1">VLOOKUP(ROW(U21)-12,D!$BQ$85:$CA$104,COLUMN(U21)-10,FALSE)</f>
        <v>0</v>
      </c>
      <c r="W21" s="475"/>
      <c r="X21" s="482" t="s">
        <v>93</v>
      </c>
      <c r="Y21" s="979">
        <f>Габариты!CK15</f>
        <v>0</v>
      </c>
      <c r="Z21" s="979">
        <f>Габариты!CL15</f>
        <v>0</v>
      </c>
      <c r="AA21" s="979">
        <f>Габариты!CN15</f>
        <v>0</v>
      </c>
      <c r="AB21" s="979">
        <f>Габариты!CO15</f>
        <v>0</v>
      </c>
      <c r="AC21" s="979">
        <f>Габариты!CQ15</f>
        <v>0</v>
      </c>
      <c r="AD21" s="979">
        <f>Габариты!CR15</f>
        <v>0</v>
      </c>
      <c r="AE21" s="979">
        <f>Габариты!CT15</f>
        <v>0</v>
      </c>
      <c r="AF21" s="979">
        <f>Габариты!CU15</f>
        <v>0</v>
      </c>
      <c r="AG21" s="979">
        <f>Габариты!CW15</f>
        <v>0</v>
      </c>
      <c r="AH21" s="979">
        <f>Габариты!CX15</f>
        <v>0</v>
      </c>
      <c r="AI21" s="979">
        <f>Габариты!CZ15</f>
        <v>0</v>
      </c>
      <c r="AJ21" s="979">
        <f>Габариты!DA15</f>
        <v>0</v>
      </c>
      <c r="AK21" s="979">
        <f>Габариты!DC15</f>
        <v>0</v>
      </c>
      <c r="AL21" s="979">
        <f>Габариты!DD15</f>
        <v>0</v>
      </c>
      <c r="AM21" s="979">
        <f>Габариты!DF15</f>
        <v>0</v>
      </c>
      <c r="AN21" s="979">
        <f>Габариты!DG15</f>
        <v>0</v>
      </c>
      <c r="AO21" s="979">
        <f>Габариты!DI15</f>
        <v>0</v>
      </c>
      <c r="AP21" s="979">
        <f>Габариты!DJ15</f>
        <v>0</v>
      </c>
      <c r="AQ21" s="979">
        <f>Габариты!DL15</f>
        <v>0</v>
      </c>
      <c r="AR21" s="979">
        <f>Габариты!DM15</f>
        <v>0</v>
      </c>
      <c r="AS21" s="82"/>
      <c r="AT21" s="482" t="s">
        <v>93</v>
      </c>
      <c r="AU21" s="979">
        <f>Габариты!CK44</f>
        <v>0</v>
      </c>
      <c r="AV21" s="979">
        <f>Габариты!CL44</f>
        <v>0</v>
      </c>
      <c r="AW21" s="979">
        <f>Габариты!CN44</f>
        <v>0</v>
      </c>
      <c r="AX21" s="979">
        <f>Габариты!CO44</f>
        <v>0</v>
      </c>
      <c r="AY21" s="979">
        <f>Габариты!CQ44</f>
        <v>0</v>
      </c>
      <c r="AZ21" s="979">
        <f>Габариты!CR44</f>
        <v>0</v>
      </c>
      <c r="BA21" s="979">
        <f>Габариты!CT44</f>
        <v>0</v>
      </c>
      <c r="BB21" s="979">
        <f>Габариты!CU44</f>
        <v>0</v>
      </c>
      <c r="BC21" s="979">
        <f>Габариты!CW44</f>
        <v>0</v>
      </c>
      <c r="BD21" s="979">
        <f>Габариты!CX44</f>
        <v>0</v>
      </c>
      <c r="BE21" s="979">
        <f>Габариты!CZ44</f>
        <v>0</v>
      </c>
      <c r="BF21" s="979">
        <f>Габариты!DA44</f>
        <v>0</v>
      </c>
      <c r="BG21" s="979">
        <f>Габариты!DC44</f>
        <v>0</v>
      </c>
      <c r="BH21" s="979">
        <f>Габариты!DD44</f>
        <v>0</v>
      </c>
      <c r="BI21" s="979">
        <f>Габариты!DF44</f>
        <v>0</v>
      </c>
      <c r="BJ21" s="979">
        <f>Габариты!DG44</f>
        <v>0</v>
      </c>
      <c r="BK21" s="979">
        <f>Габариты!DI44</f>
        <v>0</v>
      </c>
      <c r="BL21" s="979">
        <f>Габариты!DJ44</f>
        <v>0</v>
      </c>
      <c r="BM21" s="979">
        <f>Габариты!DL44</f>
        <v>0</v>
      </c>
      <c r="BN21" s="979">
        <f>Габариты!DM44</f>
        <v>0</v>
      </c>
      <c r="BO21" s="82"/>
      <c r="BP21" s="482" t="s">
        <v>93</v>
      </c>
      <c r="BQ21" s="982">
        <f>Габариты!CK71</f>
        <v>0</v>
      </c>
      <c r="BR21" s="982">
        <f>Габариты!CL71</f>
        <v>0</v>
      </c>
      <c r="BS21" s="982">
        <f>Габариты!CN71</f>
        <v>0</v>
      </c>
      <c r="BT21" s="982">
        <f>Габариты!CO71</f>
        <v>0</v>
      </c>
      <c r="BU21" s="982">
        <f>Габариты!CQ71</f>
        <v>0</v>
      </c>
      <c r="BV21" s="982">
        <f>Габариты!CR71</f>
        <v>0</v>
      </c>
      <c r="BW21" s="982">
        <f>Габариты!CT71</f>
        <v>0</v>
      </c>
      <c r="BX21" s="982">
        <f>Габариты!CU71</f>
        <v>0</v>
      </c>
      <c r="BY21" s="982">
        <f>Габариты!CW71</f>
        <v>0</v>
      </c>
      <c r="BZ21" s="982">
        <f>Габариты!CX71</f>
        <v>0</v>
      </c>
      <c r="CA21" s="982">
        <f>Габариты!CZ71</f>
        <v>0</v>
      </c>
      <c r="CB21" s="982">
        <f>Габариты!DA71</f>
        <v>0</v>
      </c>
      <c r="CC21" s="982">
        <f>Габариты!DC71</f>
        <v>0</v>
      </c>
      <c r="CD21" s="982">
        <f>Габариты!DD71</f>
        <v>0</v>
      </c>
      <c r="CE21" s="982">
        <f>Габариты!DF71</f>
        <v>0</v>
      </c>
      <c r="CF21" s="982">
        <f>Габариты!DG71</f>
        <v>0</v>
      </c>
      <c r="CG21" s="982">
        <f>Габариты!DI71</f>
        <v>0</v>
      </c>
      <c r="CH21" s="982">
        <f>Габариты!DJ71</f>
        <v>0</v>
      </c>
      <c r="CI21" s="982">
        <f>Габариты!DL71</f>
        <v>0</v>
      </c>
      <c r="CJ21" s="982">
        <f>Габариты!DM71</f>
        <v>0</v>
      </c>
    </row>
    <row r="22" spans="1:88" ht="18" x14ac:dyDescent="0.25">
      <c r="A22" s="434">
        <v>10</v>
      </c>
      <c r="B22" s="815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91"/>
      <c r="P22" s="1038" t="str">
        <f>Проверки!BK14</f>
        <v/>
      </c>
      <c r="Q22" s="489"/>
      <c r="R22" s="504" t="str">
        <f>IF($S22="","",IF(D!EQ13=0,"Тип кабеля не найден","Тип кабеля найден"))</f>
        <v/>
      </c>
      <c r="S22" s="504" t="str">
        <f>IF(Габариты!$ES15&gt;0,Габариты!$ES15,"")</f>
        <v/>
      </c>
      <c r="T22" s="979">
        <f ca="1">VLOOKUP(ROW(S22)-12,D!$BQ$85:$CA$104,COLUMN(S22)-10,FALSE)</f>
        <v>0</v>
      </c>
      <c r="U22" s="979">
        <f ca="1">VLOOKUP(ROW(T22)-12,D!$BQ$85:$CA$104,COLUMN(T22)-10,FALSE)</f>
        <v>0</v>
      </c>
      <c r="V22" s="979">
        <f ca="1">VLOOKUP(ROW(U22)-12,D!$BQ$85:$CA$104,COLUMN(U22)-10,FALSE)</f>
        <v>0</v>
      </c>
      <c r="W22" s="475"/>
      <c r="X22" s="482" t="s">
        <v>94</v>
      </c>
      <c r="Y22" s="979">
        <f>Габариты!CK16</f>
        <v>0</v>
      </c>
      <c r="Z22" s="979">
        <f>Габариты!CL16</f>
        <v>0</v>
      </c>
      <c r="AA22" s="979">
        <f>Габариты!CN16</f>
        <v>0</v>
      </c>
      <c r="AB22" s="979">
        <f>Габариты!CO16</f>
        <v>0</v>
      </c>
      <c r="AC22" s="979">
        <f>Габариты!CQ16</f>
        <v>0</v>
      </c>
      <c r="AD22" s="979">
        <f>Габариты!CR16</f>
        <v>0</v>
      </c>
      <c r="AE22" s="979">
        <f>Габариты!CT16</f>
        <v>0</v>
      </c>
      <c r="AF22" s="979">
        <f>Габариты!CU16</f>
        <v>0</v>
      </c>
      <c r="AG22" s="979">
        <f>Габариты!CW16</f>
        <v>0</v>
      </c>
      <c r="AH22" s="979">
        <f>Габариты!CX16</f>
        <v>0</v>
      </c>
      <c r="AI22" s="979">
        <f>Габариты!CZ16</f>
        <v>0</v>
      </c>
      <c r="AJ22" s="979">
        <f>Габариты!DA16</f>
        <v>0</v>
      </c>
      <c r="AK22" s="979">
        <f>Габариты!DC16</f>
        <v>0</v>
      </c>
      <c r="AL22" s="979">
        <f>Габариты!DD16</f>
        <v>0</v>
      </c>
      <c r="AM22" s="979">
        <f>Габариты!DF16</f>
        <v>0</v>
      </c>
      <c r="AN22" s="979">
        <f>Габариты!DG16</f>
        <v>0</v>
      </c>
      <c r="AO22" s="979">
        <f>Габариты!DI16</f>
        <v>0</v>
      </c>
      <c r="AP22" s="979">
        <f>Габариты!DJ16</f>
        <v>0</v>
      </c>
      <c r="AQ22" s="979">
        <f>Габариты!DL16</f>
        <v>0</v>
      </c>
      <c r="AR22" s="979">
        <f>Габариты!DM16</f>
        <v>0</v>
      </c>
      <c r="AS22" s="82"/>
      <c r="AT22" s="482" t="s">
        <v>94</v>
      </c>
      <c r="AU22" s="979">
        <f>Габариты!CK45</f>
        <v>0</v>
      </c>
      <c r="AV22" s="979">
        <f>Габариты!CL45</f>
        <v>0</v>
      </c>
      <c r="AW22" s="979">
        <f>Габариты!CN45</f>
        <v>0</v>
      </c>
      <c r="AX22" s="979">
        <f>Габариты!CO45</f>
        <v>0</v>
      </c>
      <c r="AY22" s="979">
        <f>Габариты!CQ45</f>
        <v>0</v>
      </c>
      <c r="AZ22" s="979">
        <f>Габариты!CR45</f>
        <v>0</v>
      </c>
      <c r="BA22" s="979">
        <f>Габариты!CT45</f>
        <v>0</v>
      </c>
      <c r="BB22" s="979">
        <f>Габариты!CU45</f>
        <v>0</v>
      </c>
      <c r="BC22" s="979">
        <f>Габариты!CW45</f>
        <v>0</v>
      </c>
      <c r="BD22" s="979">
        <f>Габариты!CX45</f>
        <v>0</v>
      </c>
      <c r="BE22" s="979">
        <f>Габариты!CZ45</f>
        <v>0</v>
      </c>
      <c r="BF22" s="979">
        <f>Габариты!DA45</f>
        <v>0</v>
      </c>
      <c r="BG22" s="979">
        <f>Габариты!DC45</f>
        <v>0</v>
      </c>
      <c r="BH22" s="979">
        <f>Габариты!DD45</f>
        <v>0</v>
      </c>
      <c r="BI22" s="979">
        <f>Габариты!DF45</f>
        <v>0</v>
      </c>
      <c r="BJ22" s="979">
        <f>Габариты!DG45</f>
        <v>0</v>
      </c>
      <c r="BK22" s="979">
        <f>Габариты!DI45</f>
        <v>0</v>
      </c>
      <c r="BL22" s="979">
        <f>Габариты!DJ45</f>
        <v>0</v>
      </c>
      <c r="BM22" s="979">
        <f>Габариты!DL45</f>
        <v>0</v>
      </c>
      <c r="BN22" s="979">
        <f>Габариты!DM45</f>
        <v>0</v>
      </c>
      <c r="BO22" s="82"/>
      <c r="BP22" s="482" t="s">
        <v>94</v>
      </c>
      <c r="BQ22" s="982">
        <f>Габариты!CK72</f>
        <v>0</v>
      </c>
      <c r="BR22" s="982">
        <f>Габариты!CL72</f>
        <v>0</v>
      </c>
      <c r="BS22" s="982">
        <f>Габариты!CN72</f>
        <v>0</v>
      </c>
      <c r="BT22" s="982">
        <f>Габариты!CO72</f>
        <v>0</v>
      </c>
      <c r="BU22" s="982">
        <f>Габариты!CQ72</f>
        <v>0</v>
      </c>
      <c r="BV22" s="982">
        <f>Габариты!CR72</f>
        <v>0</v>
      </c>
      <c r="BW22" s="982">
        <f>Габариты!CT72</f>
        <v>0</v>
      </c>
      <c r="BX22" s="982">
        <f>Габариты!CU72</f>
        <v>0</v>
      </c>
      <c r="BY22" s="982">
        <f>Габариты!CW72</f>
        <v>0</v>
      </c>
      <c r="BZ22" s="982">
        <f>Габариты!CX72</f>
        <v>0</v>
      </c>
      <c r="CA22" s="982">
        <f>Габариты!CZ72</f>
        <v>0</v>
      </c>
      <c r="CB22" s="982">
        <f>Габариты!DA72</f>
        <v>0</v>
      </c>
      <c r="CC22" s="982">
        <f>Габариты!DC72</f>
        <v>0</v>
      </c>
      <c r="CD22" s="982">
        <f>Габариты!DD72</f>
        <v>0</v>
      </c>
      <c r="CE22" s="982">
        <f>Габариты!DF72</f>
        <v>0</v>
      </c>
      <c r="CF22" s="982">
        <f>Габариты!DG72</f>
        <v>0</v>
      </c>
      <c r="CG22" s="982">
        <f>Габариты!DI72</f>
        <v>0</v>
      </c>
      <c r="CH22" s="982">
        <f>Габариты!DJ72</f>
        <v>0</v>
      </c>
      <c r="CI22" s="982">
        <f>Габариты!DL72</f>
        <v>0</v>
      </c>
      <c r="CJ22" s="982">
        <f>Габариты!DM72</f>
        <v>0</v>
      </c>
    </row>
    <row r="23" spans="1:88" ht="18" x14ac:dyDescent="0.25">
      <c r="A23" s="434">
        <v>11</v>
      </c>
      <c r="B23" s="815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91"/>
      <c r="P23" s="1038" t="str">
        <f>Проверки!BK15</f>
        <v/>
      </c>
      <c r="Q23" s="489"/>
      <c r="R23" s="504" t="str">
        <f>IF($S23="","",IF(D!EQ14=0,"Тип кабеля не найден","Тип кабеля найден"))</f>
        <v/>
      </c>
      <c r="S23" s="504" t="str">
        <f>IF(Габариты!$ES16&gt;0,Габариты!$ES16,"")</f>
        <v/>
      </c>
      <c r="T23" s="979">
        <f ca="1">VLOOKUP(ROW(S23)-12,D!$BQ$85:$CA$104,COLUMN(S23)-10,FALSE)</f>
        <v>0</v>
      </c>
      <c r="U23" s="979">
        <f ca="1">VLOOKUP(ROW(T23)-12,D!$BQ$85:$CA$104,COLUMN(T23)-10,FALSE)</f>
        <v>0</v>
      </c>
      <c r="V23" s="979">
        <f ca="1">VLOOKUP(ROW(U23)-12,D!$BQ$85:$CA$104,COLUMN(U23)-10,FALSE)</f>
        <v>0</v>
      </c>
      <c r="W23" s="475"/>
      <c r="X23" s="482" t="s">
        <v>162</v>
      </c>
      <c r="Y23" s="979">
        <f>Габариты!CK17</f>
        <v>0</v>
      </c>
      <c r="Z23" s="979">
        <f>Габариты!CL17</f>
        <v>0</v>
      </c>
      <c r="AA23" s="979">
        <f>Габариты!CN17</f>
        <v>0</v>
      </c>
      <c r="AB23" s="979">
        <f>Габариты!CO17</f>
        <v>0</v>
      </c>
      <c r="AC23" s="979">
        <f>Габариты!CQ17</f>
        <v>0</v>
      </c>
      <c r="AD23" s="979">
        <f>Габариты!CR17</f>
        <v>0</v>
      </c>
      <c r="AE23" s="979">
        <f>Габариты!CT17</f>
        <v>0</v>
      </c>
      <c r="AF23" s="979">
        <f>Габариты!CU17</f>
        <v>0</v>
      </c>
      <c r="AG23" s="979">
        <f>Габариты!CW17</f>
        <v>0</v>
      </c>
      <c r="AH23" s="979">
        <f>Габариты!CX17</f>
        <v>0</v>
      </c>
      <c r="AI23" s="979">
        <f>Габариты!CZ17</f>
        <v>0</v>
      </c>
      <c r="AJ23" s="979">
        <f>Габариты!DA17</f>
        <v>0</v>
      </c>
      <c r="AK23" s="979">
        <f>Габариты!DC17</f>
        <v>0</v>
      </c>
      <c r="AL23" s="979">
        <f>Габариты!DD17</f>
        <v>0</v>
      </c>
      <c r="AM23" s="979">
        <f>Габариты!DF17</f>
        <v>0</v>
      </c>
      <c r="AN23" s="979">
        <f>Габариты!DG17</f>
        <v>0</v>
      </c>
      <c r="AO23" s="979">
        <f>Габариты!DI17</f>
        <v>0</v>
      </c>
      <c r="AP23" s="979">
        <f>Габариты!DJ17</f>
        <v>0</v>
      </c>
      <c r="AQ23" s="979">
        <f>Габариты!DL17</f>
        <v>0</v>
      </c>
      <c r="AR23" s="979">
        <f>Габариты!DM17</f>
        <v>0</v>
      </c>
      <c r="AS23" s="82"/>
      <c r="AT23" s="482" t="s">
        <v>162</v>
      </c>
      <c r="AU23" s="979">
        <f>Габариты!CK46</f>
        <v>0</v>
      </c>
      <c r="AV23" s="979">
        <f>Габариты!CL46</f>
        <v>0</v>
      </c>
      <c r="AW23" s="979">
        <f>Габариты!CN46</f>
        <v>0</v>
      </c>
      <c r="AX23" s="979">
        <f>Габариты!CO46</f>
        <v>0</v>
      </c>
      <c r="AY23" s="979">
        <f>Габариты!CQ46</f>
        <v>0</v>
      </c>
      <c r="AZ23" s="979">
        <f>Габариты!CR46</f>
        <v>0</v>
      </c>
      <c r="BA23" s="979">
        <f>Габариты!CT46</f>
        <v>0</v>
      </c>
      <c r="BB23" s="979">
        <f>Габариты!CU46</f>
        <v>0</v>
      </c>
      <c r="BC23" s="979">
        <f>Габариты!CW46</f>
        <v>0</v>
      </c>
      <c r="BD23" s="979">
        <f>Габариты!CX46</f>
        <v>0</v>
      </c>
      <c r="BE23" s="979">
        <f>Габариты!CZ46</f>
        <v>0</v>
      </c>
      <c r="BF23" s="979">
        <f>Габариты!DA46</f>
        <v>0</v>
      </c>
      <c r="BG23" s="979">
        <f>Габариты!DC46</f>
        <v>0</v>
      </c>
      <c r="BH23" s="979">
        <f>Габариты!DD46</f>
        <v>0</v>
      </c>
      <c r="BI23" s="979">
        <f>Габариты!DF46</f>
        <v>0</v>
      </c>
      <c r="BJ23" s="979">
        <f>Габариты!DG46</f>
        <v>0</v>
      </c>
      <c r="BK23" s="979">
        <f>Габариты!DI46</f>
        <v>0</v>
      </c>
      <c r="BL23" s="979">
        <f>Габариты!DJ46</f>
        <v>0</v>
      </c>
      <c r="BM23" s="979">
        <f>Габариты!DL46</f>
        <v>0</v>
      </c>
      <c r="BN23" s="979">
        <f>Габариты!DM46</f>
        <v>0</v>
      </c>
      <c r="BO23" s="82"/>
      <c r="BP23" s="482" t="s">
        <v>162</v>
      </c>
      <c r="BQ23" s="982">
        <f>Габариты!CK73</f>
        <v>0</v>
      </c>
      <c r="BR23" s="982">
        <f>Габариты!CL73</f>
        <v>0</v>
      </c>
      <c r="BS23" s="982">
        <f>Габариты!CN73</f>
        <v>0</v>
      </c>
      <c r="BT23" s="982">
        <f>Габариты!CO73</f>
        <v>0</v>
      </c>
      <c r="BU23" s="982">
        <f>Габариты!CQ73</f>
        <v>0</v>
      </c>
      <c r="BV23" s="982">
        <f>Габариты!CR73</f>
        <v>0</v>
      </c>
      <c r="BW23" s="982">
        <f>Габариты!CT73</f>
        <v>0</v>
      </c>
      <c r="BX23" s="982">
        <f>Габариты!CU73</f>
        <v>0</v>
      </c>
      <c r="BY23" s="982">
        <f>Габариты!CW73</f>
        <v>0</v>
      </c>
      <c r="BZ23" s="982">
        <f>Габариты!CX73</f>
        <v>0</v>
      </c>
      <c r="CA23" s="982">
        <f>Габариты!CZ73</f>
        <v>0</v>
      </c>
      <c r="CB23" s="982">
        <f>Габариты!DA73</f>
        <v>0</v>
      </c>
      <c r="CC23" s="982">
        <f>Габариты!DC73</f>
        <v>0</v>
      </c>
      <c r="CD23" s="982">
        <f>Габариты!DD73</f>
        <v>0</v>
      </c>
      <c r="CE23" s="982">
        <f>Габариты!DF73</f>
        <v>0</v>
      </c>
      <c r="CF23" s="982">
        <f>Габариты!DG73</f>
        <v>0</v>
      </c>
      <c r="CG23" s="982">
        <f>Габариты!DI73</f>
        <v>0</v>
      </c>
      <c r="CH23" s="982">
        <f>Габариты!DJ73</f>
        <v>0</v>
      </c>
      <c r="CI23" s="982">
        <f>Габариты!DL73</f>
        <v>0</v>
      </c>
      <c r="CJ23" s="982">
        <f>Габариты!DM73</f>
        <v>0</v>
      </c>
    </row>
    <row r="24" spans="1:88" ht="18" x14ac:dyDescent="0.25">
      <c r="A24" s="434">
        <v>12</v>
      </c>
      <c r="B24" s="815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91"/>
      <c r="P24" s="1038" t="str">
        <f>Проверки!BK16</f>
        <v/>
      </c>
      <c r="Q24" s="489"/>
      <c r="R24" s="504" t="str">
        <f>IF($S24="","",IF(D!EQ15=0,"Тип кабеля не найден","Тип кабеля найден"))</f>
        <v/>
      </c>
      <c r="S24" s="504" t="str">
        <f>IF(Габариты!$ES17&gt;0,Габариты!$ES17,"")</f>
        <v/>
      </c>
      <c r="T24" s="979">
        <f ca="1">VLOOKUP(ROW(S24)-12,D!$BQ$85:$CA$104,COLUMN(S24)-10,FALSE)</f>
        <v>0</v>
      </c>
      <c r="U24" s="979">
        <f ca="1">VLOOKUP(ROW(T24)-12,D!$BQ$85:$CA$104,COLUMN(T24)-10,FALSE)</f>
        <v>0</v>
      </c>
      <c r="V24" s="979">
        <f ca="1">VLOOKUP(ROW(U24)-12,D!$BQ$85:$CA$104,COLUMN(U24)-10,FALSE)</f>
        <v>0</v>
      </c>
      <c r="W24" s="475"/>
      <c r="X24" s="482" t="s">
        <v>163</v>
      </c>
      <c r="Y24" s="979">
        <f>Габариты!CK18</f>
        <v>0</v>
      </c>
      <c r="Z24" s="979">
        <f>Габариты!CL18</f>
        <v>0</v>
      </c>
      <c r="AA24" s="979">
        <f>Габариты!CN18</f>
        <v>0</v>
      </c>
      <c r="AB24" s="979">
        <f>Габариты!CO18</f>
        <v>0</v>
      </c>
      <c r="AC24" s="979">
        <f>Габариты!CQ18</f>
        <v>0</v>
      </c>
      <c r="AD24" s="979">
        <f>Габариты!CR18</f>
        <v>0</v>
      </c>
      <c r="AE24" s="979">
        <f>Габариты!CT18</f>
        <v>0</v>
      </c>
      <c r="AF24" s="979">
        <f>Габариты!CU18</f>
        <v>0</v>
      </c>
      <c r="AG24" s="979">
        <f>Габариты!CW18</f>
        <v>0</v>
      </c>
      <c r="AH24" s="979">
        <f>Габариты!CX18</f>
        <v>0</v>
      </c>
      <c r="AI24" s="979">
        <f>Габариты!CZ18</f>
        <v>0</v>
      </c>
      <c r="AJ24" s="979">
        <f>Габариты!DA18</f>
        <v>0</v>
      </c>
      <c r="AK24" s="979">
        <f>Габариты!DC18</f>
        <v>0</v>
      </c>
      <c r="AL24" s="979">
        <f>Габариты!DD18</f>
        <v>0</v>
      </c>
      <c r="AM24" s="979">
        <f>Габариты!DF18</f>
        <v>0</v>
      </c>
      <c r="AN24" s="979">
        <f>Габариты!DG18</f>
        <v>0</v>
      </c>
      <c r="AO24" s="979">
        <f>Габариты!DI18</f>
        <v>0</v>
      </c>
      <c r="AP24" s="979">
        <f>Габариты!DJ18</f>
        <v>0</v>
      </c>
      <c r="AQ24" s="979">
        <f>Габариты!DL18</f>
        <v>0</v>
      </c>
      <c r="AR24" s="979">
        <f>Габариты!DM18</f>
        <v>0</v>
      </c>
      <c r="AS24" s="82"/>
      <c r="AT24" s="482" t="s">
        <v>163</v>
      </c>
      <c r="AU24" s="979">
        <f>Габариты!CK47</f>
        <v>0</v>
      </c>
      <c r="AV24" s="979">
        <f>Габариты!CL47</f>
        <v>0</v>
      </c>
      <c r="AW24" s="979">
        <f>Габариты!CN47</f>
        <v>0</v>
      </c>
      <c r="AX24" s="979">
        <f>Габариты!CO47</f>
        <v>0</v>
      </c>
      <c r="AY24" s="979">
        <f>Габариты!CQ47</f>
        <v>0</v>
      </c>
      <c r="AZ24" s="979">
        <f>Габариты!CR47</f>
        <v>0</v>
      </c>
      <c r="BA24" s="979">
        <f>Габариты!CT47</f>
        <v>0</v>
      </c>
      <c r="BB24" s="979">
        <f>Габариты!CU47</f>
        <v>0</v>
      </c>
      <c r="BC24" s="979">
        <f>Габариты!CW47</f>
        <v>0</v>
      </c>
      <c r="BD24" s="979">
        <f>Габариты!CX47</f>
        <v>0</v>
      </c>
      <c r="BE24" s="979">
        <f>Габариты!CZ47</f>
        <v>0</v>
      </c>
      <c r="BF24" s="979">
        <f>Габариты!DA47</f>
        <v>0</v>
      </c>
      <c r="BG24" s="979">
        <f>Габариты!DC47</f>
        <v>0</v>
      </c>
      <c r="BH24" s="979">
        <f>Габариты!DD47</f>
        <v>0</v>
      </c>
      <c r="BI24" s="979">
        <f>Габариты!DF47</f>
        <v>0</v>
      </c>
      <c r="BJ24" s="979">
        <f>Габариты!DG47</f>
        <v>0</v>
      </c>
      <c r="BK24" s="979">
        <f>Габариты!DI47</f>
        <v>0</v>
      </c>
      <c r="BL24" s="979">
        <f>Габариты!DJ47</f>
        <v>0</v>
      </c>
      <c r="BM24" s="979">
        <f>Габариты!DL47</f>
        <v>0</v>
      </c>
      <c r="BN24" s="979">
        <f>Габариты!DM47</f>
        <v>0</v>
      </c>
      <c r="BO24" s="82"/>
      <c r="BP24" s="482" t="s">
        <v>163</v>
      </c>
      <c r="BQ24" s="982">
        <f>Габариты!CK74</f>
        <v>0</v>
      </c>
      <c r="BR24" s="982">
        <f>Габариты!CL74</f>
        <v>0</v>
      </c>
      <c r="BS24" s="982">
        <f>Габариты!CN74</f>
        <v>0</v>
      </c>
      <c r="BT24" s="982">
        <f>Габариты!CO74</f>
        <v>0</v>
      </c>
      <c r="BU24" s="982">
        <f>Габариты!CQ74</f>
        <v>0</v>
      </c>
      <c r="BV24" s="982">
        <f>Габариты!CR74</f>
        <v>0</v>
      </c>
      <c r="BW24" s="982">
        <f>Габариты!CT74</f>
        <v>0</v>
      </c>
      <c r="BX24" s="982">
        <f>Габариты!CU74</f>
        <v>0</v>
      </c>
      <c r="BY24" s="982">
        <f>Габариты!CW74</f>
        <v>0</v>
      </c>
      <c r="BZ24" s="982">
        <f>Габариты!CX74</f>
        <v>0</v>
      </c>
      <c r="CA24" s="982">
        <f>Габариты!CZ74</f>
        <v>0</v>
      </c>
      <c r="CB24" s="982">
        <f>Габариты!DA74</f>
        <v>0</v>
      </c>
      <c r="CC24" s="982">
        <f>Габариты!DC74</f>
        <v>0</v>
      </c>
      <c r="CD24" s="982">
        <f>Габариты!DD74</f>
        <v>0</v>
      </c>
      <c r="CE24" s="982">
        <f>Габариты!DF74</f>
        <v>0</v>
      </c>
      <c r="CF24" s="982">
        <f>Габариты!DG74</f>
        <v>0</v>
      </c>
      <c r="CG24" s="982">
        <f>Габариты!DI74</f>
        <v>0</v>
      </c>
      <c r="CH24" s="982">
        <f>Габариты!DJ74</f>
        <v>0</v>
      </c>
      <c r="CI24" s="982">
        <f>Габариты!DL74</f>
        <v>0</v>
      </c>
      <c r="CJ24" s="982">
        <f>Габариты!DM74</f>
        <v>0</v>
      </c>
    </row>
    <row r="25" spans="1:88" ht="18" x14ac:dyDescent="0.25">
      <c r="A25" s="434">
        <v>13</v>
      </c>
      <c r="B25" s="815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91"/>
      <c r="P25" s="1038" t="str">
        <f>Проверки!BK17</f>
        <v/>
      </c>
      <c r="Q25" s="489"/>
      <c r="R25" s="504" t="str">
        <f>IF($S25="","",IF(D!EQ16=0,"Тип кабеля не найден","Тип кабеля найден"))</f>
        <v/>
      </c>
      <c r="S25" s="504" t="str">
        <f>IF(Габариты!$ES18&gt;0,Габариты!$ES18,"")</f>
        <v/>
      </c>
      <c r="T25" s="979">
        <f ca="1">VLOOKUP(ROW(S25)-12,D!$BQ$85:$CA$104,COLUMN(S25)-10,FALSE)</f>
        <v>0</v>
      </c>
      <c r="U25" s="979">
        <f ca="1">VLOOKUP(ROW(T25)-12,D!$BQ$85:$CA$104,COLUMN(T25)-10,FALSE)</f>
        <v>0</v>
      </c>
      <c r="V25" s="979">
        <f ca="1">VLOOKUP(ROW(U25)-12,D!$BQ$85:$CA$104,COLUMN(U25)-10,FALSE)</f>
        <v>0</v>
      </c>
      <c r="W25" s="475"/>
      <c r="X25" s="482" t="s">
        <v>164</v>
      </c>
      <c r="Y25" s="979">
        <f>Габариты!CK19</f>
        <v>0</v>
      </c>
      <c r="Z25" s="979">
        <f>Габариты!CL19</f>
        <v>0</v>
      </c>
      <c r="AA25" s="979">
        <f>Габариты!CN19</f>
        <v>0</v>
      </c>
      <c r="AB25" s="979">
        <f>Габариты!CO19</f>
        <v>0</v>
      </c>
      <c r="AC25" s="979">
        <f>Габариты!CQ19</f>
        <v>0</v>
      </c>
      <c r="AD25" s="979">
        <f>Габариты!CR19</f>
        <v>0</v>
      </c>
      <c r="AE25" s="979">
        <f>Габариты!CT19</f>
        <v>0</v>
      </c>
      <c r="AF25" s="979">
        <f>Габариты!CU19</f>
        <v>0</v>
      </c>
      <c r="AG25" s="979">
        <f>Габариты!CW19</f>
        <v>0</v>
      </c>
      <c r="AH25" s="979">
        <f>Габариты!CX19</f>
        <v>0</v>
      </c>
      <c r="AI25" s="979">
        <f>Габариты!CZ19</f>
        <v>0</v>
      </c>
      <c r="AJ25" s="979">
        <f>Габариты!DA19</f>
        <v>0</v>
      </c>
      <c r="AK25" s="979">
        <f>Габариты!DC19</f>
        <v>0</v>
      </c>
      <c r="AL25" s="979">
        <f>Габариты!DD19</f>
        <v>0</v>
      </c>
      <c r="AM25" s="979">
        <f>Габариты!DF19</f>
        <v>0</v>
      </c>
      <c r="AN25" s="979">
        <f>Габариты!DG19</f>
        <v>0</v>
      </c>
      <c r="AO25" s="979">
        <f>Габариты!DI19</f>
        <v>0</v>
      </c>
      <c r="AP25" s="979">
        <f>Габариты!DJ19</f>
        <v>0</v>
      </c>
      <c r="AQ25" s="979">
        <f>Габариты!DL19</f>
        <v>0</v>
      </c>
      <c r="AR25" s="979">
        <f>Габариты!DM19</f>
        <v>0</v>
      </c>
      <c r="AS25" s="82"/>
      <c r="AT25" s="482" t="s">
        <v>164</v>
      </c>
      <c r="AU25" s="979">
        <f>Габариты!CK48</f>
        <v>0</v>
      </c>
      <c r="AV25" s="979">
        <f>Габариты!CL48</f>
        <v>0</v>
      </c>
      <c r="AW25" s="979">
        <f>Габариты!CN48</f>
        <v>0</v>
      </c>
      <c r="AX25" s="979">
        <f>Габариты!CO48</f>
        <v>0</v>
      </c>
      <c r="AY25" s="979">
        <f>Габариты!CQ48</f>
        <v>0</v>
      </c>
      <c r="AZ25" s="979">
        <f>Габариты!CR48</f>
        <v>0</v>
      </c>
      <c r="BA25" s="979">
        <f>Габариты!CT48</f>
        <v>0</v>
      </c>
      <c r="BB25" s="979">
        <f>Габариты!CU48</f>
        <v>0</v>
      </c>
      <c r="BC25" s="979">
        <f>Габариты!CW48</f>
        <v>0</v>
      </c>
      <c r="BD25" s="979">
        <f>Габариты!CX48</f>
        <v>0</v>
      </c>
      <c r="BE25" s="979">
        <f>Габариты!CZ48</f>
        <v>0</v>
      </c>
      <c r="BF25" s="979">
        <f>Габариты!DA48</f>
        <v>0</v>
      </c>
      <c r="BG25" s="979">
        <f>Габариты!DC48</f>
        <v>0</v>
      </c>
      <c r="BH25" s="979">
        <f>Габариты!DD48</f>
        <v>0</v>
      </c>
      <c r="BI25" s="979">
        <f>Габариты!DF48</f>
        <v>0</v>
      </c>
      <c r="BJ25" s="979">
        <f>Габариты!DG48</f>
        <v>0</v>
      </c>
      <c r="BK25" s="979">
        <f>Габариты!DI48</f>
        <v>0</v>
      </c>
      <c r="BL25" s="979">
        <f>Габариты!DJ48</f>
        <v>0</v>
      </c>
      <c r="BM25" s="979">
        <f>Габариты!DL48</f>
        <v>0</v>
      </c>
      <c r="BN25" s="979">
        <f>Габариты!DM48</f>
        <v>0</v>
      </c>
      <c r="BO25" s="82"/>
      <c r="BP25" s="482" t="s">
        <v>164</v>
      </c>
      <c r="BQ25" s="982">
        <f>Габариты!CK75</f>
        <v>0</v>
      </c>
      <c r="BR25" s="982">
        <f>Габариты!CL75</f>
        <v>0</v>
      </c>
      <c r="BS25" s="982">
        <f>Габариты!CN75</f>
        <v>0</v>
      </c>
      <c r="BT25" s="982">
        <f>Габариты!CO75</f>
        <v>0</v>
      </c>
      <c r="BU25" s="982">
        <f>Габариты!CQ75</f>
        <v>0</v>
      </c>
      <c r="BV25" s="982">
        <f>Габариты!CR75</f>
        <v>0</v>
      </c>
      <c r="BW25" s="982">
        <f>Габариты!CT75</f>
        <v>0</v>
      </c>
      <c r="BX25" s="982">
        <f>Габариты!CU75</f>
        <v>0</v>
      </c>
      <c r="BY25" s="982">
        <f>Габариты!CW75</f>
        <v>0</v>
      </c>
      <c r="BZ25" s="982">
        <f>Габариты!CX75</f>
        <v>0</v>
      </c>
      <c r="CA25" s="982">
        <f>Габариты!CZ75</f>
        <v>0</v>
      </c>
      <c r="CB25" s="982">
        <f>Габариты!DA75</f>
        <v>0</v>
      </c>
      <c r="CC25" s="982">
        <f>Габариты!DC75</f>
        <v>0</v>
      </c>
      <c r="CD25" s="982">
        <f>Габариты!DD75</f>
        <v>0</v>
      </c>
      <c r="CE25" s="982">
        <f>Габариты!DF75</f>
        <v>0</v>
      </c>
      <c r="CF25" s="982">
        <f>Габариты!DG75</f>
        <v>0</v>
      </c>
      <c r="CG25" s="982">
        <f>Габариты!DI75</f>
        <v>0</v>
      </c>
      <c r="CH25" s="982">
        <f>Габариты!DJ75</f>
        <v>0</v>
      </c>
      <c r="CI25" s="982">
        <f>Габариты!DL75</f>
        <v>0</v>
      </c>
      <c r="CJ25" s="982">
        <f>Габариты!DM75</f>
        <v>0</v>
      </c>
    </row>
    <row r="26" spans="1:88" ht="18" x14ac:dyDescent="0.25">
      <c r="A26" s="434">
        <v>14</v>
      </c>
      <c r="B26" s="815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91"/>
      <c r="P26" s="1038" t="str">
        <f>Проверки!BK18</f>
        <v/>
      </c>
      <c r="Q26" s="489"/>
      <c r="R26" s="504" t="str">
        <f>IF($S26="","",IF(D!EQ17=0,"Тип кабеля не найден","Тип кабеля найден"))</f>
        <v/>
      </c>
      <c r="S26" s="504" t="str">
        <f>IF(Габариты!$ES19&gt;0,Габариты!$ES19,"")</f>
        <v/>
      </c>
      <c r="T26" s="979">
        <f ca="1">VLOOKUP(ROW(S26)-12,D!$BQ$85:$CA$104,COLUMN(S26)-10,FALSE)</f>
        <v>0</v>
      </c>
      <c r="U26" s="979">
        <f ca="1">VLOOKUP(ROW(T26)-12,D!$BQ$85:$CA$104,COLUMN(T26)-10,FALSE)</f>
        <v>0</v>
      </c>
      <c r="V26" s="979">
        <f ca="1">VLOOKUP(ROW(U26)-12,D!$BQ$85:$CA$104,COLUMN(U26)-10,FALSE)</f>
        <v>0</v>
      </c>
      <c r="W26" s="475"/>
      <c r="X26" s="482" t="s">
        <v>165</v>
      </c>
      <c r="Y26" s="979">
        <f>Габариты!CK20</f>
        <v>0</v>
      </c>
      <c r="Z26" s="979">
        <f>Габариты!CL20</f>
        <v>0</v>
      </c>
      <c r="AA26" s="979">
        <f>Габариты!CN20</f>
        <v>0</v>
      </c>
      <c r="AB26" s="979">
        <f>Габариты!CO20</f>
        <v>0</v>
      </c>
      <c r="AC26" s="979">
        <f>Габариты!CQ20</f>
        <v>0</v>
      </c>
      <c r="AD26" s="979">
        <f>Габариты!CR20</f>
        <v>0</v>
      </c>
      <c r="AE26" s="979">
        <f>Габариты!CT20</f>
        <v>0</v>
      </c>
      <c r="AF26" s="979">
        <f>Габариты!CU20</f>
        <v>0</v>
      </c>
      <c r="AG26" s="979">
        <f>Габариты!CW20</f>
        <v>0</v>
      </c>
      <c r="AH26" s="979">
        <f>Габариты!CX20</f>
        <v>0</v>
      </c>
      <c r="AI26" s="979">
        <f>Габариты!CZ20</f>
        <v>0</v>
      </c>
      <c r="AJ26" s="979">
        <f>Габариты!DA20</f>
        <v>0</v>
      </c>
      <c r="AK26" s="979">
        <f>Габариты!DC20</f>
        <v>0</v>
      </c>
      <c r="AL26" s="979">
        <f>Габариты!DD20</f>
        <v>0</v>
      </c>
      <c r="AM26" s="979">
        <f>Габариты!DF20</f>
        <v>0</v>
      </c>
      <c r="AN26" s="979">
        <f>Габариты!DG20</f>
        <v>0</v>
      </c>
      <c r="AO26" s="979">
        <f>Габариты!DI20</f>
        <v>0</v>
      </c>
      <c r="AP26" s="979">
        <f>Габариты!DJ20</f>
        <v>0</v>
      </c>
      <c r="AQ26" s="979">
        <f>Габариты!DL20</f>
        <v>0</v>
      </c>
      <c r="AR26" s="979">
        <f>Габариты!DM20</f>
        <v>0</v>
      </c>
      <c r="AS26" s="82"/>
      <c r="AT26" s="482" t="s">
        <v>165</v>
      </c>
      <c r="AU26" s="979">
        <f>Габариты!CK49</f>
        <v>0</v>
      </c>
      <c r="AV26" s="979">
        <f>Габариты!CL49</f>
        <v>0</v>
      </c>
      <c r="AW26" s="979">
        <f>Габариты!CN49</f>
        <v>0</v>
      </c>
      <c r="AX26" s="979">
        <f>Габариты!CO49</f>
        <v>0</v>
      </c>
      <c r="AY26" s="979">
        <f>Габариты!CQ49</f>
        <v>0</v>
      </c>
      <c r="AZ26" s="979">
        <f>Габариты!CR49</f>
        <v>0</v>
      </c>
      <c r="BA26" s="979">
        <f>Габариты!CT49</f>
        <v>0</v>
      </c>
      <c r="BB26" s="979">
        <f>Габариты!CU49</f>
        <v>0</v>
      </c>
      <c r="BC26" s="979">
        <f>Габариты!CW49</f>
        <v>0</v>
      </c>
      <c r="BD26" s="979">
        <f>Габариты!CX49</f>
        <v>0</v>
      </c>
      <c r="BE26" s="979">
        <f>Габариты!CZ49</f>
        <v>0</v>
      </c>
      <c r="BF26" s="979">
        <f>Габариты!DA49</f>
        <v>0</v>
      </c>
      <c r="BG26" s="979">
        <f>Габариты!DC49</f>
        <v>0</v>
      </c>
      <c r="BH26" s="979">
        <f>Габариты!DD49</f>
        <v>0</v>
      </c>
      <c r="BI26" s="979">
        <f>Габариты!DF49</f>
        <v>0</v>
      </c>
      <c r="BJ26" s="979">
        <f>Габариты!DG49</f>
        <v>0</v>
      </c>
      <c r="BK26" s="979">
        <f>Габариты!DI49</f>
        <v>0</v>
      </c>
      <c r="BL26" s="979">
        <f>Габариты!DJ49</f>
        <v>0</v>
      </c>
      <c r="BM26" s="979">
        <f>Габариты!DL49</f>
        <v>0</v>
      </c>
      <c r="BN26" s="979">
        <f>Габариты!DM49</f>
        <v>0</v>
      </c>
      <c r="BO26" s="82"/>
      <c r="BP26" s="482" t="s">
        <v>165</v>
      </c>
      <c r="BQ26" s="982">
        <f>Габариты!CK76</f>
        <v>0</v>
      </c>
      <c r="BR26" s="982">
        <f>Габариты!CL76</f>
        <v>0</v>
      </c>
      <c r="BS26" s="982">
        <f>Габариты!CN76</f>
        <v>0</v>
      </c>
      <c r="BT26" s="982">
        <f>Габариты!CO76</f>
        <v>0</v>
      </c>
      <c r="BU26" s="982">
        <f>Габариты!CQ76</f>
        <v>0</v>
      </c>
      <c r="BV26" s="982">
        <f>Габариты!CR76</f>
        <v>0</v>
      </c>
      <c r="BW26" s="982">
        <f>Габариты!CT76</f>
        <v>0</v>
      </c>
      <c r="BX26" s="982">
        <f>Габариты!CU76</f>
        <v>0</v>
      </c>
      <c r="BY26" s="982">
        <f>Габариты!CW76</f>
        <v>0</v>
      </c>
      <c r="BZ26" s="982">
        <f>Габариты!CX76</f>
        <v>0</v>
      </c>
      <c r="CA26" s="982">
        <f>Габариты!CZ76</f>
        <v>0</v>
      </c>
      <c r="CB26" s="982">
        <f>Габариты!DA76</f>
        <v>0</v>
      </c>
      <c r="CC26" s="982">
        <f>Габариты!DC76</f>
        <v>0</v>
      </c>
      <c r="CD26" s="982">
        <f>Габариты!DD76</f>
        <v>0</v>
      </c>
      <c r="CE26" s="982">
        <f>Габариты!DF76</f>
        <v>0</v>
      </c>
      <c r="CF26" s="982">
        <f>Габариты!DG76</f>
        <v>0</v>
      </c>
      <c r="CG26" s="982">
        <f>Габариты!DI76</f>
        <v>0</v>
      </c>
      <c r="CH26" s="982">
        <f>Габариты!DJ76</f>
        <v>0</v>
      </c>
      <c r="CI26" s="982">
        <f>Габариты!DL76</f>
        <v>0</v>
      </c>
      <c r="CJ26" s="982">
        <f>Габариты!DM76</f>
        <v>0</v>
      </c>
    </row>
    <row r="27" spans="1:88" ht="18" x14ac:dyDescent="0.25">
      <c r="A27" s="434">
        <v>15</v>
      </c>
      <c r="B27" s="1035"/>
      <c r="C27" s="1036"/>
      <c r="D27" s="1036"/>
      <c r="E27" s="113"/>
      <c r="F27" s="1036"/>
      <c r="G27" s="1036"/>
      <c r="H27" s="1036"/>
      <c r="I27" s="1037"/>
      <c r="J27" s="1036"/>
      <c r="K27" s="1036"/>
      <c r="L27" s="1036"/>
      <c r="M27" s="1036"/>
      <c r="N27" s="1036"/>
      <c r="O27" s="1039"/>
      <c r="P27" s="1038" t="str">
        <f>Проверки!BK19</f>
        <v/>
      </c>
      <c r="Q27" s="489"/>
      <c r="R27" s="504" t="str">
        <f>IF($S27="","",IF(D!EQ18=0,"Тип кабеля не найден","Тип кабеля найден"))</f>
        <v/>
      </c>
      <c r="S27" s="504" t="str">
        <f>IF(Габариты!$ES20&gt;0,Габариты!$ES20,"")</f>
        <v/>
      </c>
      <c r="T27" s="979">
        <f ca="1">VLOOKUP(ROW(S27)-12,D!$BQ$85:$CA$104,COLUMN(S27)-10,FALSE)</f>
        <v>0</v>
      </c>
      <c r="U27" s="979">
        <f ca="1">VLOOKUP(ROW(T27)-12,D!$BQ$85:$CA$104,COLUMN(T27)-10,FALSE)</f>
        <v>0</v>
      </c>
      <c r="V27" s="979">
        <f ca="1">VLOOKUP(ROW(U27)-12,D!$BQ$85:$CA$104,COLUMN(U27)-10,FALSE)</f>
        <v>0</v>
      </c>
      <c r="W27" s="475"/>
      <c r="X27" s="482" t="s">
        <v>166</v>
      </c>
      <c r="Y27" s="979">
        <f>Габариты!CK21</f>
        <v>0</v>
      </c>
      <c r="Z27" s="979">
        <f>Габариты!CL21</f>
        <v>0</v>
      </c>
      <c r="AA27" s="979">
        <f>Габариты!CN21</f>
        <v>0</v>
      </c>
      <c r="AB27" s="979">
        <f>Габариты!CO21</f>
        <v>0</v>
      </c>
      <c r="AC27" s="979">
        <f>Габариты!CQ21</f>
        <v>0</v>
      </c>
      <c r="AD27" s="979">
        <f>Габариты!CR21</f>
        <v>0</v>
      </c>
      <c r="AE27" s="979">
        <f>Габариты!CT21</f>
        <v>0</v>
      </c>
      <c r="AF27" s="979">
        <f>Габариты!CU21</f>
        <v>0</v>
      </c>
      <c r="AG27" s="979">
        <f>Габариты!CW21</f>
        <v>0</v>
      </c>
      <c r="AH27" s="979">
        <f>Габариты!CX21</f>
        <v>0</v>
      </c>
      <c r="AI27" s="979">
        <f>Габариты!CZ21</f>
        <v>0</v>
      </c>
      <c r="AJ27" s="979">
        <f>Габариты!DA21</f>
        <v>0</v>
      </c>
      <c r="AK27" s="979">
        <f>Габариты!DC21</f>
        <v>0</v>
      </c>
      <c r="AL27" s="979">
        <f>Габариты!DD21</f>
        <v>0</v>
      </c>
      <c r="AM27" s="979">
        <f>Габариты!DF21</f>
        <v>0</v>
      </c>
      <c r="AN27" s="979">
        <f>Габариты!DG21</f>
        <v>0</v>
      </c>
      <c r="AO27" s="979">
        <f>Габариты!DI21</f>
        <v>0</v>
      </c>
      <c r="AP27" s="979">
        <f>Габариты!DJ21</f>
        <v>0</v>
      </c>
      <c r="AQ27" s="979">
        <f>Габариты!DL21</f>
        <v>0</v>
      </c>
      <c r="AR27" s="979">
        <f>Габариты!DM21</f>
        <v>0</v>
      </c>
      <c r="AS27" s="82"/>
      <c r="AT27" s="482" t="s">
        <v>166</v>
      </c>
      <c r="AU27" s="979">
        <f>Габариты!CK50</f>
        <v>0</v>
      </c>
      <c r="AV27" s="979">
        <f>Габариты!CL50</f>
        <v>0</v>
      </c>
      <c r="AW27" s="979">
        <f>Габариты!CN50</f>
        <v>0</v>
      </c>
      <c r="AX27" s="979">
        <f>Габариты!CO50</f>
        <v>0</v>
      </c>
      <c r="AY27" s="979">
        <f>Габариты!CQ50</f>
        <v>0</v>
      </c>
      <c r="AZ27" s="979">
        <f>Габариты!CR50</f>
        <v>0</v>
      </c>
      <c r="BA27" s="979">
        <f>Габариты!CT50</f>
        <v>0</v>
      </c>
      <c r="BB27" s="979">
        <f>Габариты!CU50</f>
        <v>0</v>
      </c>
      <c r="BC27" s="979">
        <f>Габариты!CW50</f>
        <v>0</v>
      </c>
      <c r="BD27" s="979">
        <f>Габариты!CX50</f>
        <v>0</v>
      </c>
      <c r="BE27" s="979">
        <f>Габариты!CZ50</f>
        <v>0</v>
      </c>
      <c r="BF27" s="979">
        <f>Габариты!DA50</f>
        <v>0</v>
      </c>
      <c r="BG27" s="979">
        <f>Габариты!DC50</f>
        <v>0</v>
      </c>
      <c r="BH27" s="979">
        <f>Габариты!DD50</f>
        <v>0</v>
      </c>
      <c r="BI27" s="979">
        <f>Габариты!DF50</f>
        <v>0</v>
      </c>
      <c r="BJ27" s="979">
        <f>Габариты!DG50</f>
        <v>0</v>
      </c>
      <c r="BK27" s="979">
        <f>Габариты!DI50</f>
        <v>0</v>
      </c>
      <c r="BL27" s="979">
        <f>Габариты!DJ50</f>
        <v>0</v>
      </c>
      <c r="BM27" s="979">
        <f>Габариты!DL50</f>
        <v>0</v>
      </c>
      <c r="BN27" s="979">
        <f>Габариты!DM50</f>
        <v>0</v>
      </c>
      <c r="BO27" s="82"/>
      <c r="BP27" s="482" t="s">
        <v>166</v>
      </c>
      <c r="BQ27" s="982">
        <f>Габариты!CK77</f>
        <v>0</v>
      </c>
      <c r="BR27" s="982">
        <f>Габариты!CL77</f>
        <v>0</v>
      </c>
      <c r="BS27" s="982">
        <f>Габариты!CN77</f>
        <v>0</v>
      </c>
      <c r="BT27" s="982">
        <f>Габариты!CO77</f>
        <v>0</v>
      </c>
      <c r="BU27" s="982">
        <f>Габариты!CQ77</f>
        <v>0</v>
      </c>
      <c r="BV27" s="982">
        <f>Габариты!CR77</f>
        <v>0</v>
      </c>
      <c r="BW27" s="982">
        <f>Габариты!CT77</f>
        <v>0</v>
      </c>
      <c r="BX27" s="982">
        <f>Габариты!CU77</f>
        <v>0</v>
      </c>
      <c r="BY27" s="982">
        <f>Габариты!CW77</f>
        <v>0</v>
      </c>
      <c r="BZ27" s="982">
        <f>Габариты!CX77</f>
        <v>0</v>
      </c>
      <c r="CA27" s="982">
        <f>Габариты!CZ77</f>
        <v>0</v>
      </c>
      <c r="CB27" s="982">
        <f>Габариты!DA77</f>
        <v>0</v>
      </c>
      <c r="CC27" s="982">
        <f>Габариты!DC77</f>
        <v>0</v>
      </c>
      <c r="CD27" s="982">
        <f>Габариты!DD77</f>
        <v>0</v>
      </c>
      <c r="CE27" s="982">
        <f>Габариты!DF77</f>
        <v>0</v>
      </c>
      <c r="CF27" s="982">
        <f>Габариты!DG77</f>
        <v>0</v>
      </c>
      <c r="CG27" s="982">
        <f>Габариты!DI77</f>
        <v>0</v>
      </c>
      <c r="CH27" s="982">
        <f>Габариты!DJ77</f>
        <v>0</v>
      </c>
      <c r="CI27" s="982">
        <f>Габариты!DL77</f>
        <v>0</v>
      </c>
      <c r="CJ27" s="982">
        <f>Габариты!DM77</f>
        <v>0</v>
      </c>
    </row>
    <row r="28" spans="1:88" ht="18" x14ac:dyDescent="0.25">
      <c r="A28" s="434">
        <v>16</v>
      </c>
      <c r="B28" s="815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91"/>
      <c r="P28" s="1078" t="str">
        <f>Проверки!BK20</f>
        <v/>
      </c>
      <c r="Q28" s="477"/>
      <c r="R28" s="504" t="str">
        <f>IF($S28="","",IF(D!EQ19=0,"Тип кабеля не найден","Тип кабеля найден"))</f>
        <v/>
      </c>
      <c r="S28" s="504" t="str">
        <f>IF(Габариты!$ES21&gt;0,Габариты!$ES21,"")</f>
        <v/>
      </c>
      <c r="T28" s="979">
        <f ca="1">VLOOKUP(ROW(S28)-12,D!$BQ$85:$CA$104,COLUMN(S28)-10,FALSE)</f>
        <v>0</v>
      </c>
      <c r="U28" s="979">
        <f ca="1">VLOOKUP(ROW(T28)-12,D!$BQ$85:$CA$104,COLUMN(T28)-10,FALSE)</f>
        <v>0</v>
      </c>
      <c r="V28" s="979">
        <f ca="1">VLOOKUP(ROW(U28)-12,D!$BQ$85:$CA$104,COLUMN(U28)-10,FALSE)</f>
        <v>0</v>
      </c>
      <c r="W28" s="475"/>
      <c r="X28" s="1011" t="s">
        <v>1305</v>
      </c>
      <c r="Y28" s="979">
        <f>Габариты!CK27</f>
        <v>0</v>
      </c>
      <c r="Z28" s="979">
        <f>Габариты!CL27</f>
        <v>0</v>
      </c>
      <c r="AA28" s="979">
        <f>Габариты!CN27</f>
        <v>0</v>
      </c>
      <c r="AB28" s="979">
        <f>Габариты!CO27</f>
        <v>0</v>
      </c>
      <c r="AC28" s="979">
        <f>Габариты!CQ27</f>
        <v>0</v>
      </c>
      <c r="AD28" s="979">
        <f>Габариты!CR27</f>
        <v>0</v>
      </c>
      <c r="AE28" s="979">
        <f>Габариты!CT27</f>
        <v>0</v>
      </c>
      <c r="AF28" s="979">
        <f>Габариты!CU27</f>
        <v>0</v>
      </c>
      <c r="AG28" s="979">
        <f>Габариты!CW27</f>
        <v>0</v>
      </c>
      <c r="AH28" s="979">
        <f>Габариты!CX27</f>
        <v>0</v>
      </c>
      <c r="AI28" s="979">
        <f>Габариты!CZ27</f>
        <v>0</v>
      </c>
      <c r="AJ28" s="979">
        <f>Габариты!DA27</f>
        <v>0</v>
      </c>
      <c r="AK28" s="979">
        <f>Габариты!DC27</f>
        <v>0</v>
      </c>
      <c r="AL28" s="979">
        <f>Габариты!DD27</f>
        <v>0</v>
      </c>
      <c r="AM28" s="979">
        <f>Габариты!DF27</f>
        <v>0</v>
      </c>
      <c r="AN28" s="979">
        <f>Габариты!DG27</f>
        <v>0</v>
      </c>
      <c r="AO28" s="979">
        <f>Габариты!DI27</f>
        <v>0</v>
      </c>
      <c r="AP28" s="979">
        <f>Габариты!DJ27</f>
        <v>0</v>
      </c>
      <c r="AQ28" s="979">
        <f>Габариты!DL27</f>
        <v>0</v>
      </c>
      <c r="AR28" s="979">
        <f>Габариты!DM27</f>
        <v>0</v>
      </c>
      <c r="AS28" s="82"/>
      <c r="AT28" s="1011" t="s">
        <v>1305</v>
      </c>
      <c r="AU28" s="979">
        <f>Габариты!CK56</f>
        <v>0</v>
      </c>
      <c r="AV28" s="979">
        <f>Габариты!CL56</f>
        <v>0</v>
      </c>
      <c r="AW28" s="979">
        <f>Габариты!CN56</f>
        <v>0</v>
      </c>
      <c r="AX28" s="979">
        <f>Габариты!CO56</f>
        <v>0</v>
      </c>
      <c r="AY28" s="979">
        <f>Габариты!CQ56</f>
        <v>0</v>
      </c>
      <c r="AZ28" s="979">
        <f>Габариты!CR56</f>
        <v>0</v>
      </c>
      <c r="BA28" s="979">
        <f>Габариты!CT56</f>
        <v>0</v>
      </c>
      <c r="BB28" s="979">
        <f>Габариты!CU56</f>
        <v>0</v>
      </c>
      <c r="BC28" s="979">
        <f>Габариты!CW56</f>
        <v>0</v>
      </c>
      <c r="BD28" s="979">
        <f>Габариты!CX56</f>
        <v>0</v>
      </c>
      <c r="BE28" s="979">
        <f>Габариты!CZ56</f>
        <v>0</v>
      </c>
      <c r="BF28" s="979">
        <f>Габариты!DA56</f>
        <v>0</v>
      </c>
      <c r="BG28" s="979">
        <f>Габариты!DC56</f>
        <v>0</v>
      </c>
      <c r="BH28" s="979">
        <f>Габариты!DD56</f>
        <v>0</v>
      </c>
      <c r="BI28" s="979">
        <f>Габариты!DF56</f>
        <v>0</v>
      </c>
      <c r="BJ28" s="979">
        <f>Габариты!DG56</f>
        <v>0</v>
      </c>
      <c r="BK28" s="979">
        <f>Габариты!DI56</f>
        <v>0</v>
      </c>
      <c r="BL28" s="979">
        <f>Габариты!DJ56</f>
        <v>0</v>
      </c>
      <c r="BM28" s="979">
        <f>Габариты!DL56</f>
        <v>0</v>
      </c>
      <c r="BN28" s="979">
        <f>Габариты!DM56</f>
        <v>0</v>
      </c>
      <c r="BO28" s="82"/>
      <c r="BP28" s="1011" t="s">
        <v>1305</v>
      </c>
      <c r="BQ28" s="982">
        <f>Габариты!CK83</f>
        <v>0</v>
      </c>
      <c r="BR28" s="982">
        <f>Габариты!CL83</f>
        <v>0</v>
      </c>
      <c r="BS28" s="982">
        <f>Габариты!CN83</f>
        <v>0</v>
      </c>
      <c r="BT28" s="982">
        <f>Габариты!CO83</f>
        <v>0</v>
      </c>
      <c r="BU28" s="982">
        <f>Габариты!CQ83</f>
        <v>0</v>
      </c>
      <c r="BV28" s="982">
        <f>Габариты!CR83</f>
        <v>0</v>
      </c>
      <c r="BW28" s="982">
        <f>Габариты!CT83</f>
        <v>0</v>
      </c>
      <c r="BX28" s="982">
        <f>Габариты!CU83</f>
        <v>0</v>
      </c>
      <c r="BY28" s="982">
        <f>Габариты!CW83</f>
        <v>0</v>
      </c>
      <c r="BZ28" s="982">
        <f>Габариты!CX83</f>
        <v>0</v>
      </c>
      <c r="CA28" s="982">
        <f>Габариты!CZ83</f>
        <v>0</v>
      </c>
      <c r="CB28" s="982">
        <f>Габариты!DA83</f>
        <v>0</v>
      </c>
      <c r="CC28" s="982">
        <f>Габариты!DC83</f>
        <v>0</v>
      </c>
      <c r="CD28" s="982">
        <f>Габариты!DD83</f>
        <v>0</v>
      </c>
      <c r="CE28" s="982">
        <f>Габариты!DF83</f>
        <v>0</v>
      </c>
      <c r="CF28" s="982">
        <f>Габариты!DG83</f>
        <v>0</v>
      </c>
      <c r="CG28" s="982">
        <f>Габариты!DI83</f>
        <v>0</v>
      </c>
      <c r="CH28" s="982">
        <f>Габариты!DJ83</f>
        <v>0</v>
      </c>
      <c r="CI28" s="982">
        <f>Габариты!DL83</f>
        <v>0</v>
      </c>
      <c r="CJ28" s="982">
        <f>Габариты!DM83</f>
        <v>0</v>
      </c>
    </row>
    <row r="29" spans="1:88" ht="18" x14ac:dyDescent="0.25">
      <c r="A29" s="434">
        <v>17</v>
      </c>
      <c r="B29" s="815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91"/>
      <c r="P29" s="1078" t="str">
        <f>Проверки!BK21</f>
        <v/>
      </c>
      <c r="Q29" s="477"/>
      <c r="R29" s="504" t="str">
        <f>IF($S29="","",IF(D!EQ20=0,"Тип кабеля не найден","Тип кабеля найден"))</f>
        <v/>
      </c>
      <c r="S29" s="504" t="str">
        <f>IF(Габариты!$ES22&gt;0,Габариты!$ES22,"")</f>
        <v/>
      </c>
      <c r="T29" s="979">
        <f ca="1">VLOOKUP(ROW(S29)-12,D!$BQ$85:$CA$104,COLUMN(S29)-10,FALSE)</f>
        <v>0</v>
      </c>
      <c r="U29" s="979">
        <f ca="1">VLOOKUP(ROW(T29)-12,D!$BQ$85:$CA$104,COLUMN(T29)-10,FALSE)</f>
        <v>0</v>
      </c>
      <c r="V29" s="979">
        <f ca="1">VLOOKUP(ROW(U29)-12,D!$BQ$85:$CA$104,COLUMN(U29)-10,FALSE)</f>
        <v>0</v>
      </c>
      <c r="W29" s="475"/>
      <c r="X29" s="1011" t="s">
        <v>1306</v>
      </c>
      <c r="Y29" s="979">
        <f>Габариты!CK28</f>
        <v>0</v>
      </c>
      <c r="Z29" s="979">
        <f>Габариты!CL28</f>
        <v>0</v>
      </c>
      <c r="AA29" s="979">
        <f>Габариты!CN28</f>
        <v>0</v>
      </c>
      <c r="AB29" s="979">
        <f>Габариты!CO28</f>
        <v>0</v>
      </c>
      <c r="AC29" s="979">
        <f>Габариты!CQ28</f>
        <v>0</v>
      </c>
      <c r="AD29" s="979">
        <f>Габариты!CR28</f>
        <v>0</v>
      </c>
      <c r="AE29" s="979">
        <f>Габариты!CT28</f>
        <v>0</v>
      </c>
      <c r="AF29" s="979">
        <f>Габариты!CU28</f>
        <v>0</v>
      </c>
      <c r="AG29" s="979">
        <f>Габариты!CW28</f>
        <v>0</v>
      </c>
      <c r="AH29" s="979">
        <f>Габариты!CX28</f>
        <v>0</v>
      </c>
      <c r="AI29" s="979">
        <f>Габариты!CZ28</f>
        <v>0</v>
      </c>
      <c r="AJ29" s="979">
        <f>Габариты!DA28</f>
        <v>0</v>
      </c>
      <c r="AK29" s="979">
        <f>Габариты!DC28</f>
        <v>0</v>
      </c>
      <c r="AL29" s="979">
        <f>Габариты!DD28</f>
        <v>0</v>
      </c>
      <c r="AM29" s="979">
        <f>Габариты!DF28</f>
        <v>0</v>
      </c>
      <c r="AN29" s="979">
        <f>Габариты!DG28</f>
        <v>0</v>
      </c>
      <c r="AO29" s="979">
        <f>Габариты!DI28</f>
        <v>0</v>
      </c>
      <c r="AP29" s="979">
        <f>Габариты!DJ28</f>
        <v>0</v>
      </c>
      <c r="AQ29" s="979">
        <f>Габариты!DL28</f>
        <v>0</v>
      </c>
      <c r="AR29" s="979">
        <f>Габариты!DM28</f>
        <v>0</v>
      </c>
      <c r="AS29" s="82"/>
      <c r="AT29" s="1011" t="s">
        <v>1306</v>
      </c>
      <c r="AU29" s="979">
        <f>Габариты!CK52</f>
        <v>0</v>
      </c>
      <c r="AV29" s="979">
        <f>Габариты!CL52</f>
        <v>0</v>
      </c>
      <c r="AW29" s="979">
        <f>Габариты!CN52</f>
        <v>0</v>
      </c>
      <c r="AX29" s="979">
        <f>Габариты!CO52</f>
        <v>0</v>
      </c>
      <c r="AY29" s="979">
        <f>Габариты!CQ52</f>
        <v>0</v>
      </c>
      <c r="AZ29" s="979">
        <f>Габариты!CR52</f>
        <v>0</v>
      </c>
      <c r="BA29" s="979">
        <f>Габариты!CT52</f>
        <v>0</v>
      </c>
      <c r="BB29" s="979">
        <f>Габариты!CU52</f>
        <v>0</v>
      </c>
      <c r="BC29" s="979">
        <f>Габариты!CW52</f>
        <v>0</v>
      </c>
      <c r="BD29" s="979">
        <f>Габариты!CX52</f>
        <v>0</v>
      </c>
      <c r="BE29" s="979">
        <f>Габариты!CZ52</f>
        <v>0</v>
      </c>
      <c r="BF29" s="979">
        <f>Габариты!DA52</f>
        <v>0</v>
      </c>
      <c r="BG29" s="979">
        <f>Габариты!DC52</f>
        <v>0</v>
      </c>
      <c r="BH29" s="979">
        <f>Габариты!DD52</f>
        <v>0</v>
      </c>
      <c r="BI29" s="979">
        <f>Габариты!DF52</f>
        <v>0</v>
      </c>
      <c r="BJ29" s="979">
        <f>Габариты!DG52</f>
        <v>0</v>
      </c>
      <c r="BK29" s="979">
        <f>Габариты!DI52</f>
        <v>0</v>
      </c>
      <c r="BL29" s="979">
        <f>Габариты!DJ52</f>
        <v>0</v>
      </c>
      <c r="BM29" s="979">
        <f>Габариты!DL52</f>
        <v>0</v>
      </c>
      <c r="BN29" s="979">
        <f>Габариты!DM52</f>
        <v>0</v>
      </c>
      <c r="BO29" s="82"/>
      <c r="BP29" s="1011" t="s">
        <v>1306</v>
      </c>
      <c r="BQ29" s="982">
        <f>Габариты!CK79</f>
        <v>0</v>
      </c>
      <c r="BR29" s="982">
        <f>Габариты!CL79</f>
        <v>0</v>
      </c>
      <c r="BS29" s="982">
        <f>Габариты!CN79</f>
        <v>0</v>
      </c>
      <c r="BT29" s="982">
        <f>Габариты!CO79</f>
        <v>0</v>
      </c>
      <c r="BU29" s="982">
        <f>Габариты!CQ79</f>
        <v>0</v>
      </c>
      <c r="BV29" s="982">
        <f>Габариты!CR79</f>
        <v>0</v>
      </c>
      <c r="BW29" s="982">
        <f>Габариты!CT79</f>
        <v>0</v>
      </c>
      <c r="BX29" s="982">
        <f>Габариты!CU79</f>
        <v>0</v>
      </c>
      <c r="BY29" s="982">
        <f>Габариты!CW79</f>
        <v>0</v>
      </c>
      <c r="BZ29" s="982">
        <f>Габариты!CX79</f>
        <v>0</v>
      </c>
      <c r="CA29" s="982">
        <f>Габариты!CZ79</f>
        <v>0</v>
      </c>
      <c r="CB29" s="982">
        <f>Габариты!DA79</f>
        <v>0</v>
      </c>
      <c r="CC29" s="982">
        <f>Габариты!DC79</f>
        <v>0</v>
      </c>
      <c r="CD29" s="982">
        <f>Габариты!DD79</f>
        <v>0</v>
      </c>
      <c r="CE29" s="982">
        <f>Габариты!DF79</f>
        <v>0</v>
      </c>
      <c r="CF29" s="982">
        <f>Габариты!DG79</f>
        <v>0</v>
      </c>
      <c r="CG29" s="982">
        <f>Габариты!DI79</f>
        <v>0</v>
      </c>
      <c r="CH29" s="982">
        <f>Габариты!DJ79</f>
        <v>0</v>
      </c>
      <c r="CI29" s="982">
        <f>Габариты!DL79</f>
        <v>0</v>
      </c>
      <c r="CJ29" s="982">
        <f>Габариты!DM79</f>
        <v>0</v>
      </c>
    </row>
    <row r="30" spans="1:88" ht="18" x14ac:dyDescent="0.25">
      <c r="A30" s="434">
        <v>18</v>
      </c>
      <c r="B30" s="815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91"/>
      <c r="P30" s="1078" t="str">
        <f>Проверки!BK22</f>
        <v/>
      </c>
      <c r="Q30" s="477"/>
      <c r="R30" s="504" t="str">
        <f>IF($S30="","",IF(D!EQ21=0,"Тип кабеля не найден","Тип кабеля найден"))</f>
        <v/>
      </c>
      <c r="S30" s="504" t="str">
        <f>IF(Габариты!$ES23&gt;0,Габариты!$ES23,"")</f>
        <v/>
      </c>
      <c r="T30" s="979">
        <f ca="1">VLOOKUP(ROW(S30)-12,D!$BQ$85:$CA$104,COLUMN(S30)-10,FALSE)</f>
        <v>0</v>
      </c>
      <c r="U30" s="979">
        <f ca="1">VLOOKUP(ROW(T30)-12,D!$BQ$85:$CA$104,COLUMN(T30)-10,FALSE)</f>
        <v>0</v>
      </c>
      <c r="V30" s="979">
        <f ca="1">VLOOKUP(ROW(U30)-12,D!$BQ$85:$CA$104,COLUMN(U30)-10,FALSE)</f>
        <v>0</v>
      </c>
      <c r="W30" s="475"/>
      <c r="X30" s="1011" t="s">
        <v>1307</v>
      </c>
      <c r="Y30" s="979">
        <f>Габариты!CK29</f>
        <v>0</v>
      </c>
      <c r="Z30" s="979">
        <f>Габариты!CL29</f>
        <v>216</v>
      </c>
      <c r="AA30" s="979">
        <f>Габариты!CN29</f>
        <v>0</v>
      </c>
      <c r="AB30" s="979">
        <f>Габариты!CO29</f>
        <v>0</v>
      </c>
      <c r="AC30" s="979">
        <f>Габариты!CQ29</f>
        <v>0</v>
      </c>
      <c r="AD30" s="979">
        <f>Габариты!CR29</f>
        <v>0</v>
      </c>
      <c r="AE30" s="979">
        <f>Габариты!CT29</f>
        <v>0</v>
      </c>
      <c r="AF30" s="979">
        <f>Габариты!CU29</f>
        <v>0</v>
      </c>
      <c r="AG30" s="979">
        <f>Габариты!CW29</f>
        <v>0</v>
      </c>
      <c r="AH30" s="979">
        <f>Габариты!CX29</f>
        <v>0</v>
      </c>
      <c r="AI30" s="979">
        <f>Габариты!CZ29</f>
        <v>0</v>
      </c>
      <c r="AJ30" s="979">
        <f>Габариты!DA29</f>
        <v>0</v>
      </c>
      <c r="AK30" s="979">
        <f>Габариты!DC29</f>
        <v>0</v>
      </c>
      <c r="AL30" s="979">
        <f>Габариты!DD29</f>
        <v>0</v>
      </c>
      <c r="AM30" s="979">
        <f>Габариты!DF29</f>
        <v>0</v>
      </c>
      <c r="AN30" s="979">
        <f>Габариты!DG29</f>
        <v>0</v>
      </c>
      <c r="AO30" s="979">
        <f>Габариты!DI29</f>
        <v>0</v>
      </c>
      <c r="AP30" s="979">
        <f>Габариты!DJ29</f>
        <v>0</v>
      </c>
      <c r="AQ30" s="979">
        <f>Габариты!DL29</f>
        <v>0</v>
      </c>
      <c r="AR30" s="979">
        <f>Габариты!DM29</f>
        <v>0</v>
      </c>
      <c r="AS30" s="82"/>
      <c r="AT30" s="1011" t="s">
        <v>1307</v>
      </c>
      <c r="AU30" s="979">
        <f>Габариты!CK60</f>
        <v>0</v>
      </c>
      <c r="AV30" s="979">
        <f>Габариты!CL60</f>
        <v>0</v>
      </c>
      <c r="AW30" s="979">
        <f>Габариты!CN60</f>
        <v>0</v>
      </c>
      <c r="AX30" s="979">
        <f>Габариты!CO60</f>
        <v>0</v>
      </c>
      <c r="AY30" s="979">
        <f>Габариты!CQ60</f>
        <v>0</v>
      </c>
      <c r="AZ30" s="979">
        <f>Габариты!CR60</f>
        <v>0</v>
      </c>
      <c r="BA30" s="979">
        <f>Габариты!CT60</f>
        <v>0</v>
      </c>
      <c r="BB30" s="979">
        <f>Габариты!CU60</f>
        <v>0</v>
      </c>
      <c r="BC30" s="979">
        <f>Габариты!CW60</f>
        <v>0</v>
      </c>
      <c r="BD30" s="979">
        <f>Габариты!CX60</f>
        <v>0</v>
      </c>
      <c r="BE30" s="979">
        <f>Габариты!CZ60</f>
        <v>0</v>
      </c>
      <c r="BF30" s="979">
        <f>Габариты!DA60</f>
        <v>0</v>
      </c>
      <c r="BG30" s="979">
        <f>Габариты!DC60</f>
        <v>0</v>
      </c>
      <c r="BH30" s="979">
        <f>Габариты!DD60</f>
        <v>0</v>
      </c>
      <c r="BI30" s="979">
        <f>Габариты!DF60</f>
        <v>0</v>
      </c>
      <c r="BJ30" s="979">
        <f>Габариты!DG60</f>
        <v>0</v>
      </c>
      <c r="BK30" s="979">
        <f>Габариты!DI60</f>
        <v>0</v>
      </c>
      <c r="BL30" s="979">
        <f>Габариты!DJ60</f>
        <v>0</v>
      </c>
      <c r="BM30" s="979">
        <f>Габариты!DL60</f>
        <v>0</v>
      </c>
      <c r="BN30" s="979">
        <f>Габариты!DM60</f>
        <v>0</v>
      </c>
      <c r="BO30" s="82"/>
      <c r="BP30" s="1011" t="s">
        <v>1307</v>
      </c>
      <c r="BQ30" s="982">
        <f>Габариты!CK80</f>
        <v>0</v>
      </c>
      <c r="BR30" s="982">
        <f>Габариты!CL80</f>
        <v>0</v>
      </c>
      <c r="BS30" s="982">
        <f>Габариты!CN80</f>
        <v>0</v>
      </c>
      <c r="BT30" s="982">
        <f>Габариты!CO80</f>
        <v>0</v>
      </c>
      <c r="BU30" s="982">
        <f>Габариты!CQ80</f>
        <v>0</v>
      </c>
      <c r="BV30" s="982">
        <f>Габариты!CR80</f>
        <v>0</v>
      </c>
      <c r="BW30" s="982">
        <f>Габариты!CT80</f>
        <v>0</v>
      </c>
      <c r="BX30" s="982">
        <f>Габариты!CU80</f>
        <v>0</v>
      </c>
      <c r="BY30" s="982">
        <f>Габариты!CW80</f>
        <v>0</v>
      </c>
      <c r="BZ30" s="982">
        <f>Габариты!CX80</f>
        <v>0</v>
      </c>
      <c r="CA30" s="982">
        <f>Габариты!CZ80</f>
        <v>0</v>
      </c>
      <c r="CB30" s="982">
        <f>Габариты!DA80</f>
        <v>0</v>
      </c>
      <c r="CC30" s="982">
        <f>Габариты!DC80</f>
        <v>0</v>
      </c>
      <c r="CD30" s="982">
        <f>Габариты!DD80</f>
        <v>0</v>
      </c>
      <c r="CE30" s="982">
        <f>Габариты!DF80</f>
        <v>0</v>
      </c>
      <c r="CF30" s="982">
        <f>Габариты!DG80</f>
        <v>0</v>
      </c>
      <c r="CG30" s="982">
        <f>Габариты!DI80</f>
        <v>0</v>
      </c>
      <c r="CH30" s="982">
        <f>Габариты!DJ80</f>
        <v>0</v>
      </c>
      <c r="CI30" s="982">
        <f>Габариты!DL80</f>
        <v>0</v>
      </c>
      <c r="CJ30" s="982">
        <f>Габариты!DM80</f>
        <v>0</v>
      </c>
    </row>
    <row r="31" spans="1:88" ht="18" x14ac:dyDescent="0.25">
      <c r="A31" s="434">
        <v>19</v>
      </c>
      <c r="B31" s="815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91"/>
      <c r="P31" s="1078" t="str">
        <f>Проверки!BK23</f>
        <v/>
      </c>
      <c r="Q31" s="477"/>
      <c r="R31" s="504" t="str">
        <f>IF($S31="","",IF(D!EQ22=0,"Тип кабеля не найден","Тип кабеля найден"))</f>
        <v/>
      </c>
      <c r="S31" s="504" t="str">
        <f>IF(Габариты!$ES24&gt;0,Габариты!$ES24,"")</f>
        <v/>
      </c>
      <c r="T31" s="979">
        <f ca="1">VLOOKUP(ROW(S31)-12,D!$BQ$85:$CA$104,COLUMN(S31)-10,FALSE)</f>
        <v>0</v>
      </c>
      <c r="U31" s="979">
        <f ca="1">VLOOKUP(ROW(T31)-12,D!$BQ$85:$CA$104,COLUMN(T31)-10,FALSE)</f>
        <v>0</v>
      </c>
      <c r="V31" s="979">
        <f ca="1">VLOOKUP(ROW(U31)-12,D!$BQ$85:$CA$104,COLUMN(U31)-10,FALSE)</f>
        <v>0</v>
      </c>
      <c r="W31" s="475"/>
      <c r="X31" s="1011" t="s">
        <v>1308</v>
      </c>
      <c r="Y31" s="979">
        <f>Габариты!CK30</f>
        <v>0</v>
      </c>
      <c r="Z31" s="979">
        <f>Габариты!CL30</f>
        <v>63</v>
      </c>
      <c r="AA31" s="979">
        <f>Габариты!CN30</f>
        <v>0</v>
      </c>
      <c r="AB31" s="979">
        <f>Габариты!CO30</f>
        <v>279</v>
      </c>
      <c r="AC31" s="979">
        <f>Габариты!CQ30</f>
        <v>0</v>
      </c>
      <c r="AD31" s="979">
        <f>Габариты!CR30</f>
        <v>279</v>
      </c>
      <c r="AE31" s="979">
        <f>Габариты!CT30</f>
        <v>0</v>
      </c>
      <c r="AF31" s="979">
        <f>Габариты!CU30</f>
        <v>279</v>
      </c>
      <c r="AG31" s="979">
        <f>Габариты!CW30</f>
        <v>0</v>
      </c>
      <c r="AH31" s="979">
        <f>Габариты!CX30</f>
        <v>279</v>
      </c>
      <c r="AI31" s="979">
        <f>Габариты!CZ30</f>
        <v>0</v>
      </c>
      <c r="AJ31" s="979">
        <f>Габариты!DA30</f>
        <v>279</v>
      </c>
      <c r="AK31" s="979">
        <f>Габариты!DC30</f>
        <v>0</v>
      </c>
      <c r="AL31" s="979">
        <f>Габариты!DD30</f>
        <v>279</v>
      </c>
      <c r="AM31" s="979">
        <f>Габариты!DF30</f>
        <v>0</v>
      </c>
      <c r="AN31" s="979">
        <f>Габариты!DG30</f>
        <v>279</v>
      </c>
      <c r="AO31" s="979">
        <f>Габариты!DI30</f>
        <v>0</v>
      </c>
      <c r="AP31" s="979">
        <f>Габариты!DJ30</f>
        <v>279</v>
      </c>
      <c r="AQ31" s="979">
        <f>Габариты!DL30</f>
        <v>0</v>
      </c>
      <c r="AR31" s="979">
        <f>Габариты!DM30</f>
        <v>279</v>
      </c>
      <c r="AS31" s="82"/>
      <c r="AT31" s="1011" t="s">
        <v>1308</v>
      </c>
      <c r="AU31" s="979">
        <f>Габариты!CK61</f>
        <v>0</v>
      </c>
      <c r="AV31" s="979">
        <f>Габариты!CL61</f>
        <v>0</v>
      </c>
      <c r="AW31" s="979">
        <f>Габариты!CN61</f>
        <v>0</v>
      </c>
      <c r="AX31" s="979">
        <f>Габариты!CO61</f>
        <v>0</v>
      </c>
      <c r="AY31" s="979">
        <f>Габариты!CQ61</f>
        <v>0</v>
      </c>
      <c r="AZ31" s="979">
        <f>Габариты!CR61</f>
        <v>0</v>
      </c>
      <c r="BA31" s="979">
        <f>Габариты!CT61</f>
        <v>0</v>
      </c>
      <c r="BB31" s="979">
        <f>Габариты!CU61</f>
        <v>0</v>
      </c>
      <c r="BC31" s="979">
        <f>Габариты!CW61</f>
        <v>0</v>
      </c>
      <c r="BD31" s="979">
        <f>Габариты!CX61</f>
        <v>0</v>
      </c>
      <c r="BE31" s="979">
        <f>Габариты!CZ61</f>
        <v>0</v>
      </c>
      <c r="BF31" s="979">
        <f>Габариты!DA61</f>
        <v>0</v>
      </c>
      <c r="BG31" s="979">
        <f>Габариты!DC61</f>
        <v>0</v>
      </c>
      <c r="BH31" s="979">
        <f>Габариты!DD61</f>
        <v>0</v>
      </c>
      <c r="BI31" s="979">
        <f>Габариты!DF61</f>
        <v>0</v>
      </c>
      <c r="BJ31" s="979">
        <f>Габариты!DG61</f>
        <v>0</v>
      </c>
      <c r="BK31" s="979">
        <f>Габариты!DI61</f>
        <v>0</v>
      </c>
      <c r="BL31" s="979">
        <f>Габариты!DJ61</f>
        <v>0</v>
      </c>
      <c r="BM31" s="979">
        <f>Габариты!DL61</f>
        <v>0</v>
      </c>
      <c r="BN31" s="979">
        <f>Габариты!DM61</f>
        <v>0</v>
      </c>
      <c r="BO31" s="82"/>
      <c r="BP31" s="1011" t="s">
        <v>1308</v>
      </c>
      <c r="BQ31" s="982">
        <f>Габариты!CK81</f>
        <v>0</v>
      </c>
      <c r="BR31" s="982">
        <f>Габариты!CL81</f>
        <v>0</v>
      </c>
      <c r="BS31" s="982">
        <f>Габариты!CN81</f>
        <v>0</v>
      </c>
      <c r="BT31" s="982">
        <f>Габариты!CO81</f>
        <v>0</v>
      </c>
      <c r="BU31" s="982">
        <f>Габариты!CQ81</f>
        <v>0</v>
      </c>
      <c r="BV31" s="982">
        <f>Габариты!CR81</f>
        <v>0</v>
      </c>
      <c r="BW31" s="982">
        <f>Габариты!CT81</f>
        <v>0</v>
      </c>
      <c r="BX31" s="982">
        <f>Габариты!CU81</f>
        <v>0</v>
      </c>
      <c r="BY31" s="982">
        <f>Габариты!CW81</f>
        <v>0</v>
      </c>
      <c r="BZ31" s="982">
        <f>Габариты!CX81</f>
        <v>0</v>
      </c>
      <c r="CA31" s="982">
        <f>Габариты!CZ81</f>
        <v>0</v>
      </c>
      <c r="CB31" s="982">
        <f>Габариты!DA81</f>
        <v>0</v>
      </c>
      <c r="CC31" s="982">
        <f>Габариты!DC81</f>
        <v>0</v>
      </c>
      <c r="CD31" s="982">
        <f>Габариты!DD81</f>
        <v>0</v>
      </c>
      <c r="CE31" s="982">
        <f>Габариты!DF81</f>
        <v>0</v>
      </c>
      <c r="CF31" s="982">
        <f>Габариты!DG81</f>
        <v>0</v>
      </c>
      <c r="CG31" s="982">
        <f>Габариты!DI81</f>
        <v>0</v>
      </c>
      <c r="CH31" s="982">
        <f>Габариты!DJ81</f>
        <v>0</v>
      </c>
      <c r="CI31" s="982">
        <f>Габариты!DL81</f>
        <v>0</v>
      </c>
      <c r="CJ31" s="982">
        <f>Габариты!DM81</f>
        <v>0</v>
      </c>
    </row>
    <row r="32" spans="1:88" ht="18.75" thickBot="1" x14ac:dyDescent="0.3">
      <c r="A32" s="434">
        <v>20</v>
      </c>
      <c r="B32" s="816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080"/>
      <c r="P32" s="1079" t="str">
        <f>Проверки!BK24</f>
        <v/>
      </c>
      <c r="Q32" s="477"/>
      <c r="R32" s="504" t="str">
        <f>IF($S32="","",IF(D!EQ23=0,"Тип кабеля не найден","Тип кабеля найден"))</f>
        <v/>
      </c>
      <c r="S32" s="504" t="str">
        <f>IF(Габариты!$ES25&gt;0,Габариты!$ES25,"")</f>
        <v/>
      </c>
      <c r="T32" s="979">
        <f ca="1">VLOOKUP(ROW(S32)-12,D!$BQ$85:$CA$104,COLUMN(S32)-10,FALSE)</f>
        <v>0</v>
      </c>
      <c r="U32" s="979">
        <f ca="1">VLOOKUP(ROW(T32)-12,D!$BQ$85:$CA$104,COLUMN(T32)-10,FALSE)</f>
        <v>0</v>
      </c>
      <c r="V32" s="979">
        <f ca="1">VLOOKUP(ROW(U32)-12,D!$BQ$85:$CA$104,COLUMN(U32)-10,FALSE)</f>
        <v>0</v>
      </c>
      <c r="W32" s="475"/>
      <c r="X32" s="1011" t="s">
        <v>1309</v>
      </c>
      <c r="Y32" s="979">
        <f>Габариты!CK26</f>
        <v>0</v>
      </c>
      <c r="Z32" s="979">
        <f>Габариты!CL26</f>
        <v>0</v>
      </c>
      <c r="AA32" s="979">
        <f>Габариты!CN26</f>
        <v>0</v>
      </c>
      <c r="AB32" s="979">
        <f>Габариты!CO26</f>
        <v>0</v>
      </c>
      <c r="AC32" s="979">
        <f>Габариты!CQ26</f>
        <v>0</v>
      </c>
      <c r="AD32" s="979">
        <f>Габариты!CR26</f>
        <v>0</v>
      </c>
      <c r="AE32" s="979">
        <f>Габариты!CT26</f>
        <v>0</v>
      </c>
      <c r="AF32" s="979">
        <f>Габариты!CU26</f>
        <v>0</v>
      </c>
      <c r="AG32" s="979">
        <f>Габариты!CW26</f>
        <v>0</v>
      </c>
      <c r="AH32" s="979">
        <f>Габариты!CX26</f>
        <v>0</v>
      </c>
      <c r="AI32" s="979">
        <f>Габариты!CZ26</f>
        <v>0</v>
      </c>
      <c r="AJ32" s="979">
        <f>Габариты!DA26</f>
        <v>0</v>
      </c>
      <c r="AK32" s="979">
        <f>Габариты!DC26</f>
        <v>0</v>
      </c>
      <c r="AL32" s="979">
        <f>Габариты!DD26</f>
        <v>0</v>
      </c>
      <c r="AM32" s="979">
        <f>Габариты!DF26</f>
        <v>0</v>
      </c>
      <c r="AN32" s="979">
        <f>Габариты!DG26</f>
        <v>0</v>
      </c>
      <c r="AO32" s="979">
        <f>Габариты!DI26</f>
        <v>0</v>
      </c>
      <c r="AP32" s="979">
        <f>Габариты!DJ26</f>
        <v>0</v>
      </c>
      <c r="AQ32" s="979">
        <f>Габариты!DL26</f>
        <v>0</v>
      </c>
      <c r="AR32" s="979">
        <f>Габариты!DM26</f>
        <v>0</v>
      </c>
      <c r="AS32" s="82"/>
      <c r="AT32" s="1011" t="s">
        <v>1309</v>
      </c>
      <c r="AU32" s="979" t="str">
        <f>Габариты!CK62</f>
        <v>Кол-во</v>
      </c>
      <c r="AV32" s="979" t="str">
        <f>Габариты!CL62</f>
        <v>Ширина</v>
      </c>
      <c r="AW32" s="979" t="str">
        <f>Габариты!CN62</f>
        <v>Кол-во</v>
      </c>
      <c r="AX32" s="979" t="str">
        <f>Габариты!CO62</f>
        <v>Ширина</v>
      </c>
      <c r="AY32" s="979" t="str">
        <f>Габариты!CQ62</f>
        <v>Кол-во</v>
      </c>
      <c r="AZ32" s="979" t="str">
        <f>Габариты!CR62</f>
        <v>Ширина</v>
      </c>
      <c r="BA32" s="979" t="str">
        <f>Габариты!CT62</f>
        <v>Кол-во</v>
      </c>
      <c r="BB32" s="979" t="str">
        <f>Габариты!CU62</f>
        <v>Ширина</v>
      </c>
      <c r="BC32" s="979" t="str">
        <f>Габариты!CW62</f>
        <v>Кол-во</v>
      </c>
      <c r="BD32" s="979" t="str">
        <f>Габариты!CX62</f>
        <v>Ширина</v>
      </c>
      <c r="BE32" s="979" t="str">
        <f>Габариты!CZ62</f>
        <v>Кол-во</v>
      </c>
      <c r="BF32" s="979" t="str">
        <f>Габариты!DA62</f>
        <v>Ширина</v>
      </c>
      <c r="BG32" s="979" t="str">
        <f>Габариты!DC62</f>
        <v>Кол-во</v>
      </c>
      <c r="BH32" s="979" t="str">
        <f>Габариты!DD62</f>
        <v>Ширина</v>
      </c>
      <c r="BI32" s="979" t="str">
        <f>Габариты!DF62</f>
        <v>Кол-во</v>
      </c>
      <c r="BJ32" s="979" t="str">
        <f>Габариты!DG62</f>
        <v>Ширина</v>
      </c>
      <c r="BK32" s="979" t="str">
        <f>Габариты!DI62</f>
        <v>Кол-во</v>
      </c>
      <c r="BL32" s="979" t="str">
        <f>Габариты!DJ62</f>
        <v>Ширина</v>
      </c>
      <c r="BM32" s="979" t="str">
        <f>Габариты!DL62</f>
        <v>Кол-во</v>
      </c>
      <c r="BN32" s="979" t="str">
        <f>Габариты!DM62</f>
        <v>Ширина</v>
      </c>
      <c r="BO32" s="82"/>
      <c r="BP32" s="1011" t="s">
        <v>1309</v>
      </c>
      <c r="BQ32" s="982">
        <f>Габариты!CK82</f>
        <v>0</v>
      </c>
      <c r="BR32" s="982">
        <f>Габариты!CL82</f>
        <v>0</v>
      </c>
      <c r="BS32" s="982">
        <f>Габариты!CN82</f>
        <v>0</v>
      </c>
      <c r="BT32" s="982">
        <f>Габариты!CO82</f>
        <v>0</v>
      </c>
      <c r="BU32" s="982">
        <f>Габариты!CQ82</f>
        <v>0</v>
      </c>
      <c r="BV32" s="982">
        <f>Габариты!CR82</f>
        <v>0</v>
      </c>
      <c r="BW32" s="982">
        <f>Габариты!CT82</f>
        <v>0</v>
      </c>
      <c r="BX32" s="982">
        <f>Габариты!CU82</f>
        <v>0</v>
      </c>
      <c r="BY32" s="982">
        <f>Габариты!CW82</f>
        <v>0</v>
      </c>
      <c r="BZ32" s="982">
        <f>Габариты!CX82</f>
        <v>0</v>
      </c>
      <c r="CA32" s="982">
        <f>Габариты!CZ82</f>
        <v>0</v>
      </c>
      <c r="CB32" s="982">
        <f>Габариты!DA82</f>
        <v>0</v>
      </c>
      <c r="CC32" s="982">
        <f>Габариты!DC82</f>
        <v>0</v>
      </c>
      <c r="CD32" s="982">
        <f>Габариты!DD82</f>
        <v>0</v>
      </c>
      <c r="CE32" s="982">
        <f>Габариты!DF82</f>
        <v>0</v>
      </c>
      <c r="CF32" s="982">
        <f>Габариты!DG82</f>
        <v>0</v>
      </c>
      <c r="CG32" s="982">
        <f>Габариты!DI82</f>
        <v>0</v>
      </c>
      <c r="CH32" s="982">
        <f>Габариты!DJ82</f>
        <v>0</v>
      </c>
      <c r="CI32" s="982">
        <f>Габариты!DL82</f>
        <v>0</v>
      </c>
      <c r="CJ32" s="982">
        <f>Габариты!DM82</f>
        <v>0</v>
      </c>
    </row>
    <row r="33" spans="2:88" ht="18" x14ac:dyDescent="0.25">
      <c r="B33" s="86"/>
      <c r="C33" s="87"/>
      <c r="D33" s="87"/>
      <c r="E33" s="87"/>
      <c r="F33" s="87"/>
      <c r="G33" s="87"/>
      <c r="H33" s="87"/>
      <c r="I33" s="86"/>
      <c r="J33" s="86"/>
      <c r="K33" s="86"/>
      <c r="L33" s="86"/>
      <c r="M33" s="86"/>
      <c r="N33" s="86"/>
      <c r="O33" s="86"/>
      <c r="P33" s="314"/>
      <c r="Q33" s="488"/>
      <c r="R33" s="314"/>
      <c r="V33" s="71"/>
      <c r="W33" s="476"/>
      <c r="X33" s="482" t="s">
        <v>851</v>
      </c>
      <c r="Y33" s="979">
        <f>Габариты!CK27</f>
        <v>0</v>
      </c>
      <c r="Z33" s="979">
        <f>Габариты!CL27</f>
        <v>0</v>
      </c>
      <c r="AA33" s="979">
        <f>Габариты!CN27</f>
        <v>0</v>
      </c>
      <c r="AB33" s="979">
        <f>Габариты!CO27</f>
        <v>0</v>
      </c>
      <c r="AC33" s="979">
        <f>Габариты!CQ27</f>
        <v>0</v>
      </c>
      <c r="AD33" s="979">
        <f>Габариты!CR27</f>
        <v>0</v>
      </c>
      <c r="AE33" s="979">
        <f>Габариты!CT27</f>
        <v>0</v>
      </c>
      <c r="AF33" s="979">
        <f>Габариты!CU27</f>
        <v>0</v>
      </c>
      <c r="AG33" s="979">
        <f>Габариты!CW27</f>
        <v>0</v>
      </c>
      <c r="AH33" s="979">
        <f>Габариты!CX27</f>
        <v>0</v>
      </c>
      <c r="AI33" s="979">
        <f>Габариты!CZ27</f>
        <v>0</v>
      </c>
      <c r="AJ33" s="979">
        <f>Габариты!DA27</f>
        <v>0</v>
      </c>
      <c r="AK33" s="979">
        <f>Габариты!DC27</f>
        <v>0</v>
      </c>
      <c r="AL33" s="979">
        <f>Габариты!DD27</f>
        <v>0</v>
      </c>
      <c r="AM33" s="979">
        <f>Габариты!DF27</f>
        <v>0</v>
      </c>
      <c r="AN33" s="979">
        <f>Габариты!DG27</f>
        <v>0</v>
      </c>
      <c r="AO33" s="979">
        <f>Габариты!DI27</f>
        <v>0</v>
      </c>
      <c r="AP33" s="979">
        <f>Габариты!DJ27</f>
        <v>0</v>
      </c>
      <c r="AQ33" s="979">
        <f>Габариты!DL27</f>
        <v>0</v>
      </c>
      <c r="AR33" s="979">
        <f>Габариты!DM27</f>
        <v>0</v>
      </c>
      <c r="AS33" s="82"/>
      <c r="AT33" s="484"/>
      <c r="AU33" s="981"/>
      <c r="AV33" s="981"/>
      <c r="AW33" s="981"/>
      <c r="AX33" s="981"/>
      <c r="AY33" s="981"/>
      <c r="AZ33" s="981"/>
      <c r="BA33" s="981"/>
      <c r="BB33" s="981"/>
      <c r="BC33" s="981"/>
      <c r="BD33" s="981"/>
      <c r="BE33" s="981"/>
      <c r="BF33" s="981"/>
      <c r="BG33" s="981"/>
      <c r="BH33" s="981"/>
      <c r="BI33" s="981"/>
      <c r="BJ33" s="981"/>
      <c r="BK33" s="981"/>
      <c r="BL33" s="981"/>
      <c r="BM33" s="981"/>
      <c r="BN33" s="981"/>
      <c r="BO33" s="82"/>
      <c r="BP33" s="484"/>
      <c r="BQ33" s="981"/>
      <c r="BR33" s="981"/>
      <c r="BS33" s="981"/>
      <c r="BT33" s="981"/>
      <c r="BU33" s="981"/>
      <c r="BV33" s="981"/>
      <c r="BW33" s="981"/>
      <c r="BX33" s="981"/>
      <c r="BY33" s="981"/>
      <c r="BZ33" s="981"/>
      <c r="CA33" s="981"/>
      <c r="CB33" s="981"/>
      <c r="CC33" s="981"/>
      <c r="CD33" s="981"/>
      <c r="CE33" s="981"/>
      <c r="CF33" s="981"/>
      <c r="CG33" s="981"/>
      <c r="CH33" s="981"/>
      <c r="CI33" s="981"/>
      <c r="CJ33" s="981"/>
    </row>
    <row r="34" spans="2:88" ht="18" customHeight="1" x14ac:dyDescent="0.25">
      <c r="B34" s="1090" t="s">
        <v>102</v>
      </c>
      <c r="C34" s="1090"/>
      <c r="D34" s="1090"/>
      <c r="E34" s="113" t="s">
        <v>30</v>
      </c>
      <c r="F34" s="87"/>
      <c r="G34" s="87"/>
      <c r="I34" s="1149" t="s">
        <v>325</v>
      </c>
      <c r="J34" s="1149"/>
      <c r="K34" s="1149"/>
      <c r="L34" s="1149"/>
      <c r="M34" s="1149"/>
      <c r="N34" s="1149"/>
      <c r="O34" s="1149"/>
      <c r="P34" s="931" t="str">
        <f>Проверки!DR4</f>
        <v/>
      </c>
      <c r="Q34" s="490"/>
      <c r="R34" s="315"/>
      <c r="W34" s="476"/>
      <c r="X34" s="911" t="s">
        <v>1096</v>
      </c>
      <c r="Y34" s="979">
        <f>Габариты!CK28</f>
        <v>0</v>
      </c>
      <c r="Z34" s="979">
        <f>Габариты!CL28</f>
        <v>0</v>
      </c>
      <c r="AA34" s="979">
        <f>Габариты!CN28</f>
        <v>0</v>
      </c>
      <c r="AB34" s="979">
        <f>Габариты!CO28</f>
        <v>0</v>
      </c>
      <c r="AC34" s="979">
        <f>Габариты!CQ28</f>
        <v>0</v>
      </c>
      <c r="AD34" s="979">
        <f>Габариты!CR28</f>
        <v>0</v>
      </c>
      <c r="AE34" s="979">
        <f>Габариты!CT28</f>
        <v>0</v>
      </c>
      <c r="AF34" s="979">
        <f>Габариты!CU28</f>
        <v>0</v>
      </c>
      <c r="AG34" s="979">
        <f>Габариты!CW28</f>
        <v>0</v>
      </c>
      <c r="AH34" s="979">
        <f>Габариты!CX28</f>
        <v>0</v>
      </c>
      <c r="AI34" s="979">
        <f>Габариты!CZ28</f>
        <v>0</v>
      </c>
      <c r="AJ34" s="979">
        <f>Габариты!DA28</f>
        <v>0</v>
      </c>
      <c r="AK34" s="979">
        <f>Габариты!DC28</f>
        <v>0</v>
      </c>
      <c r="AL34" s="979">
        <f>Габариты!DD28</f>
        <v>0</v>
      </c>
      <c r="AM34" s="979">
        <f>Габариты!DF28</f>
        <v>0</v>
      </c>
      <c r="AN34" s="979">
        <f>Габариты!DG28</f>
        <v>0</v>
      </c>
      <c r="AO34" s="979">
        <f>Габариты!DI28</f>
        <v>0</v>
      </c>
      <c r="AP34" s="979">
        <f>Габариты!DJ28</f>
        <v>0</v>
      </c>
      <c r="AQ34" s="979">
        <f>Габариты!DL28</f>
        <v>0</v>
      </c>
      <c r="AR34" s="979">
        <f>Габариты!DM28</f>
        <v>0</v>
      </c>
      <c r="AT34" s="484"/>
      <c r="AU34" s="981"/>
      <c r="AV34" s="981"/>
      <c r="AW34" s="981"/>
      <c r="AX34" s="981"/>
      <c r="AY34" s="981"/>
      <c r="AZ34" s="981"/>
      <c r="BA34" s="981"/>
      <c r="BB34" s="981"/>
      <c r="BC34" s="981"/>
      <c r="BD34" s="981"/>
      <c r="BE34" s="981"/>
      <c r="BF34" s="981"/>
      <c r="BG34" s="981"/>
      <c r="BH34" s="981"/>
      <c r="BI34" s="981"/>
      <c r="BJ34" s="981"/>
      <c r="BK34" s="981"/>
      <c r="BL34" s="981"/>
      <c r="BM34" s="981"/>
      <c r="BN34" s="981"/>
      <c r="BO34" s="82"/>
      <c r="BP34" s="484"/>
      <c r="BQ34" s="981"/>
      <c r="BR34" s="981"/>
      <c r="BS34" s="981"/>
      <c r="BT34" s="981"/>
      <c r="BU34" s="981"/>
      <c r="BV34" s="981"/>
      <c r="BW34" s="981"/>
      <c r="BX34" s="981"/>
      <c r="BY34" s="981"/>
      <c r="BZ34" s="981"/>
      <c r="CA34" s="981"/>
      <c r="CB34" s="981"/>
      <c r="CC34" s="981"/>
      <c r="CD34" s="981"/>
      <c r="CE34" s="981"/>
      <c r="CF34" s="981"/>
      <c r="CG34" s="981"/>
      <c r="CH34" s="981"/>
      <c r="CI34" s="981"/>
      <c r="CJ34" s="981"/>
    </row>
    <row r="35" spans="2:88" ht="18" x14ac:dyDescent="0.25">
      <c r="B35" s="1090" t="s">
        <v>82</v>
      </c>
      <c r="C35" s="1090"/>
      <c r="D35" s="1090"/>
      <c r="E35" s="184" t="str">
        <f ca="1">IF(Габариты!E91&lt;=1200,"Навесное","Напольное")</f>
        <v>Навесное</v>
      </c>
      <c r="F35" s="86"/>
      <c r="G35" s="86"/>
      <c r="H35" s="140"/>
      <c r="I35" s="1149"/>
      <c r="J35" s="1149"/>
      <c r="K35" s="1149"/>
      <c r="L35" s="1149"/>
      <c r="M35" s="1149"/>
      <c r="N35" s="1149"/>
      <c r="O35" s="1149"/>
      <c r="P35" s="769" t="str">
        <f>Проверки!DG4</f>
        <v/>
      </c>
      <c r="Q35" s="490"/>
      <c r="R35" s="315"/>
      <c r="W35" s="474"/>
      <c r="X35" s="997" t="s">
        <v>1237</v>
      </c>
      <c r="Y35" s="1088">
        <f>Габариты!CL29</f>
        <v>216</v>
      </c>
      <c r="Z35" s="1089"/>
      <c r="AA35" s="1088">
        <f>Габариты!CO29</f>
        <v>0</v>
      </c>
      <c r="AB35" s="1089"/>
      <c r="AC35" s="1088">
        <f>Габариты!CR29</f>
        <v>0</v>
      </c>
      <c r="AD35" s="1089"/>
      <c r="AE35" s="1088">
        <f>Габариты!CU29</f>
        <v>0</v>
      </c>
      <c r="AF35" s="1089"/>
      <c r="AG35" s="1088">
        <f>Габариты!CX29</f>
        <v>0</v>
      </c>
      <c r="AH35" s="1089"/>
      <c r="AI35" s="1088">
        <f>Габариты!DA29</f>
        <v>0</v>
      </c>
      <c r="AJ35" s="1089"/>
      <c r="AK35" s="1088">
        <f>Габариты!DD29</f>
        <v>0</v>
      </c>
      <c r="AL35" s="1089"/>
      <c r="AM35" s="1088">
        <f>Габариты!DG29</f>
        <v>0</v>
      </c>
      <c r="AN35" s="1089"/>
      <c r="AO35" s="1088">
        <f>Габариты!DJ29</f>
        <v>0</v>
      </c>
      <c r="AP35" s="1089"/>
      <c r="AQ35" s="1088">
        <f>Габариты!DM29</f>
        <v>0</v>
      </c>
      <c r="AR35" s="1089"/>
      <c r="AS35" s="82"/>
      <c r="AT35" s="1085" t="s">
        <v>1237</v>
      </c>
      <c r="AU35" s="1088">
        <f>Габариты!CL56</f>
        <v>0</v>
      </c>
      <c r="AV35" s="1089"/>
      <c r="AW35" s="1088">
        <f>Габариты!CO56</f>
        <v>0</v>
      </c>
      <c r="AX35" s="1089"/>
      <c r="AY35" s="1088">
        <f>Габариты!CR56</f>
        <v>0</v>
      </c>
      <c r="AZ35" s="1089"/>
      <c r="BA35" s="1088">
        <f>Габариты!CU56</f>
        <v>0</v>
      </c>
      <c r="BB35" s="1089"/>
      <c r="BC35" s="1088">
        <f>Габариты!CX56</f>
        <v>0</v>
      </c>
      <c r="BD35" s="1089"/>
      <c r="BE35" s="1088">
        <f>Габариты!DA56</f>
        <v>0</v>
      </c>
      <c r="BF35" s="1089"/>
      <c r="BG35" s="1088">
        <f>Габариты!DD56</f>
        <v>0</v>
      </c>
      <c r="BH35" s="1089"/>
      <c r="BI35" s="1088">
        <f>Габариты!DG56</f>
        <v>0</v>
      </c>
      <c r="BJ35" s="1089"/>
      <c r="BK35" s="1088">
        <f>Габариты!DJ56</f>
        <v>0</v>
      </c>
      <c r="BL35" s="1089"/>
      <c r="BM35" s="1088">
        <f>Габариты!DM56</f>
        <v>0</v>
      </c>
      <c r="BN35" s="1089"/>
      <c r="BO35" s="82"/>
      <c r="BP35" s="482" t="s">
        <v>468</v>
      </c>
      <c r="BQ35" s="1088">
        <f>Габариты!CL83</f>
        <v>0</v>
      </c>
      <c r="BR35" s="1089"/>
      <c r="BS35" s="1088">
        <f>Габариты!CO83</f>
        <v>0</v>
      </c>
      <c r="BT35" s="1089"/>
      <c r="BU35" s="1088">
        <f>Габариты!CR83</f>
        <v>0</v>
      </c>
      <c r="BV35" s="1089"/>
      <c r="BW35" s="1088">
        <f>Габариты!CU83</f>
        <v>0</v>
      </c>
      <c r="BX35" s="1089"/>
      <c r="BY35" s="1088">
        <f>Габариты!CX83</f>
        <v>0</v>
      </c>
      <c r="BZ35" s="1089"/>
      <c r="CA35" s="1088">
        <f>Габариты!DA83</f>
        <v>0</v>
      </c>
      <c r="CB35" s="1089"/>
      <c r="CC35" s="1088">
        <f>Габариты!DD83</f>
        <v>0</v>
      </c>
      <c r="CD35" s="1089"/>
      <c r="CE35" s="1088">
        <f>Габариты!DG83</f>
        <v>0</v>
      </c>
      <c r="CF35" s="1089"/>
      <c r="CG35" s="1088">
        <f>Габариты!DJ83</f>
        <v>0</v>
      </c>
      <c r="CH35" s="1089"/>
      <c r="CI35" s="1088">
        <f>Габариты!DM83</f>
        <v>0</v>
      </c>
      <c r="CJ35" s="1089"/>
    </row>
    <row r="36" spans="2:88" ht="18" x14ac:dyDescent="0.25">
      <c r="B36" s="1090" t="s">
        <v>31</v>
      </c>
      <c r="C36" s="1090"/>
      <c r="D36" s="1090"/>
      <c r="E36" s="192" t="s">
        <v>44</v>
      </c>
      <c r="F36" s="86"/>
      <c r="G36" s="86"/>
      <c r="H36" s="140"/>
      <c r="I36" s="1149"/>
      <c r="J36" s="1149"/>
      <c r="K36" s="1149"/>
      <c r="L36" s="1149"/>
      <c r="M36" s="1149"/>
      <c r="N36" s="1149"/>
      <c r="O36" s="1149"/>
      <c r="P36" s="506" t="str">
        <f>Проверки!DL4</f>
        <v/>
      </c>
      <c r="Q36" s="490"/>
      <c r="R36" s="315"/>
      <c r="W36" s="474"/>
      <c r="X36" s="997" t="s">
        <v>1238</v>
      </c>
      <c r="Y36" s="1088">
        <f>IF(Y35=0,0,Габариты!CL30)</f>
        <v>63</v>
      </c>
      <c r="Z36" s="1089"/>
      <c r="AA36" s="1088">
        <f>IF(AA35=0,0,Габариты!CO30)</f>
        <v>0</v>
      </c>
      <c r="AB36" s="1089"/>
      <c r="AC36" s="1088">
        <f>IF(AC35=0,0,Габариты!CR30)</f>
        <v>0</v>
      </c>
      <c r="AD36" s="1089"/>
      <c r="AE36" s="1088">
        <f>IF(AE35=0,0,Габариты!CU30)</f>
        <v>0</v>
      </c>
      <c r="AF36" s="1089"/>
      <c r="AG36" s="1088">
        <f>IF(AG35=0,0,Габариты!CX30)</f>
        <v>0</v>
      </c>
      <c r="AH36" s="1089"/>
      <c r="AI36" s="1088">
        <f>IF(AI35=0,0,Габариты!DA30)</f>
        <v>0</v>
      </c>
      <c r="AJ36" s="1089"/>
      <c r="AK36" s="1088">
        <f>IF(AK35=0,0,Габариты!DD30)</f>
        <v>0</v>
      </c>
      <c r="AL36" s="1089"/>
      <c r="AM36" s="1088">
        <f>IF(AM35=0,0,Габариты!DG30)</f>
        <v>0</v>
      </c>
      <c r="AN36" s="1089"/>
      <c r="AO36" s="1088">
        <f>IF(AO35=0,0,Габариты!DJ30)</f>
        <v>0</v>
      </c>
      <c r="AP36" s="1089"/>
      <c r="AQ36" s="1088">
        <f>IF(AQ35=0,0,Габариты!DM30)</f>
        <v>0</v>
      </c>
      <c r="AR36" s="1089"/>
      <c r="AT36" s="1085" t="s">
        <v>1238</v>
      </c>
      <c r="AU36" s="1088">
        <f>Габариты!CL57</f>
        <v>0</v>
      </c>
      <c r="AV36" s="1089"/>
      <c r="AW36" s="1088">
        <f>Габариты!CO57</f>
        <v>0</v>
      </c>
      <c r="AX36" s="1089"/>
      <c r="AY36" s="1088">
        <f>Габариты!CR57</f>
        <v>0</v>
      </c>
      <c r="AZ36" s="1089"/>
      <c r="BA36" s="1088">
        <f>Габариты!CU57</f>
        <v>0</v>
      </c>
      <c r="BB36" s="1089"/>
      <c r="BC36" s="1088">
        <f>Габариты!CX57</f>
        <v>0</v>
      </c>
      <c r="BD36" s="1089"/>
      <c r="BE36" s="1088">
        <f>Габариты!DA57</f>
        <v>0</v>
      </c>
      <c r="BF36" s="1089"/>
      <c r="BG36" s="1088">
        <f>Габариты!DD57</f>
        <v>0</v>
      </c>
      <c r="BH36" s="1089"/>
      <c r="BI36" s="1088">
        <f>Габариты!DG57</f>
        <v>0</v>
      </c>
      <c r="BJ36" s="1089"/>
      <c r="BK36" s="1088">
        <f>Габариты!DJ57</f>
        <v>0</v>
      </c>
      <c r="BL36" s="1089"/>
      <c r="BM36" s="1088">
        <f>Габариты!DM57</f>
        <v>0</v>
      </c>
      <c r="BN36" s="1089"/>
    </row>
    <row r="37" spans="2:88" ht="18" customHeight="1" x14ac:dyDescent="0.25">
      <c r="B37" s="86"/>
      <c r="C37" s="90"/>
      <c r="D37" s="90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316"/>
      <c r="Q37" s="491"/>
      <c r="R37" s="316"/>
    </row>
    <row r="38" spans="2:88" ht="18" customHeight="1" x14ac:dyDescent="0.25">
      <c r="B38" s="91" t="s">
        <v>167</v>
      </c>
      <c r="C38" s="86"/>
      <c r="D38" s="90"/>
      <c r="E38"/>
      <c r="G38" s="86"/>
      <c r="H38" s="86"/>
      <c r="I38" s="86"/>
      <c r="J38" s="86"/>
      <c r="K38" s="86"/>
      <c r="L38" s="86"/>
      <c r="M38" s="86"/>
      <c r="N38" s="86"/>
      <c r="O38" s="86"/>
      <c r="P38" s="316"/>
      <c r="Q38" s="486"/>
      <c r="R38" s="316"/>
    </row>
    <row r="39" spans="2:88" ht="177.75" customHeight="1" x14ac:dyDescent="0.2">
      <c r="B39" s="1154"/>
      <c r="C39" s="1154"/>
      <c r="D39" s="1154"/>
      <c r="E39" s="1154"/>
      <c r="F39" s="1154"/>
      <c r="G39" s="1154"/>
      <c r="H39" s="1154"/>
      <c r="I39" s="1154"/>
      <c r="J39" s="1154"/>
      <c r="K39" s="1154"/>
      <c r="L39" s="1154"/>
      <c r="M39" s="1154"/>
      <c r="N39" s="1154"/>
      <c r="O39" s="1154"/>
      <c r="P39" s="316"/>
      <c r="Q39" s="486"/>
      <c r="R39" s="316"/>
    </row>
    <row r="40" spans="2:88" ht="18" customHeight="1" x14ac:dyDescent="0.2">
      <c r="B40" s="92"/>
      <c r="C40" s="92"/>
      <c r="D40" s="92"/>
      <c r="E40" s="92"/>
      <c r="F40" s="92"/>
      <c r="G40" s="92"/>
      <c r="H40" s="92"/>
      <c r="I40" s="92"/>
      <c r="J40" s="92"/>
      <c r="P40" s="316"/>
      <c r="Q40" s="486"/>
      <c r="R40" s="316"/>
    </row>
    <row r="41" spans="2:88" ht="18" customHeight="1" x14ac:dyDescent="0.25">
      <c r="B41" s="88" t="s">
        <v>272</v>
      </c>
      <c r="C41" s="193" t="s">
        <v>274</v>
      </c>
      <c r="D41" s="90"/>
      <c r="E41" s="86"/>
      <c r="F41" s="86"/>
      <c r="G41" s="86"/>
      <c r="H41" s="93"/>
      <c r="I41" s="85"/>
      <c r="J41" s="94"/>
      <c r="K41" s="1091" t="s">
        <v>548</v>
      </c>
      <c r="L41" s="1091"/>
      <c r="M41" s="1091"/>
      <c r="N41" s="1091"/>
      <c r="O41" s="1091"/>
      <c r="P41" s="316"/>
      <c r="Q41" s="486"/>
      <c r="R41" s="316"/>
    </row>
    <row r="42" spans="2:88" ht="18" x14ac:dyDescent="0.25">
      <c r="B42" s="88" t="s">
        <v>32</v>
      </c>
      <c r="C42" s="193" t="s">
        <v>271</v>
      </c>
      <c r="D42" s="90"/>
      <c r="E42" s="86"/>
      <c r="F42" s="86"/>
      <c r="G42" s="86"/>
      <c r="H42" s="86"/>
      <c r="I42" s="85"/>
      <c r="J42" s="94"/>
      <c r="K42" s="1091"/>
      <c r="L42" s="1091"/>
      <c r="M42" s="1091"/>
      <c r="N42" s="1091"/>
      <c r="O42" s="1091"/>
      <c r="P42" s="505" t="str">
        <f>Проверки!$DP$4</f>
        <v/>
      </c>
      <c r="Q42" s="486"/>
      <c r="R42" s="316"/>
    </row>
    <row r="43" spans="2:88" ht="18" x14ac:dyDescent="0.25">
      <c r="B43" s="88" t="s">
        <v>284</v>
      </c>
      <c r="C43" s="193" t="s">
        <v>281</v>
      </c>
      <c r="D43" s="90"/>
      <c r="E43" s="86"/>
      <c r="F43" s="86"/>
      <c r="G43" s="86"/>
      <c r="H43" s="86"/>
      <c r="I43" s="94"/>
      <c r="J43" s="94"/>
      <c r="K43" s="1091"/>
      <c r="L43" s="1091"/>
      <c r="M43" s="1091"/>
      <c r="N43" s="1091"/>
      <c r="O43" s="1091"/>
      <c r="P43" s="505" t="str">
        <f>Проверки!DN4</f>
        <v/>
      </c>
      <c r="Q43" s="477"/>
      <c r="R43" s="311"/>
    </row>
    <row r="44" spans="2:88" ht="18" customHeight="1" x14ac:dyDescent="0.25">
      <c r="B44" s="1105" t="s">
        <v>285</v>
      </c>
      <c r="C44" s="1128" t="s">
        <v>269</v>
      </c>
      <c r="D44" s="1129"/>
      <c r="E44" s="1125" t="s">
        <v>275</v>
      </c>
      <c r="F44" s="1126"/>
      <c r="G44" s="1127"/>
      <c r="H44" s="435" t="s">
        <v>270</v>
      </c>
      <c r="I44" s="1155" t="str">
        <f>IF($C$44="Вручную","Вручную","")</f>
        <v/>
      </c>
      <c r="J44" s="1092"/>
      <c r="K44" s="1092"/>
      <c r="L44" s="1092"/>
      <c r="M44" s="86"/>
      <c r="N44" s="86"/>
      <c r="O44" s="86"/>
      <c r="P44" s="316"/>
      <c r="Q44" s="486"/>
      <c r="R44" s="316"/>
    </row>
    <row r="45" spans="2:88" ht="18" x14ac:dyDescent="0.25">
      <c r="B45" s="1105"/>
      <c r="C45" s="1130"/>
      <c r="D45" s="1131"/>
      <c r="E45" s="89" t="s">
        <v>253</v>
      </c>
      <c r="F45" s="1125" t="s">
        <v>241</v>
      </c>
      <c r="G45" s="1127"/>
      <c r="H45" s="89" t="s">
        <v>99</v>
      </c>
      <c r="I45" s="1092" t="str">
        <f>IF($C$44="Вручную","Высота","")</f>
        <v/>
      </c>
      <c r="J45" s="1092"/>
      <c r="K45" s="1092" t="str">
        <f>IF($C$44="Вручную","Глубина","")</f>
        <v/>
      </c>
      <c r="L45" s="1092"/>
      <c r="M45" s="86"/>
      <c r="N45" s="86"/>
      <c r="O45" s="86"/>
      <c r="P45" s="505" t="str">
        <f>IF(AND($C$46="-",$C$44&lt;&gt;"Вручную"),"!Выберите режим 'Вручную'  / Включите ограничения габаритов","")</f>
        <v/>
      </c>
      <c r="Q45" s="477"/>
      <c r="R45" s="311"/>
    </row>
    <row r="46" spans="2:88" ht="18" customHeight="1" x14ac:dyDescent="0.25">
      <c r="B46" s="1146" t="s">
        <v>348</v>
      </c>
      <c r="C46" s="1150" t="s">
        <v>81</v>
      </c>
      <c r="D46" s="1150"/>
      <c r="E46" s="194">
        <f ca="1">D!$R$3</f>
        <v>600</v>
      </c>
      <c r="F46" s="1123">
        <f ca="1">D!$T$3</f>
        <v>200</v>
      </c>
      <c r="G46" s="1124"/>
      <c r="H46" s="115">
        <v>400</v>
      </c>
      <c r="I46" s="1151"/>
      <c r="J46" s="1151"/>
      <c r="K46" s="1151"/>
      <c r="L46" s="1151"/>
      <c r="M46" s="86"/>
      <c r="N46" s="86"/>
      <c r="O46" s="86"/>
      <c r="P46" s="931" t="str">
        <f ca="1">Проверки!$DD$4</f>
        <v/>
      </c>
      <c r="Q46" s="477"/>
      <c r="R46" s="311"/>
    </row>
    <row r="47" spans="2:88" ht="18" customHeight="1" x14ac:dyDescent="0.2">
      <c r="B47" s="1147"/>
      <c r="C47" s="1150"/>
      <c r="D47" s="1150"/>
      <c r="F47" s="128"/>
      <c r="G47" s="128"/>
      <c r="L47" s="84"/>
      <c r="M47" s="84"/>
      <c r="N47" s="84"/>
      <c r="O47" s="84"/>
    </row>
    <row r="48" spans="2:88" ht="18" customHeight="1" x14ac:dyDescent="0.2">
      <c r="B48" s="1152" t="s">
        <v>1303</v>
      </c>
      <c r="C48" s="1150" t="s">
        <v>81</v>
      </c>
      <c r="D48" s="1150"/>
      <c r="F48" s="129"/>
      <c r="G48" s="129"/>
      <c r="L48" s="84"/>
      <c r="M48" s="84"/>
      <c r="N48" s="84"/>
      <c r="O48" s="84"/>
    </row>
    <row r="49" spans="2:15" ht="18" customHeight="1" x14ac:dyDescent="0.2">
      <c r="B49" s="1153"/>
      <c r="C49" s="1150"/>
      <c r="D49" s="1150"/>
      <c r="F49" s="129"/>
      <c r="G49" s="129"/>
      <c r="L49" s="84"/>
      <c r="M49" s="84"/>
      <c r="N49" s="84"/>
      <c r="O49" s="84"/>
    </row>
    <row r="50" spans="2:15" ht="18" customHeight="1" x14ac:dyDescent="0.25">
      <c r="B50" s="182"/>
      <c r="C50" s="183"/>
      <c r="D50" s="183"/>
      <c r="F50" s="129"/>
      <c r="G50" s="129"/>
      <c r="L50" s="84"/>
      <c r="M50" s="84"/>
      <c r="N50" s="84"/>
      <c r="O50" s="84"/>
    </row>
    <row r="51" spans="2:15" ht="18" hidden="1" x14ac:dyDescent="0.25">
      <c r="B51" s="1148" t="s">
        <v>532</v>
      </c>
      <c r="C51" s="1148"/>
      <c r="I51" s="82"/>
      <c r="J51" s="82"/>
      <c r="K51" s="82"/>
      <c r="L51" s="82"/>
      <c r="M51" s="82"/>
      <c r="N51" s="82"/>
      <c r="O51" s="82"/>
    </row>
    <row r="52" spans="2:15" ht="18" hidden="1" customHeight="1" x14ac:dyDescent="0.25">
      <c r="B52" s="1146" t="s">
        <v>841</v>
      </c>
      <c r="C52" s="1121">
        <f>Габариты!H49</f>
        <v>0</v>
      </c>
      <c r="I52" s="82"/>
      <c r="J52" s="82"/>
      <c r="K52" s="82"/>
      <c r="L52" s="82"/>
      <c r="M52" s="82"/>
      <c r="N52" s="82"/>
      <c r="O52" s="82"/>
    </row>
    <row r="53" spans="2:15" ht="18" hidden="1" customHeight="1" x14ac:dyDescent="0.25">
      <c r="B53" s="1147"/>
      <c r="C53" s="1122"/>
      <c r="D53" s="83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</row>
    <row r="54" spans="2:15" ht="18" hidden="1" customHeight="1" x14ac:dyDescent="0.2">
      <c r="B54" s="1146" t="s">
        <v>842</v>
      </c>
      <c r="C54" s="1121" t="str">
        <f>Габариты!I49 &amp; " (" &amp; Габариты!J49 &amp; ")"</f>
        <v>0 (0)</v>
      </c>
    </row>
    <row r="55" spans="2:15" ht="18" hidden="1" customHeight="1" x14ac:dyDescent="0.2">
      <c r="B55" s="1147"/>
      <c r="C55" s="1122"/>
    </row>
    <row r="56" spans="2:15" ht="18" hidden="1" customHeight="1" x14ac:dyDescent="0.2">
      <c r="B56" s="1146" t="s">
        <v>848</v>
      </c>
      <c r="C56" s="1121">
        <f>Габариты!H58</f>
        <v>0</v>
      </c>
    </row>
    <row r="57" spans="2:15" ht="18" hidden="1" customHeight="1" x14ac:dyDescent="0.2">
      <c r="B57" s="1147"/>
      <c r="C57" s="1122"/>
    </row>
    <row r="58" spans="2:15" ht="18" hidden="1" customHeight="1" x14ac:dyDescent="0.2">
      <c r="B58" s="1146" t="s">
        <v>847</v>
      </c>
      <c r="C58" s="1121" t="str">
        <f>Габариты!I58 &amp; " (" &amp; Габариты!J58 &amp; ")"</f>
        <v>0 (0)</v>
      </c>
    </row>
    <row r="59" spans="2:15" ht="18" hidden="1" customHeight="1" x14ac:dyDescent="0.2">
      <c r="B59" s="1147"/>
      <c r="C59" s="1122"/>
    </row>
    <row r="60" spans="2:15" ht="18" hidden="1" customHeight="1" x14ac:dyDescent="0.2">
      <c r="B60" s="1146" t="s">
        <v>434</v>
      </c>
      <c r="C60" s="1121">
        <f>Габариты!H66</f>
        <v>1</v>
      </c>
    </row>
    <row r="61" spans="2:15" ht="18" hidden="1" customHeight="1" x14ac:dyDescent="0.25">
      <c r="B61" s="1147"/>
      <c r="C61" s="1122"/>
      <c r="D61" s="82"/>
      <c r="E61" s="82"/>
      <c r="F61" s="82"/>
    </row>
    <row r="62" spans="2:15" ht="18" hidden="1" customHeight="1" x14ac:dyDescent="0.25">
      <c r="B62" s="1146" t="s">
        <v>530</v>
      </c>
      <c r="C62" s="1121" t="str">
        <f>Габариты!I66 &amp; " (" &amp; Габариты!J66 &amp; ")"</f>
        <v>63 (7)</v>
      </c>
      <c r="D62" s="82"/>
      <c r="E62" s="82"/>
    </row>
    <row r="63" spans="2:15" ht="18" hidden="1" customHeight="1" x14ac:dyDescent="0.2">
      <c r="B63" s="1147"/>
      <c r="C63" s="1122"/>
    </row>
    <row r="64" spans="2:15" ht="18" hidden="1" customHeight="1" x14ac:dyDescent="0.2"/>
    <row r="65" spans="2:28" ht="18" hidden="1" customHeight="1" x14ac:dyDescent="0.2">
      <c r="B65" s="1144" t="s">
        <v>832</v>
      </c>
      <c r="C65" s="1145"/>
    </row>
    <row r="66" spans="2:28" ht="18" hidden="1" customHeight="1" x14ac:dyDescent="0.25">
      <c r="B66" s="88" t="s">
        <v>815</v>
      </c>
      <c r="C66" s="89">
        <f ca="1">D!BP$129</f>
        <v>88</v>
      </c>
      <c r="AA66" s="77"/>
      <c r="AB66" s="77"/>
    </row>
    <row r="67" spans="2:28" ht="18" hidden="1" customHeight="1" x14ac:dyDescent="0.25">
      <c r="B67" s="88" t="s">
        <v>816</v>
      </c>
      <c r="C67" s="89">
        <f ca="1">D!BQ$129</f>
        <v>88</v>
      </c>
      <c r="Y67" s="77"/>
      <c r="Z67" s="77"/>
    </row>
    <row r="68" spans="2:28" ht="18" hidden="1" customHeight="1" x14ac:dyDescent="0.25">
      <c r="B68" s="88" t="s">
        <v>817</v>
      </c>
      <c r="C68" s="89">
        <f ca="1">D!BR$129</f>
        <v>88</v>
      </c>
    </row>
    <row r="69" spans="2:28" ht="18" hidden="1" customHeight="1" x14ac:dyDescent="0.2"/>
    <row r="70" spans="2:28" ht="18" hidden="1" customHeight="1" x14ac:dyDescent="0.2">
      <c r="B70" s="1143" t="s">
        <v>1094</v>
      </c>
      <c r="C70" s="1093">
        <f ca="1">Габариты!A91</f>
        <v>762.5</v>
      </c>
    </row>
    <row r="71" spans="2:28" ht="18" hidden="1" customHeight="1" x14ac:dyDescent="0.2">
      <c r="B71" s="1143"/>
      <c r="C71" s="1093"/>
    </row>
    <row r="72" spans="2:28" ht="18" hidden="1" customHeight="1" x14ac:dyDescent="0.2"/>
    <row r="73" spans="2:28" ht="18" hidden="1" customHeight="1" x14ac:dyDescent="0.2">
      <c r="B73" s="900" t="s">
        <v>947</v>
      </c>
      <c r="C73" s="877" t="b">
        <f>Габариты!ID33</f>
        <v>0</v>
      </c>
    </row>
    <row r="74" spans="2:28" ht="18" hidden="1" customHeight="1" x14ac:dyDescent="0.2">
      <c r="B74" s="900" t="s">
        <v>1101</v>
      </c>
      <c r="C74" s="877">
        <f>Габариты!ID35</f>
        <v>0</v>
      </c>
    </row>
    <row r="75" spans="2:28" ht="12.75" customHeight="1" x14ac:dyDescent="0.2"/>
    <row r="76" spans="2:28" ht="12.75" customHeight="1" x14ac:dyDescent="0.2"/>
    <row r="84" spans="19:21" x14ac:dyDescent="0.2">
      <c r="S84" s="71"/>
      <c r="T84" s="72"/>
      <c r="U84" s="72"/>
    </row>
    <row r="85" spans="19:21" x14ac:dyDescent="0.2">
      <c r="S85" s="72"/>
      <c r="T85" s="71"/>
      <c r="U85" s="72"/>
    </row>
    <row r="86" spans="19:21" x14ac:dyDescent="0.2">
      <c r="S86" s="72"/>
      <c r="T86" s="71"/>
      <c r="U86" s="72"/>
    </row>
    <row r="87" spans="19:21" x14ac:dyDescent="0.2">
      <c r="S87" s="72"/>
      <c r="T87" s="71"/>
      <c r="U87" s="72"/>
    </row>
    <row r="88" spans="19:21" x14ac:dyDescent="0.2">
      <c r="S88" s="72"/>
      <c r="T88" s="71"/>
      <c r="U88" s="72"/>
    </row>
    <row r="89" spans="19:21" x14ac:dyDescent="0.2">
      <c r="S89" s="72"/>
      <c r="T89" s="71"/>
      <c r="U89" s="72"/>
    </row>
    <row r="90" spans="19:21" x14ac:dyDescent="0.2">
      <c r="S90" s="72"/>
      <c r="T90" s="71"/>
      <c r="U90" s="72"/>
    </row>
    <row r="91" spans="19:21" x14ac:dyDescent="0.2">
      <c r="S91" s="72"/>
      <c r="T91" s="71"/>
      <c r="U91" s="72"/>
    </row>
    <row r="92" spans="19:21" x14ac:dyDescent="0.2">
      <c r="S92" s="72"/>
      <c r="T92" s="71"/>
      <c r="U92" s="72"/>
    </row>
    <row r="93" spans="19:21" x14ac:dyDescent="0.2">
      <c r="S93" s="72"/>
      <c r="T93" s="72"/>
      <c r="U93" s="72"/>
    </row>
    <row r="94" spans="19:21" x14ac:dyDescent="0.2">
      <c r="S94" s="72"/>
      <c r="T94" s="71"/>
      <c r="U94" s="72"/>
    </row>
    <row r="95" spans="19:21" x14ac:dyDescent="0.2">
      <c r="S95" s="72"/>
      <c r="T95" s="71"/>
      <c r="U95" s="72"/>
    </row>
    <row r="96" spans="19:21" x14ac:dyDescent="0.2">
      <c r="S96" s="72"/>
      <c r="T96" s="71"/>
      <c r="U96" s="72"/>
    </row>
    <row r="97" spans="19:21" x14ac:dyDescent="0.2">
      <c r="S97" s="72"/>
      <c r="T97" s="71"/>
      <c r="U97" s="72"/>
    </row>
    <row r="98" spans="19:21" x14ac:dyDescent="0.2">
      <c r="S98" s="72"/>
      <c r="T98" s="71"/>
      <c r="U98" s="72"/>
    </row>
    <row r="99" spans="19:21" x14ac:dyDescent="0.2">
      <c r="S99" s="72"/>
      <c r="T99" s="71"/>
      <c r="U99" s="72"/>
    </row>
    <row r="100" spans="19:21" x14ac:dyDescent="0.2">
      <c r="S100" s="72"/>
      <c r="T100" s="71"/>
      <c r="U100" s="72"/>
    </row>
    <row r="101" spans="19:21" x14ac:dyDescent="0.2">
      <c r="S101" s="72"/>
      <c r="T101" s="71"/>
      <c r="U101" s="72"/>
    </row>
    <row r="102" spans="19:21" x14ac:dyDescent="0.2">
      <c r="S102" s="72"/>
      <c r="T102" s="72"/>
      <c r="U102" s="72"/>
    </row>
    <row r="103" spans="19:21" x14ac:dyDescent="0.2">
      <c r="S103" s="72"/>
      <c r="T103" s="71"/>
      <c r="U103" s="72"/>
    </row>
    <row r="104" spans="19:21" x14ac:dyDescent="0.2">
      <c r="S104" s="72"/>
      <c r="T104" s="71"/>
      <c r="U104" s="72"/>
    </row>
    <row r="105" spans="19:21" x14ac:dyDescent="0.2">
      <c r="S105" s="72"/>
      <c r="T105" s="71"/>
      <c r="U105" s="72"/>
    </row>
    <row r="106" spans="19:21" x14ac:dyDescent="0.2">
      <c r="S106" s="72"/>
      <c r="T106" s="71"/>
      <c r="U106" s="72"/>
    </row>
    <row r="107" spans="19:21" x14ac:dyDescent="0.2">
      <c r="S107" s="72"/>
      <c r="T107" s="71"/>
      <c r="U107" s="72"/>
    </row>
    <row r="108" spans="19:21" x14ac:dyDescent="0.2">
      <c r="S108" s="72"/>
      <c r="T108" s="71"/>
      <c r="U108" s="72"/>
    </row>
    <row r="109" spans="19:21" x14ac:dyDescent="0.2">
      <c r="S109" s="72"/>
      <c r="T109" s="71"/>
      <c r="U109" s="72"/>
    </row>
    <row r="110" spans="19:21" x14ac:dyDescent="0.2">
      <c r="S110" s="72"/>
      <c r="T110" s="71"/>
      <c r="U110" s="72"/>
    </row>
    <row r="111" spans="19:21" x14ac:dyDescent="0.2">
      <c r="S111" s="72"/>
      <c r="T111" s="72"/>
      <c r="U111" s="72"/>
    </row>
    <row r="112" spans="19:21" x14ac:dyDescent="0.2">
      <c r="S112" s="72"/>
      <c r="T112" s="71"/>
      <c r="U112" s="72"/>
    </row>
    <row r="113" spans="19:21" x14ac:dyDescent="0.2">
      <c r="S113" s="72"/>
      <c r="T113" s="71"/>
      <c r="U113" s="72"/>
    </row>
    <row r="114" spans="19:21" x14ac:dyDescent="0.2">
      <c r="S114" s="72"/>
      <c r="T114" s="71"/>
      <c r="U114" s="72"/>
    </row>
    <row r="115" spans="19:21" x14ac:dyDescent="0.2">
      <c r="S115" s="72"/>
      <c r="T115" s="71"/>
      <c r="U115" s="72"/>
    </row>
    <row r="116" spans="19:21" x14ac:dyDescent="0.2">
      <c r="S116" s="72"/>
      <c r="T116" s="71"/>
      <c r="U116" s="72"/>
    </row>
    <row r="117" spans="19:21" x14ac:dyDescent="0.2">
      <c r="S117" s="72"/>
      <c r="T117" s="71"/>
      <c r="U117" s="72"/>
    </row>
    <row r="118" spans="19:21" x14ac:dyDescent="0.2">
      <c r="S118" s="72"/>
      <c r="T118" s="71"/>
      <c r="U118" s="72"/>
    </row>
    <row r="119" spans="19:21" x14ac:dyDescent="0.2">
      <c r="S119" s="72"/>
      <c r="T119" s="71"/>
      <c r="U119" s="72"/>
    </row>
    <row r="120" spans="19:21" x14ac:dyDescent="0.2">
      <c r="S120" s="72"/>
      <c r="T120" s="72"/>
      <c r="U120" s="72"/>
    </row>
    <row r="121" spans="19:21" x14ac:dyDescent="0.2">
      <c r="S121" s="72"/>
      <c r="T121" s="71"/>
      <c r="U121" s="72"/>
    </row>
    <row r="122" spans="19:21" x14ac:dyDescent="0.2">
      <c r="S122" s="72"/>
      <c r="T122" s="71"/>
      <c r="U122" s="72"/>
    </row>
    <row r="123" spans="19:21" x14ac:dyDescent="0.2">
      <c r="S123" s="72"/>
      <c r="T123" s="71"/>
      <c r="U123" s="72"/>
    </row>
    <row r="124" spans="19:21" x14ac:dyDescent="0.2">
      <c r="S124" s="72"/>
      <c r="T124" s="71"/>
      <c r="U124" s="72"/>
    </row>
    <row r="125" spans="19:21" x14ac:dyDescent="0.2">
      <c r="S125" s="72"/>
      <c r="T125" s="71"/>
      <c r="U125" s="72"/>
    </row>
    <row r="126" spans="19:21" x14ac:dyDescent="0.2">
      <c r="S126" s="72"/>
      <c r="T126" s="71"/>
      <c r="U126" s="72"/>
    </row>
    <row r="127" spans="19:21" x14ac:dyDescent="0.2">
      <c r="S127" s="72"/>
      <c r="T127" s="71"/>
      <c r="U127" s="72"/>
    </row>
    <row r="128" spans="19:21" x14ac:dyDescent="0.2">
      <c r="S128" s="72"/>
      <c r="T128" s="71"/>
      <c r="U128" s="72"/>
    </row>
    <row r="129" spans="19:21" x14ac:dyDescent="0.2">
      <c r="S129" s="72"/>
      <c r="T129" s="72"/>
      <c r="U129" s="72"/>
    </row>
    <row r="130" spans="19:21" x14ac:dyDescent="0.2">
      <c r="S130" s="72"/>
      <c r="T130" s="71"/>
      <c r="U130" s="72"/>
    </row>
    <row r="131" spans="19:21" x14ac:dyDescent="0.2">
      <c r="S131" s="72"/>
      <c r="T131" s="71"/>
      <c r="U131" s="72"/>
    </row>
    <row r="132" spans="19:21" x14ac:dyDescent="0.2">
      <c r="S132" s="76"/>
      <c r="U132" s="76"/>
    </row>
    <row r="133" spans="19:21" x14ac:dyDescent="0.2">
      <c r="S133" s="76"/>
      <c r="U133" s="76"/>
    </row>
    <row r="134" spans="19:21" x14ac:dyDescent="0.2">
      <c r="S134" s="76"/>
      <c r="U134" s="76"/>
    </row>
    <row r="135" spans="19:21" x14ac:dyDescent="0.2">
      <c r="S135" s="76"/>
      <c r="U135" s="76"/>
    </row>
    <row r="136" spans="19:21" x14ac:dyDescent="0.2">
      <c r="S136" s="76"/>
      <c r="U136" s="76"/>
    </row>
    <row r="137" spans="19:21" x14ac:dyDescent="0.2">
      <c r="S137" s="76"/>
      <c r="U137" s="76"/>
    </row>
  </sheetData>
  <sheetProtection password="CF24" sheet="1" objects="1" scenarios="1"/>
  <dataConsolidate/>
  <mergeCells count="152">
    <mergeCell ref="B48:B49"/>
    <mergeCell ref="C48:D49"/>
    <mergeCell ref="AQ36:AR36"/>
    <mergeCell ref="Y36:Z36"/>
    <mergeCell ref="AA36:AB36"/>
    <mergeCell ref="AC36:AD36"/>
    <mergeCell ref="AE36:AF36"/>
    <mergeCell ref="AG36:AH36"/>
    <mergeCell ref="AI36:AJ36"/>
    <mergeCell ref="AK36:AL36"/>
    <mergeCell ref="AM36:AN36"/>
    <mergeCell ref="AO36:AP36"/>
    <mergeCell ref="I46:J46"/>
    <mergeCell ref="B39:O39"/>
    <mergeCell ref="I44:L44"/>
    <mergeCell ref="B44:B45"/>
    <mergeCell ref="B36:D36"/>
    <mergeCell ref="B70:B71"/>
    <mergeCell ref="C70:C71"/>
    <mergeCell ref="AU35:AV35"/>
    <mergeCell ref="AW35:AX35"/>
    <mergeCell ref="AY35:AZ35"/>
    <mergeCell ref="BA35:BB35"/>
    <mergeCell ref="BC35:BD35"/>
    <mergeCell ref="BE35:BF35"/>
    <mergeCell ref="BG35:BH35"/>
    <mergeCell ref="B65:C65"/>
    <mergeCell ref="B54:B55"/>
    <mergeCell ref="B52:B53"/>
    <mergeCell ref="C62:C63"/>
    <mergeCell ref="B62:B63"/>
    <mergeCell ref="C60:C61"/>
    <mergeCell ref="B60:B61"/>
    <mergeCell ref="B58:B59"/>
    <mergeCell ref="C58:C59"/>
    <mergeCell ref="B56:B57"/>
    <mergeCell ref="B51:C51"/>
    <mergeCell ref="I34:O36"/>
    <mergeCell ref="B46:B47"/>
    <mergeCell ref="C46:D47"/>
    <mergeCell ref="K46:L46"/>
    <mergeCell ref="BI35:BJ35"/>
    <mergeCell ref="BK35:BL35"/>
    <mergeCell ref="BY35:BZ35"/>
    <mergeCell ref="CA35:CB35"/>
    <mergeCell ref="CC35:CD35"/>
    <mergeCell ref="CE35:CF35"/>
    <mergeCell ref="CG9:CH9"/>
    <mergeCell ref="CI9:CJ9"/>
    <mergeCell ref="BW9:BX9"/>
    <mergeCell ref="BY9:BZ9"/>
    <mergeCell ref="CA9:CB9"/>
    <mergeCell ref="CC9:CD9"/>
    <mergeCell ref="CE9:CF9"/>
    <mergeCell ref="BM35:BN35"/>
    <mergeCell ref="BQ35:BR35"/>
    <mergeCell ref="BS35:BT35"/>
    <mergeCell ref="BU35:BV35"/>
    <mergeCell ref="AW9:AX9"/>
    <mergeCell ref="AY9:AZ9"/>
    <mergeCell ref="BA9:BB9"/>
    <mergeCell ref="AT9:AT10"/>
    <mergeCell ref="AT8:BN8"/>
    <mergeCell ref="AU9:AV9"/>
    <mergeCell ref="BC9:BD9"/>
    <mergeCell ref="BE9:BF9"/>
    <mergeCell ref="BG9:BH9"/>
    <mergeCell ref="BI9:BJ9"/>
    <mergeCell ref="BK9:BL9"/>
    <mergeCell ref="BM9:BN9"/>
    <mergeCell ref="BP8:CJ8"/>
    <mergeCell ref="BP9:BP10"/>
    <mergeCell ref="BQ9:BR9"/>
    <mergeCell ref="BS9:BT9"/>
    <mergeCell ref="BU9:BV9"/>
    <mergeCell ref="CG35:CH35"/>
    <mergeCell ref="CI35:CJ35"/>
    <mergeCell ref="BW35:BX35"/>
    <mergeCell ref="AQ9:AR9"/>
    <mergeCell ref="X8:AR8"/>
    <mergeCell ref="Y35:Z35"/>
    <mergeCell ref="AA35:AB35"/>
    <mergeCell ref="AC35:AD35"/>
    <mergeCell ref="AE35:AF35"/>
    <mergeCell ref="AG35:AH35"/>
    <mergeCell ref="AI35:AJ35"/>
    <mergeCell ref="AK35:AL35"/>
    <mergeCell ref="AM35:AN35"/>
    <mergeCell ref="AO35:AP35"/>
    <mergeCell ref="AQ35:AR35"/>
    <mergeCell ref="AG9:AH9"/>
    <mergeCell ref="AI9:AJ9"/>
    <mergeCell ref="AK9:AL9"/>
    <mergeCell ref="AM9:AN9"/>
    <mergeCell ref="AO9:AP9"/>
    <mergeCell ref="X9:X10"/>
    <mergeCell ref="Y9:Z9"/>
    <mergeCell ref="AA9:AB9"/>
    <mergeCell ref="AC9:AD9"/>
    <mergeCell ref="AE9:AF9"/>
    <mergeCell ref="C56:C57"/>
    <mergeCell ref="F46:G46"/>
    <mergeCell ref="E44:G44"/>
    <mergeCell ref="I45:J45"/>
    <mergeCell ref="F45:G45"/>
    <mergeCell ref="C44:D45"/>
    <mergeCell ref="H8:H9"/>
    <mergeCell ref="C52:C53"/>
    <mergeCell ref="C54:C55"/>
    <mergeCell ref="T9:V9"/>
    <mergeCell ref="L8:N8"/>
    <mergeCell ref="B34:D34"/>
    <mergeCell ref="J8:J9"/>
    <mergeCell ref="C8:C9"/>
    <mergeCell ref="I8:I9"/>
    <mergeCell ref="E8:E9"/>
    <mergeCell ref="D8:D9"/>
    <mergeCell ref="K8:K9"/>
    <mergeCell ref="B35:D35"/>
    <mergeCell ref="K41:O43"/>
    <mergeCell ref="K45:L45"/>
    <mergeCell ref="G8:G9"/>
    <mergeCell ref="B12:O12"/>
    <mergeCell ref="R9:R10"/>
    <mergeCell ref="S9:S10"/>
    <mergeCell ref="B1:J1"/>
    <mergeCell ref="K5:O5"/>
    <mergeCell ref="K6:O6"/>
    <mergeCell ref="B6:J6"/>
    <mergeCell ref="B5:J5"/>
    <mergeCell ref="B3:J3"/>
    <mergeCell ref="K3:O3"/>
    <mergeCell ref="K1:O1"/>
    <mergeCell ref="B2:J2"/>
    <mergeCell ref="K2:O2"/>
    <mergeCell ref="K4:O4"/>
    <mergeCell ref="B4:J4"/>
    <mergeCell ref="B7:O7"/>
    <mergeCell ref="B10:O10"/>
    <mergeCell ref="O8:O9"/>
    <mergeCell ref="B8:B9"/>
    <mergeCell ref="F8:F9"/>
    <mergeCell ref="BM36:BN36"/>
    <mergeCell ref="AU36:AV36"/>
    <mergeCell ref="AW36:AX36"/>
    <mergeCell ref="AY36:AZ36"/>
    <mergeCell ref="BA36:BB36"/>
    <mergeCell ref="BC36:BD36"/>
    <mergeCell ref="BE36:BF36"/>
    <mergeCell ref="BG36:BH36"/>
    <mergeCell ref="BI36:BJ36"/>
    <mergeCell ref="BK36:BL36"/>
  </mergeCells>
  <phoneticPr fontId="0" type="noConversion"/>
  <conditionalFormatting sqref="K1">
    <cfRule type="expression" dxfId="515" priority="900" stopIfTrue="1">
      <formula>OR($P$1&lt;&gt;"",$P$43&lt;&gt;"")</formula>
    </cfRule>
  </conditionalFormatting>
  <conditionalFormatting sqref="C44:D45">
    <cfRule type="expression" dxfId="514" priority="1043" stopIfTrue="1">
      <formula>AND($C$46="-",$C$44&lt;&gt;"Вручную")</formula>
    </cfRule>
    <cfRule type="expression" dxfId="513" priority="1045" stopIfTrue="1">
      <formula>$C$44="Вручную"</formula>
    </cfRule>
  </conditionalFormatting>
  <conditionalFormatting sqref="H46">
    <cfRule type="expression" dxfId="512" priority="1047" stopIfTrue="1">
      <formula>FIND("ширин",$P46)</formula>
    </cfRule>
  </conditionalFormatting>
  <conditionalFormatting sqref="H13">
    <cfRule type="expression" dxfId="511" priority="760" stopIfTrue="1">
      <formula>FIND("УЗО",$P$13)</formula>
    </cfRule>
  </conditionalFormatting>
  <conditionalFormatting sqref="H19">
    <cfRule type="expression" dxfId="510" priority="766" stopIfTrue="1">
      <formula>FIND("УЗО",$P$19)</formula>
    </cfRule>
  </conditionalFormatting>
  <conditionalFormatting sqref="H20">
    <cfRule type="expression" dxfId="509" priority="767" stopIfTrue="1">
      <formula>FIND("УЗО",$P$20)</formula>
    </cfRule>
  </conditionalFormatting>
  <conditionalFormatting sqref="H21">
    <cfRule type="expression" dxfId="508" priority="768" stopIfTrue="1">
      <formula>FIND("УЗО",$P$21)</formula>
    </cfRule>
  </conditionalFormatting>
  <conditionalFormatting sqref="H22">
    <cfRule type="expression" dxfId="507" priority="769" stopIfTrue="1">
      <formula>FIND("УЗО",$P$22)</formula>
    </cfRule>
  </conditionalFormatting>
  <conditionalFormatting sqref="H23">
    <cfRule type="expression" dxfId="506" priority="770" stopIfTrue="1">
      <formula>FIND("УЗО",$P$23)</formula>
    </cfRule>
  </conditionalFormatting>
  <conditionalFormatting sqref="H24">
    <cfRule type="expression" dxfId="505" priority="771" stopIfTrue="1">
      <formula>FIND("УЗО",$P$24)</formula>
    </cfRule>
  </conditionalFormatting>
  <conditionalFormatting sqref="H25">
    <cfRule type="expression" dxfId="504" priority="772" stopIfTrue="1">
      <formula>FIND("УЗО",$P$25)</formula>
    </cfRule>
  </conditionalFormatting>
  <conditionalFormatting sqref="H26">
    <cfRule type="expression" dxfId="503" priority="773" stopIfTrue="1">
      <formula>FIND("УЗО",$P$26)</formula>
    </cfRule>
  </conditionalFormatting>
  <conditionalFormatting sqref="H27:H32">
    <cfRule type="expression" dxfId="502" priority="774" stopIfTrue="1">
      <formula>FIND("УЗО",$P$27)</formula>
    </cfRule>
  </conditionalFormatting>
  <conditionalFormatting sqref="J13">
    <cfRule type="expression" dxfId="501" priority="776" stopIfTrue="1">
      <formula>FIND("SD",$P$13)</formula>
    </cfRule>
  </conditionalFormatting>
  <conditionalFormatting sqref="J15">
    <cfRule type="expression" dxfId="500" priority="778" stopIfTrue="1">
      <formula>FIND("SD",$P$15)</formula>
    </cfRule>
  </conditionalFormatting>
  <conditionalFormatting sqref="J16">
    <cfRule type="expression" dxfId="499" priority="779" stopIfTrue="1">
      <formula>FIND("SD",$P$16)</formula>
    </cfRule>
  </conditionalFormatting>
  <conditionalFormatting sqref="J17">
    <cfRule type="expression" dxfId="498" priority="780" stopIfTrue="1">
      <formula>FIND("SD",$P$17)</formula>
    </cfRule>
  </conditionalFormatting>
  <conditionalFormatting sqref="J18">
    <cfRule type="expression" dxfId="497" priority="781" stopIfTrue="1">
      <formula>FIND("SD",$P$18)</formula>
    </cfRule>
  </conditionalFormatting>
  <conditionalFormatting sqref="J19">
    <cfRule type="expression" dxfId="496" priority="782" stopIfTrue="1">
      <formula>FIND("SD",$P$19)</formula>
    </cfRule>
  </conditionalFormatting>
  <conditionalFormatting sqref="J20">
    <cfRule type="expression" dxfId="495" priority="783" stopIfTrue="1">
      <formula>FIND("SD",$P$20)</formula>
    </cfRule>
  </conditionalFormatting>
  <conditionalFormatting sqref="J21">
    <cfRule type="expression" dxfId="494" priority="784" stopIfTrue="1">
      <formula>FIND("SD",$P$21)</formula>
    </cfRule>
  </conditionalFormatting>
  <conditionalFormatting sqref="J22">
    <cfRule type="expression" dxfId="493" priority="785" stopIfTrue="1">
      <formula>FIND("SD",$P$22)</formula>
    </cfRule>
  </conditionalFormatting>
  <conditionalFormatting sqref="J23">
    <cfRule type="expression" dxfId="492" priority="786" stopIfTrue="1">
      <formula>FIND("SD",$P$23)</formula>
    </cfRule>
  </conditionalFormatting>
  <conditionalFormatting sqref="J24">
    <cfRule type="expression" dxfId="491" priority="787" stopIfTrue="1">
      <formula>FIND("SD",$P$24)</formula>
    </cfRule>
  </conditionalFormatting>
  <conditionalFormatting sqref="J25">
    <cfRule type="expression" dxfId="490" priority="788" stopIfTrue="1">
      <formula>FIND("SD",$P$25)</formula>
    </cfRule>
  </conditionalFormatting>
  <conditionalFormatting sqref="J26">
    <cfRule type="expression" dxfId="489" priority="789" stopIfTrue="1">
      <formula>FIND("SD",$P$26)</formula>
    </cfRule>
  </conditionalFormatting>
  <conditionalFormatting sqref="J27:J32">
    <cfRule type="expression" dxfId="488" priority="790" stopIfTrue="1">
      <formula>FIND("SD",$P$27)</formula>
    </cfRule>
  </conditionalFormatting>
  <conditionalFormatting sqref="J11">
    <cfRule type="expression" dxfId="487" priority="775" stopIfTrue="1">
      <formula>FIND("SD",$P$11)</formula>
    </cfRule>
  </conditionalFormatting>
  <conditionalFormatting sqref="K13">
    <cfRule type="expression" dxfId="486" priority="798" stopIfTrue="1">
      <formula>FIND("MX",$P$13)</formula>
    </cfRule>
  </conditionalFormatting>
  <conditionalFormatting sqref="K15">
    <cfRule type="expression" dxfId="485" priority="801" stopIfTrue="1">
      <formula>FIND("MX",$P$15)</formula>
    </cfRule>
  </conditionalFormatting>
  <conditionalFormatting sqref="K16">
    <cfRule type="expression" dxfId="484" priority="815" stopIfTrue="1">
      <formula>FIND("MX",$P$16)</formula>
    </cfRule>
  </conditionalFormatting>
  <conditionalFormatting sqref="K17">
    <cfRule type="expression" dxfId="483" priority="816" stopIfTrue="1">
      <formula>FIND("MX",$P$17)</formula>
    </cfRule>
  </conditionalFormatting>
  <conditionalFormatting sqref="K18">
    <cfRule type="expression" dxfId="482" priority="836" stopIfTrue="1">
      <formula>FIND("MX",$P$18)</formula>
    </cfRule>
  </conditionalFormatting>
  <conditionalFormatting sqref="K19">
    <cfRule type="expression" dxfId="481" priority="842" stopIfTrue="1">
      <formula>FIND("MX",$P$19)</formula>
    </cfRule>
  </conditionalFormatting>
  <conditionalFormatting sqref="K20">
    <cfRule type="expression" dxfId="480" priority="870" stopIfTrue="1">
      <formula>FIND("MX",$P$20)</formula>
    </cfRule>
  </conditionalFormatting>
  <conditionalFormatting sqref="K21">
    <cfRule type="expression" dxfId="479" priority="876" stopIfTrue="1">
      <formula>FIND("MX",$P$21)</formula>
    </cfRule>
  </conditionalFormatting>
  <conditionalFormatting sqref="K22">
    <cfRule type="expression" dxfId="478" priority="882" stopIfTrue="1">
      <formula>FIND("MX",$P$22)</formula>
    </cfRule>
  </conditionalFormatting>
  <conditionalFormatting sqref="K23">
    <cfRule type="expression" dxfId="477" priority="885" stopIfTrue="1">
      <formula>FIND("MX",$P$23)</formula>
    </cfRule>
  </conditionalFormatting>
  <conditionalFormatting sqref="K24">
    <cfRule type="expression" dxfId="476" priority="888" stopIfTrue="1">
      <formula>FIND("MX",$P$24)</formula>
    </cfRule>
  </conditionalFormatting>
  <conditionalFormatting sqref="K25">
    <cfRule type="expression" dxfId="475" priority="891" stopIfTrue="1">
      <formula>FIND("MX",$P$25)</formula>
    </cfRule>
  </conditionalFormatting>
  <conditionalFormatting sqref="K26">
    <cfRule type="expression" dxfId="474" priority="894" stopIfTrue="1">
      <formula>FIND("MX",$P$26)</formula>
    </cfRule>
  </conditionalFormatting>
  <conditionalFormatting sqref="K27:K32">
    <cfRule type="expression" dxfId="473" priority="897" stopIfTrue="1">
      <formula>FIND("MX",$P$27)</formula>
    </cfRule>
  </conditionalFormatting>
  <conditionalFormatting sqref="K11">
    <cfRule type="expression" dxfId="472" priority="791" stopIfTrue="1">
      <formula>FIND("MX",$P$11)</formula>
    </cfRule>
  </conditionalFormatting>
  <conditionalFormatting sqref="H11">
    <cfRule type="expression" dxfId="471" priority="757">
      <formula>FIND("УЗО",$P$11)</formula>
    </cfRule>
  </conditionalFormatting>
  <conditionalFormatting sqref="E13">
    <cfRule type="expression" dxfId="470" priority="753">
      <formula>OR(ISNUMBER(FIND("кривой",$P13)),ISNUMBER(FIND("расцепителя",$P13)))</formula>
    </cfRule>
  </conditionalFormatting>
  <conditionalFormatting sqref="E11">
    <cfRule type="expression" dxfId="469" priority="752">
      <formula>OR(ISNUMBER(FIND("кривой",$P11)),ISNUMBER(FIND("расцепителя",$P11)))</formula>
    </cfRule>
  </conditionalFormatting>
  <conditionalFormatting sqref="D11">
    <cfRule type="expression" dxfId="468" priority="334">
      <formula>FIND("!Несоответствие выключателя и номинального тока",$P11)</formula>
    </cfRule>
    <cfRule type="expression" dxfId="467" priority="733">
      <formula>FIND("Номинал вводного",$P$11)</formula>
    </cfRule>
  </conditionalFormatting>
  <conditionalFormatting sqref="D13">
    <cfRule type="expression" dxfId="466" priority="734">
      <formula>FIND("!Несоответствие выключателя и номинального тока",$P13)</formula>
    </cfRule>
  </conditionalFormatting>
  <conditionalFormatting sqref="D20">
    <cfRule type="expression" dxfId="465" priority="741">
      <formula>FIND("!Несоответствие выключателя и номинального тока",$P20)</formula>
    </cfRule>
  </conditionalFormatting>
  <conditionalFormatting sqref="D21">
    <cfRule type="expression" dxfId="464" priority="742">
      <formula>FIND("!Несоответствие выключателя и номинального тока",$P21)</formula>
    </cfRule>
  </conditionalFormatting>
  <conditionalFormatting sqref="D22">
    <cfRule type="expression" dxfId="463" priority="743">
      <formula>FIND("!Несоответствие выключателя и номинального тока",$P22)</formula>
    </cfRule>
  </conditionalFormatting>
  <conditionalFormatting sqref="D23">
    <cfRule type="expression" dxfId="462" priority="744">
      <formula>FIND("!Несоответствие выключателя и номинального тока",$P23)</formula>
    </cfRule>
  </conditionalFormatting>
  <conditionalFormatting sqref="D24">
    <cfRule type="expression" dxfId="461" priority="745">
      <formula>FIND("!Несоответствие выключателя и номинального тока",$P24)</formula>
    </cfRule>
  </conditionalFormatting>
  <conditionalFormatting sqref="D25">
    <cfRule type="expression" dxfId="460" priority="746">
      <formula>FIND("!Несоответствие выключателя и номинального тока",$P25)</formula>
    </cfRule>
  </conditionalFormatting>
  <conditionalFormatting sqref="D26">
    <cfRule type="expression" dxfId="459" priority="749">
      <formula>FIND("!Несоответствие выключателя и номинального тока",$P26)</formula>
    </cfRule>
  </conditionalFormatting>
  <conditionalFormatting sqref="D27:D32">
    <cfRule type="expression" dxfId="458" priority="751">
      <formula>FIND("!Несоответствие выключателя и номинального тока",$P27)</formula>
    </cfRule>
  </conditionalFormatting>
  <conditionalFormatting sqref="B11">
    <cfRule type="expression" dxfId="457" priority="365">
      <formula>FIND("тип шкафа",$P11)</formula>
    </cfRule>
    <cfRule type="expression" dxfId="456" priority="701">
      <formula>FIND("выберите",$P11)</formula>
    </cfRule>
  </conditionalFormatting>
  <conditionalFormatting sqref="B13">
    <cfRule type="expression" dxfId="455" priority="364">
      <formula>FIND("модульный",$P13)</formula>
    </cfRule>
    <cfRule type="expression" dxfId="454" priority="702">
      <formula>OR(ISNUMBER(FIND("выберите",$P13)),ISNUMBER(FIND("C60H-DC",$P13)))</formula>
    </cfRule>
  </conditionalFormatting>
  <conditionalFormatting sqref="K3:O3">
    <cfRule type="expression" dxfId="453" priority="700">
      <formula>SEARCH("заземл",$P$3)</formula>
    </cfRule>
  </conditionalFormatting>
  <conditionalFormatting sqref="N11">
    <cfRule type="expression" dxfId="452" priority="667">
      <formula>OR(ISNUMBER(AND(N11="-",FIND("кабел",$P11))),FIND("место ввода",$P11))</formula>
    </cfRule>
  </conditionalFormatting>
  <conditionalFormatting sqref="M13">
    <cfRule type="expression" dxfId="451" priority="580">
      <formula>FIND("сечение",$P13)</formula>
    </cfRule>
    <cfRule type="expression" dxfId="450" priority="665">
      <formula>AND(M13&lt;&gt;"-",FIND("графах кабел",$P13))</formula>
    </cfRule>
  </conditionalFormatting>
  <conditionalFormatting sqref="L13">
    <cfRule type="expression" dxfId="449" priority="455">
      <formula>AND($L13&lt;&gt;"-",FIND("графах кабел",$P13))</formula>
    </cfRule>
    <cfRule type="expression" dxfId="448" priority="627">
      <formula>FIND("Марка",$P13)</formula>
    </cfRule>
  </conditionalFormatting>
  <conditionalFormatting sqref="H46:L46">
    <cfRule type="expression" dxfId="447" priority="1049" stopIfTrue="1">
      <formula>($C$44="Вручную")</formula>
    </cfRule>
  </conditionalFormatting>
  <conditionalFormatting sqref="I44:L45">
    <cfRule type="expression" dxfId="446" priority="612">
      <formula>($C$44="Вручную")</formula>
    </cfRule>
  </conditionalFormatting>
  <conditionalFormatting sqref="O11">
    <cfRule type="expression" dxfId="445" priority="611">
      <formula>FIND("количество аппаратов",$P11)</formula>
    </cfRule>
  </conditionalFormatting>
  <conditionalFormatting sqref="O13">
    <cfRule type="expression" dxfId="444" priority="610">
      <formula>FIND("количество аппаратов",$P13)</formula>
    </cfRule>
  </conditionalFormatting>
  <conditionalFormatting sqref="O20">
    <cfRule type="expression" dxfId="443" priority="603">
      <formula>FIND("количество аппаратов",$P20)</formula>
    </cfRule>
  </conditionalFormatting>
  <conditionalFormatting sqref="O21">
    <cfRule type="expression" dxfId="442" priority="602">
      <formula>FIND("количество аппаратов",$P21)</formula>
    </cfRule>
  </conditionalFormatting>
  <conditionalFormatting sqref="O22">
    <cfRule type="expression" dxfId="441" priority="601">
      <formula>FIND("количество аппаратов",$P22)</formula>
    </cfRule>
  </conditionalFormatting>
  <conditionalFormatting sqref="O23">
    <cfRule type="expression" dxfId="440" priority="600">
      <formula>FIND("количество аппаратов",$P23)</formula>
    </cfRule>
  </conditionalFormatting>
  <conditionalFormatting sqref="O24">
    <cfRule type="expression" dxfId="439" priority="599">
      <formula>FIND("количество аппаратов",$P24)</formula>
    </cfRule>
  </conditionalFormatting>
  <conditionalFormatting sqref="O25">
    <cfRule type="expression" dxfId="438" priority="598">
      <formula>FIND("количество аппаратов",$P25)</formula>
    </cfRule>
  </conditionalFormatting>
  <conditionalFormatting sqref="O26">
    <cfRule type="expression" dxfId="437" priority="597">
      <formula>FIND("количество аппаратов",$P26)</formula>
    </cfRule>
  </conditionalFormatting>
  <conditionalFormatting sqref="O27:O32">
    <cfRule type="expression" dxfId="436" priority="596">
      <formula>FIND("количество аппаратов",$P27)</formula>
    </cfRule>
  </conditionalFormatting>
  <conditionalFormatting sqref="N13">
    <cfRule type="expression" dxfId="435" priority="394">
      <formula>AND($N13&lt;&gt;"-",FIND("графах кабел",$P13))</formula>
    </cfRule>
    <cfRule type="expression" dxfId="434" priority="595">
      <formula>OR(ISNUMBER(AND(N13="-",FIND("кабел",$P13))),FIND("место ввода",$P13))</formula>
    </cfRule>
  </conditionalFormatting>
  <conditionalFormatting sqref="M11">
    <cfRule type="expression" dxfId="433" priority="452">
      <formula>FIND("сечение",$P11)</formula>
    </cfRule>
    <cfRule type="expression" dxfId="432" priority="454">
      <formula>AND(M11&lt;&gt;"-",FIND("графах кабел",$P11))</formula>
    </cfRule>
  </conditionalFormatting>
  <conditionalFormatting sqref="L11">
    <cfRule type="expression" dxfId="431" priority="451">
      <formula>AND($L11&lt;&gt;"-",FIND("графах кабел",$P11))</formula>
    </cfRule>
    <cfRule type="expression" dxfId="430" priority="453">
      <formula>FIND("Марка",$P11)</formula>
    </cfRule>
  </conditionalFormatting>
  <conditionalFormatting sqref="M20">
    <cfRule type="expression" dxfId="429" priority="424">
      <formula>FIND("сечение",$P20)</formula>
    </cfRule>
    <cfRule type="expression" dxfId="428" priority="426">
      <formula>AND(M20&lt;&gt;"-",FIND("графах кабел",$P20))</formula>
    </cfRule>
  </conditionalFormatting>
  <conditionalFormatting sqref="L20">
    <cfRule type="expression" dxfId="427" priority="423">
      <formula>AND($L20&lt;&gt;"-",FIND("графах кабел",$P20))</formula>
    </cfRule>
    <cfRule type="expression" dxfId="426" priority="425">
      <formula>FIND("Марка",$P20)</formula>
    </cfRule>
  </conditionalFormatting>
  <conditionalFormatting sqref="M21">
    <cfRule type="expression" dxfId="425" priority="420">
      <formula>FIND("сечение",$P21)</formula>
    </cfRule>
    <cfRule type="expression" dxfId="424" priority="422">
      <formula>AND(M21&lt;&gt;"-",FIND("графах кабел",$P21))</formula>
    </cfRule>
  </conditionalFormatting>
  <conditionalFormatting sqref="L21">
    <cfRule type="expression" dxfId="423" priority="419">
      <formula>AND($L21&lt;&gt;"-",FIND("графах кабел",$P21))</formula>
    </cfRule>
    <cfRule type="expression" dxfId="422" priority="421">
      <formula>FIND("Марка",$P21)</formula>
    </cfRule>
  </conditionalFormatting>
  <conditionalFormatting sqref="M22">
    <cfRule type="expression" dxfId="421" priority="416">
      <formula>FIND("сечение",$P22)</formula>
    </cfRule>
    <cfRule type="expression" dxfId="420" priority="418">
      <formula>AND(M22&lt;&gt;"-",FIND("графах кабел",$P22))</formula>
    </cfRule>
  </conditionalFormatting>
  <conditionalFormatting sqref="L22">
    <cfRule type="expression" dxfId="419" priority="415">
      <formula>AND($L22&lt;&gt;"-",FIND("графах кабел",$P22))</formula>
    </cfRule>
    <cfRule type="expression" dxfId="418" priority="417">
      <formula>FIND("Марка",$P22)</formula>
    </cfRule>
  </conditionalFormatting>
  <conditionalFormatting sqref="M23">
    <cfRule type="expression" dxfId="417" priority="412">
      <formula>FIND("сечение",$P23)</formula>
    </cfRule>
    <cfRule type="expression" dxfId="416" priority="414">
      <formula>AND(M23&lt;&gt;"-",FIND("графах кабел",$P23))</formula>
    </cfRule>
  </conditionalFormatting>
  <conditionalFormatting sqref="L23">
    <cfRule type="expression" dxfId="415" priority="411">
      <formula>AND($L23&lt;&gt;"-",FIND("графах кабел",$P23))</formula>
    </cfRule>
    <cfRule type="expression" dxfId="414" priority="413">
      <formula>FIND("Марка",$P23)</formula>
    </cfRule>
  </conditionalFormatting>
  <conditionalFormatting sqref="M24">
    <cfRule type="expression" dxfId="413" priority="408">
      <formula>FIND("сечение",$P24)</formula>
    </cfRule>
    <cfRule type="expression" dxfId="412" priority="410">
      <formula>AND(M24&lt;&gt;"-",FIND("графах кабел",$P24))</formula>
    </cfRule>
  </conditionalFormatting>
  <conditionalFormatting sqref="L24">
    <cfRule type="expression" dxfId="411" priority="407">
      <formula>AND($L24&lt;&gt;"-",FIND("графах кабел",$P24))</formula>
    </cfRule>
    <cfRule type="expression" dxfId="410" priority="409">
      <formula>FIND("Марка",$P24)</formula>
    </cfRule>
  </conditionalFormatting>
  <conditionalFormatting sqref="M25">
    <cfRule type="expression" dxfId="409" priority="404">
      <formula>FIND("сечение",$P25)</formula>
    </cfRule>
    <cfRule type="expression" dxfId="408" priority="406">
      <formula>AND(M25&lt;&gt;"-",FIND("графах кабел",$P25))</formula>
    </cfRule>
  </conditionalFormatting>
  <conditionalFormatting sqref="L25">
    <cfRule type="expression" dxfId="407" priority="403">
      <formula>AND($L25&lt;&gt;"-",FIND("графах кабел",$P25))</formula>
    </cfRule>
    <cfRule type="expression" dxfId="406" priority="405">
      <formula>FIND("Марка",$P25)</formula>
    </cfRule>
  </conditionalFormatting>
  <conditionalFormatting sqref="M26">
    <cfRule type="expression" dxfId="405" priority="400">
      <formula>FIND("сечение",$P26)</formula>
    </cfRule>
    <cfRule type="expression" dxfId="404" priority="402">
      <formula>AND(M26&lt;&gt;"-",FIND("графах кабел",$P26))</formula>
    </cfRule>
  </conditionalFormatting>
  <conditionalFormatting sqref="L26">
    <cfRule type="expression" dxfId="403" priority="399">
      <formula>AND($L26&lt;&gt;"-",FIND("графах кабел",$P26))</formula>
    </cfRule>
    <cfRule type="expression" dxfId="402" priority="401">
      <formula>FIND("Марка",$P26)</formula>
    </cfRule>
  </conditionalFormatting>
  <conditionalFormatting sqref="M27:M32">
    <cfRule type="expression" dxfId="401" priority="396">
      <formula>FIND("сечение",$P27)</formula>
    </cfRule>
    <cfRule type="expression" dxfId="400" priority="398">
      <formula>AND(M27&lt;&gt;"-",FIND("графах кабел",$P27))</formula>
    </cfRule>
  </conditionalFormatting>
  <conditionalFormatting sqref="L27:L32">
    <cfRule type="expression" dxfId="399" priority="395">
      <formula>AND($L27&lt;&gt;"-",FIND("графах кабел",$P27))</formula>
    </cfRule>
    <cfRule type="expression" dxfId="398" priority="397">
      <formula>FIND("Марка",$P27)</formula>
    </cfRule>
  </conditionalFormatting>
  <conditionalFormatting sqref="N20">
    <cfRule type="expression" dxfId="397" priority="380">
      <formula>AND($N20&lt;&gt;"-",FIND("графах кабел",$P20))</formula>
    </cfRule>
    <cfRule type="expression" dxfId="396" priority="381">
      <formula>OR(ISNUMBER(AND(N20="-",FIND("кабел",$P20))),FIND("место ввода",$P20))</formula>
    </cfRule>
  </conditionalFormatting>
  <conditionalFormatting sqref="N21">
    <cfRule type="expression" dxfId="395" priority="378">
      <formula>AND($N21&lt;&gt;"-",FIND("графах кабел",$P21))</formula>
    </cfRule>
    <cfRule type="expression" dxfId="394" priority="379">
      <formula>OR(ISNUMBER(AND(N21="-",FIND("кабел",$P21))),FIND("место ввода",$P21))</formula>
    </cfRule>
  </conditionalFormatting>
  <conditionalFormatting sqref="N22">
    <cfRule type="expression" dxfId="393" priority="376">
      <formula>AND($N22&lt;&gt;"-",FIND("графах кабел",$P22))</formula>
    </cfRule>
    <cfRule type="expression" dxfId="392" priority="377">
      <formula>OR(ISNUMBER(AND(N22="-",FIND("кабел",$P22))),FIND("место ввода",$P22))</formula>
    </cfRule>
  </conditionalFormatting>
  <conditionalFormatting sqref="N23">
    <cfRule type="expression" dxfId="391" priority="374">
      <formula>AND($N23&lt;&gt;"-",FIND("графах кабел",$P23))</formula>
    </cfRule>
    <cfRule type="expression" dxfId="390" priority="375">
      <formula>OR(ISNUMBER(AND(N23="-",FIND("кабел",$P23))),FIND("место ввода",$P23))</formula>
    </cfRule>
  </conditionalFormatting>
  <conditionalFormatting sqref="N24">
    <cfRule type="expression" dxfId="389" priority="372">
      <formula>AND($N24&lt;&gt;"-",FIND("графах кабел",$P24))</formula>
    </cfRule>
    <cfRule type="expression" dxfId="388" priority="373">
      <formula>OR(ISNUMBER(AND(N24="-",FIND("кабел",$P24))),FIND("место ввода",$P24))</formula>
    </cfRule>
  </conditionalFormatting>
  <conditionalFormatting sqref="N25">
    <cfRule type="expression" dxfId="387" priority="370">
      <formula>AND($N25&lt;&gt;"-",FIND("графах кабел",$P25))</formula>
    </cfRule>
    <cfRule type="expression" dxfId="386" priority="371">
      <formula>OR(ISNUMBER(AND(N25="-",FIND("кабел",$P25))),FIND("место ввода",$P25))</formula>
    </cfRule>
  </conditionalFormatting>
  <conditionalFormatting sqref="N26">
    <cfRule type="expression" dxfId="385" priority="368">
      <formula>AND($N26&lt;&gt;"-",FIND("графах кабел",$P26))</formula>
    </cfRule>
    <cfRule type="expression" dxfId="384" priority="369">
      <formula>OR(ISNUMBER(AND(N26="-",FIND("кабел",$P26))),FIND("место ввода",$P26))</formula>
    </cfRule>
  </conditionalFormatting>
  <conditionalFormatting sqref="N27:N32">
    <cfRule type="expression" dxfId="383" priority="366">
      <formula>AND($N27&lt;&gt;"-",FIND("графах кабел",$P27))</formula>
    </cfRule>
    <cfRule type="expression" dxfId="382" priority="367">
      <formula>OR(ISNUMBER(AND(N27="-",FIND("кабел",$P27))),FIND("место ввода",$P27))</formula>
    </cfRule>
  </conditionalFormatting>
  <conditionalFormatting sqref="B20">
    <cfRule type="expression" dxfId="381" priority="350">
      <formula>FIND("модульный",$P20)</formula>
    </cfRule>
    <cfRule type="expression" dxfId="380" priority="351">
      <formula>OR(ISNUMBER(FIND("выберите",$P20)),ISNUMBER(FIND("C60H-DC",$P20)))</formula>
    </cfRule>
  </conditionalFormatting>
  <conditionalFormatting sqref="B21">
    <cfRule type="expression" dxfId="379" priority="348">
      <formula>FIND("модульный",$P21)</formula>
    </cfRule>
    <cfRule type="expression" dxfId="378" priority="349">
      <formula>OR(ISNUMBER(FIND("выберите",$P21)),ISNUMBER(FIND("C60H-DC",$P21)))</formula>
    </cfRule>
  </conditionalFormatting>
  <conditionalFormatting sqref="B22">
    <cfRule type="expression" dxfId="377" priority="346">
      <formula>FIND("модульный",$P22)</formula>
    </cfRule>
    <cfRule type="expression" dxfId="376" priority="347">
      <formula>OR(ISNUMBER(FIND("выберите",$P22)),ISNUMBER(FIND("C60H-DC",$P22)))</formula>
    </cfRule>
  </conditionalFormatting>
  <conditionalFormatting sqref="B23">
    <cfRule type="expression" dxfId="375" priority="344">
      <formula>FIND("модульный",$P23)</formula>
    </cfRule>
    <cfRule type="expression" dxfId="374" priority="345">
      <formula>OR(ISNUMBER(FIND("выберите",$P23)),ISNUMBER(FIND("C60H-DC",$P23)))</formula>
    </cfRule>
  </conditionalFormatting>
  <conditionalFormatting sqref="B24">
    <cfRule type="expression" dxfId="373" priority="342">
      <formula>FIND("модульный",$P24)</formula>
    </cfRule>
    <cfRule type="expression" dxfId="372" priority="343">
      <formula>OR(ISNUMBER(FIND("выберите",$P24)),ISNUMBER(FIND("C60H-DC",$P24)))</formula>
    </cfRule>
  </conditionalFormatting>
  <conditionalFormatting sqref="B25">
    <cfRule type="expression" dxfId="371" priority="340">
      <formula>FIND("модульный",$P25)</formula>
    </cfRule>
    <cfRule type="expression" dxfId="370" priority="341">
      <formula>OR(ISNUMBER(FIND("выберите",$P25)),ISNUMBER(FIND("C60H-DC",$P25)))</formula>
    </cfRule>
  </conditionalFormatting>
  <conditionalFormatting sqref="B26">
    <cfRule type="expression" dxfId="369" priority="338">
      <formula>FIND("модульный",$P26)</formula>
    </cfRule>
    <cfRule type="expression" dxfId="368" priority="339">
      <formula>OR(ISNUMBER(FIND("выберите",$P26)),ISNUMBER(FIND("C60H-DC",$P26)))</formula>
    </cfRule>
  </conditionalFormatting>
  <conditionalFormatting sqref="B27:B32">
    <cfRule type="expression" dxfId="367" priority="336">
      <formula>FIND("модульный",$P27)</formula>
    </cfRule>
    <cfRule type="expression" dxfId="366" priority="337">
      <formula>OR(ISNUMBER(FIND("выберите",$P27)),ISNUMBER(FIND("C60H-DC",$P27)))</formula>
    </cfRule>
  </conditionalFormatting>
  <conditionalFormatting sqref="E36">
    <cfRule type="expression" dxfId="365" priority="335">
      <formula>SEARCH("защит",$P$36)</formula>
    </cfRule>
  </conditionalFormatting>
  <conditionalFormatting sqref="P13:P32">
    <cfRule type="containsText" dxfId="364" priority="332" operator="containsText" text="!">
      <formula>NOT(ISERROR(SEARCH("!",P13)))</formula>
    </cfRule>
    <cfRule type="notContainsBlanks" dxfId="363" priority="1050">
      <formula>LEN(TRIM(P13))&gt;0</formula>
    </cfRule>
  </conditionalFormatting>
  <conditionalFormatting sqref="P46">
    <cfRule type="containsText" dxfId="362" priority="324" operator="containsText" text="!">
      <formula>NOT(ISERROR(SEARCH("!",P46)))</formula>
    </cfRule>
    <cfRule type="notContainsBlanks" dxfId="361" priority="325">
      <formula>LEN(TRIM(P46))&gt;0</formula>
    </cfRule>
  </conditionalFormatting>
  <conditionalFormatting sqref="P11">
    <cfRule type="containsText" dxfId="360" priority="330" operator="containsText" text="!">
      <formula>NOT(ISERROR(SEARCH("!",P11)))</formula>
    </cfRule>
    <cfRule type="notContainsBlanks" dxfId="359" priority="331">
      <formula>LEN(TRIM(P11))&gt;0</formula>
    </cfRule>
  </conditionalFormatting>
  <conditionalFormatting sqref="P5">
    <cfRule type="containsText" dxfId="358" priority="328" operator="containsText" text="!">
      <formula>NOT(ISERROR(SEARCH("!",P5)))</formula>
    </cfRule>
    <cfRule type="notContainsBlanks" dxfId="357" priority="329">
      <formula>LEN(TRIM(P5))&gt;0</formula>
    </cfRule>
  </conditionalFormatting>
  <conditionalFormatting sqref="P34">
    <cfRule type="containsText" dxfId="356" priority="326" operator="containsText" text="!">
      <formula>NOT(ISERROR(SEARCH("!",P34)))</formula>
    </cfRule>
    <cfRule type="notContainsBlanks" dxfId="355" priority="327">
      <formula>LEN(TRIM(P34))&gt;0</formula>
    </cfRule>
  </conditionalFormatting>
  <conditionalFormatting sqref="C43">
    <cfRule type="expression" dxfId="354" priority="323">
      <formula>SEARCH("!",$P43)</formula>
    </cfRule>
  </conditionalFormatting>
  <conditionalFormatting sqref="C42">
    <cfRule type="expression" dxfId="353" priority="322">
      <formula>SEARCH("!",$P42)</formula>
    </cfRule>
  </conditionalFormatting>
  <conditionalFormatting sqref="F46:G46">
    <cfRule type="expression" dxfId="352" priority="321">
      <formula>FIND("лубин",$P46)</formula>
    </cfRule>
  </conditionalFormatting>
  <conditionalFormatting sqref="C41">
    <cfRule type="expression" dxfId="351" priority="46">
      <formula>SEARCH("ЩР",$P46)</formula>
    </cfRule>
    <cfRule type="expression" dxfId="350" priority="320">
      <formula>SEARCH("!",$P42)</formula>
    </cfRule>
  </conditionalFormatting>
  <conditionalFormatting sqref="J15">
    <cfRule type="expression" dxfId="349" priority="310" stopIfTrue="1">
      <formula>FIND("SD",$P$14)</formula>
    </cfRule>
  </conditionalFormatting>
  <conditionalFormatting sqref="J16">
    <cfRule type="expression" dxfId="348" priority="311" stopIfTrue="1">
      <formula>FIND("SD",$P$15)</formula>
    </cfRule>
  </conditionalFormatting>
  <conditionalFormatting sqref="J17">
    <cfRule type="expression" dxfId="347" priority="312" stopIfTrue="1">
      <formula>FIND("SD",$P$16)</formula>
    </cfRule>
  </conditionalFormatting>
  <conditionalFormatting sqref="J18">
    <cfRule type="expression" dxfId="346" priority="313" stopIfTrue="1">
      <formula>FIND("SD",$P$17)</formula>
    </cfRule>
  </conditionalFormatting>
  <conditionalFormatting sqref="J19">
    <cfRule type="expression" dxfId="345" priority="314" stopIfTrue="1">
      <formula>FIND("SD",$P$18)</formula>
    </cfRule>
  </conditionalFormatting>
  <conditionalFormatting sqref="K15">
    <cfRule type="expression" dxfId="344" priority="315" stopIfTrue="1">
      <formula>FIND("MX",$P$14)</formula>
    </cfRule>
  </conditionalFormatting>
  <conditionalFormatting sqref="K16">
    <cfRule type="expression" dxfId="343" priority="316" stopIfTrue="1">
      <formula>FIND("MX",$P$15)</formula>
    </cfRule>
  </conditionalFormatting>
  <conditionalFormatting sqref="K17">
    <cfRule type="expression" dxfId="342" priority="317" stopIfTrue="1">
      <formula>FIND("MX",$P$16)</formula>
    </cfRule>
  </conditionalFormatting>
  <conditionalFormatting sqref="K18">
    <cfRule type="expression" dxfId="341" priority="318" stopIfTrue="1">
      <formula>FIND("MX",$P$17)</formula>
    </cfRule>
  </conditionalFormatting>
  <conditionalFormatting sqref="K19">
    <cfRule type="expression" dxfId="340" priority="319" stopIfTrue="1">
      <formula>FIND("MX",$P$18)</formula>
    </cfRule>
  </conditionalFormatting>
  <conditionalFormatting sqref="D19">
    <cfRule type="expression" dxfId="339" priority="304">
      <formula>FIND("!Несоответствие выключателя и номинального тока",$P19)</formula>
    </cfRule>
  </conditionalFormatting>
  <conditionalFormatting sqref="O19">
    <cfRule type="expression" dxfId="338" priority="290">
      <formula>FIND("количество аппаратов",$P19)</formula>
    </cfRule>
  </conditionalFormatting>
  <conditionalFormatting sqref="M19">
    <cfRule type="expression" dxfId="337" priority="271">
      <formula>FIND("сечение",$P19)</formula>
    </cfRule>
    <cfRule type="expression" dxfId="336" priority="273">
      <formula>AND(M19&lt;&gt;"-",FIND("графах кабел",$P19))</formula>
    </cfRule>
  </conditionalFormatting>
  <conditionalFormatting sqref="L19">
    <cfRule type="expression" dxfId="335" priority="270">
      <formula>AND($L19&lt;&gt;"-",FIND("графах кабел",$P19))</formula>
    </cfRule>
    <cfRule type="expression" dxfId="334" priority="272">
      <formula>FIND("Марка",$P19)</formula>
    </cfRule>
  </conditionalFormatting>
  <conditionalFormatting sqref="N19">
    <cfRule type="expression" dxfId="333" priority="260">
      <formula>AND($N19&lt;&gt;"-",FIND("графах кабел",$P19))</formula>
    </cfRule>
    <cfRule type="expression" dxfId="332" priority="261">
      <formula>OR(ISNUMBER(AND(N19="-",FIND("кабел",$P19))),FIND("место ввода",$P19))</formula>
    </cfRule>
  </conditionalFormatting>
  <conditionalFormatting sqref="B19">
    <cfRule type="expression" dxfId="331" priority="250">
      <formula>FIND("модульный",$P19)</formula>
    </cfRule>
    <cfRule type="expression" dxfId="330" priority="251">
      <formula>OR(ISNUMBER(FIND("выберите",$P19)),ISNUMBER(FIND("C60H-DC",$P19)))</formula>
    </cfRule>
  </conditionalFormatting>
  <conditionalFormatting sqref="J14">
    <cfRule type="expression" dxfId="329" priority="248" stopIfTrue="1">
      <formula>FIND("SD",$P$19)</formula>
    </cfRule>
  </conditionalFormatting>
  <conditionalFormatting sqref="K14">
    <cfRule type="expression" dxfId="328" priority="249" stopIfTrue="1">
      <formula>FIND("MX",$P$19)</formula>
    </cfRule>
  </conditionalFormatting>
  <conditionalFormatting sqref="E14">
    <cfRule type="expression" dxfId="327" priority="246">
      <formula>OR(ISNUMBER(FIND("кривой",$P14)),ISNUMBER(FIND("расцепителя",$P14)))</formula>
    </cfRule>
  </conditionalFormatting>
  <conditionalFormatting sqref="J14">
    <cfRule type="expression" dxfId="326" priority="233" stopIfTrue="1">
      <formula>FIND("SD",$P$18)</formula>
    </cfRule>
  </conditionalFormatting>
  <conditionalFormatting sqref="K14">
    <cfRule type="expression" dxfId="325" priority="234" stopIfTrue="1">
      <formula>FIND("MX",$P$18)</formula>
    </cfRule>
  </conditionalFormatting>
  <conditionalFormatting sqref="C13">
    <cfRule type="expression" dxfId="324" priority="219">
      <formula>AND(FIND("полюс",$P13),FIND("!",$P13))</formula>
    </cfRule>
    <cfRule type="expression" dxfId="323" priority="220">
      <formula>FIND("полюс",$P13)</formula>
    </cfRule>
  </conditionalFormatting>
  <conditionalFormatting sqref="C27:C32">
    <cfRule type="expression" dxfId="322" priority="191">
      <formula>AND(FIND("полюс",$P27),FIND("!",$P27))</formula>
    </cfRule>
    <cfRule type="expression" dxfId="321" priority="192">
      <formula>FIND("полюс",$P27)</formula>
    </cfRule>
  </conditionalFormatting>
  <conditionalFormatting sqref="C14">
    <cfRule type="expression" dxfId="320" priority="217">
      <formula>AND(FIND("полюс",$P14),FIND("!",$P14))</formula>
    </cfRule>
    <cfRule type="expression" dxfId="319" priority="218">
      <formula>FIND("полюс",$P14)</formula>
    </cfRule>
  </conditionalFormatting>
  <conditionalFormatting sqref="C15">
    <cfRule type="expression" dxfId="318" priority="215">
      <formula>AND(FIND("полюс",$P15),FIND("!",$P15))</formula>
    </cfRule>
    <cfRule type="expression" dxfId="317" priority="216">
      <formula>FIND("полюс",$P15)</formula>
    </cfRule>
  </conditionalFormatting>
  <conditionalFormatting sqref="C19">
    <cfRule type="expression" dxfId="316" priority="207">
      <formula>AND(FIND("полюс",$P19),FIND("!",$P19))</formula>
    </cfRule>
    <cfRule type="expression" dxfId="315" priority="208">
      <formula>FIND("полюс",$P19)</formula>
    </cfRule>
  </conditionalFormatting>
  <conditionalFormatting sqref="C20">
    <cfRule type="expression" dxfId="314" priority="205">
      <formula>AND(FIND("полюс",$P20),FIND("!",$P20))</formula>
    </cfRule>
    <cfRule type="expression" dxfId="313" priority="206">
      <formula>FIND("полюс",$P20)</formula>
    </cfRule>
  </conditionalFormatting>
  <conditionalFormatting sqref="C21">
    <cfRule type="expression" dxfId="312" priority="203">
      <formula>AND(FIND("полюс",$P21),FIND("!",$P21))</formula>
    </cfRule>
    <cfRule type="expression" dxfId="311" priority="204">
      <formula>FIND("полюс",$P21)</formula>
    </cfRule>
  </conditionalFormatting>
  <conditionalFormatting sqref="C22">
    <cfRule type="expression" dxfId="310" priority="201">
      <formula>AND(FIND("полюс",$P22),FIND("!",$P22))</formula>
    </cfRule>
    <cfRule type="expression" dxfId="309" priority="202">
      <formula>FIND("полюс",$P22)</formula>
    </cfRule>
  </conditionalFormatting>
  <conditionalFormatting sqref="C23">
    <cfRule type="expression" dxfId="308" priority="199">
      <formula>AND(FIND("полюс",$P23),FIND("!",$P23))</formula>
    </cfRule>
    <cfRule type="expression" dxfId="307" priority="200">
      <formula>FIND("полюс",$P23)</formula>
    </cfRule>
  </conditionalFormatting>
  <conditionalFormatting sqref="C24">
    <cfRule type="expression" dxfId="306" priority="197">
      <formula>AND(FIND("полюс",$P24),FIND("!",$P24))</formula>
    </cfRule>
    <cfRule type="expression" dxfId="305" priority="198">
      <formula>FIND("полюс",$P24)</formula>
    </cfRule>
  </conditionalFormatting>
  <conditionalFormatting sqref="C25">
    <cfRule type="expression" dxfId="304" priority="195">
      <formula>AND(FIND("полюс",$P25),FIND("!",$P25))</formula>
    </cfRule>
    <cfRule type="expression" dxfId="303" priority="196">
      <formula>FIND("полюс",$P25)</formula>
    </cfRule>
  </conditionalFormatting>
  <conditionalFormatting sqref="C26">
    <cfRule type="expression" dxfId="302" priority="193">
      <formula>AND(FIND("полюс",$P26),FIND("!",$P26))</formula>
    </cfRule>
    <cfRule type="expression" dxfId="301" priority="194">
      <formula>FIND("полюс",$P26)</formula>
    </cfRule>
  </conditionalFormatting>
  <conditionalFormatting sqref="C11">
    <cfRule type="expression" dxfId="300" priority="187">
      <formula>AND(FIND("полюс",$P11),FIND("!",$P11))</formula>
    </cfRule>
    <cfRule type="expression" dxfId="299" priority="188">
      <formula>FIND("полюс",$P11)</formula>
    </cfRule>
  </conditionalFormatting>
  <conditionalFormatting sqref="J14">
    <cfRule type="expression" dxfId="298" priority="177" stopIfTrue="1">
      <formula>FIND("SD",$P$15)</formula>
    </cfRule>
  </conditionalFormatting>
  <conditionalFormatting sqref="J15">
    <cfRule type="expression" dxfId="297" priority="178" stopIfTrue="1">
      <formula>FIND("SD",$P$16)</formula>
    </cfRule>
  </conditionalFormatting>
  <conditionalFormatting sqref="J16">
    <cfRule type="expression" dxfId="296" priority="179" stopIfTrue="1">
      <formula>FIND("SD",$P$17)</formula>
    </cfRule>
  </conditionalFormatting>
  <conditionalFormatting sqref="J17">
    <cfRule type="expression" dxfId="295" priority="180" stopIfTrue="1">
      <formula>FIND("SD",$P$18)</formula>
    </cfRule>
  </conditionalFormatting>
  <conditionalFormatting sqref="J18">
    <cfRule type="expression" dxfId="294" priority="181" stopIfTrue="1">
      <formula>FIND("SD",$P$19)</formula>
    </cfRule>
  </conditionalFormatting>
  <conditionalFormatting sqref="K14">
    <cfRule type="expression" dxfId="293" priority="182" stopIfTrue="1">
      <formula>FIND("MX",$P$15)</formula>
    </cfRule>
  </conditionalFormatting>
  <conditionalFormatting sqref="K15">
    <cfRule type="expression" dxfId="292" priority="183" stopIfTrue="1">
      <formula>FIND("MX",$P$16)</formula>
    </cfRule>
  </conditionalFormatting>
  <conditionalFormatting sqref="K16">
    <cfRule type="expression" dxfId="291" priority="184" stopIfTrue="1">
      <formula>FIND("MX",$P$17)</formula>
    </cfRule>
  </conditionalFormatting>
  <conditionalFormatting sqref="K17">
    <cfRule type="expression" dxfId="290" priority="185" stopIfTrue="1">
      <formula>FIND("MX",$P$18)</formula>
    </cfRule>
  </conditionalFormatting>
  <conditionalFormatting sqref="K18">
    <cfRule type="expression" dxfId="289" priority="186" stopIfTrue="1">
      <formula>FIND("MX",$P$19)</formula>
    </cfRule>
  </conditionalFormatting>
  <conditionalFormatting sqref="H14">
    <cfRule type="expression" dxfId="288" priority="107" stopIfTrue="1">
      <formula>FIND("УЗО",$P$14)</formula>
    </cfRule>
  </conditionalFormatting>
  <conditionalFormatting sqref="H15">
    <cfRule type="expression" dxfId="287" priority="108" stopIfTrue="1">
      <formula>FIND("УЗО",$P$15)</formula>
    </cfRule>
  </conditionalFormatting>
  <conditionalFormatting sqref="H16">
    <cfRule type="expression" dxfId="286" priority="109" stopIfTrue="1">
      <formula>FIND("УЗО",$P$16)</formula>
    </cfRule>
  </conditionalFormatting>
  <conditionalFormatting sqref="H17">
    <cfRule type="expression" dxfId="285" priority="110" stopIfTrue="1">
      <formula>FIND("УЗО",$P$17)</formula>
    </cfRule>
  </conditionalFormatting>
  <conditionalFormatting sqref="H18">
    <cfRule type="expression" dxfId="284" priority="111" stopIfTrue="1">
      <formula>FIND("УЗО",$P$18)</formula>
    </cfRule>
  </conditionalFormatting>
  <conditionalFormatting sqref="J14">
    <cfRule type="expression" dxfId="283" priority="112" stopIfTrue="1">
      <formula>FIND("SD",$P$14)</formula>
    </cfRule>
  </conditionalFormatting>
  <conditionalFormatting sqref="J15">
    <cfRule type="expression" dxfId="282" priority="113" stopIfTrue="1">
      <formula>FIND("SD",$P$15)</formula>
    </cfRule>
  </conditionalFormatting>
  <conditionalFormatting sqref="J16">
    <cfRule type="expression" dxfId="281" priority="114" stopIfTrue="1">
      <formula>FIND("SD",$P$16)</formula>
    </cfRule>
  </conditionalFormatting>
  <conditionalFormatting sqref="J17">
    <cfRule type="expression" dxfId="280" priority="115" stopIfTrue="1">
      <formula>FIND("SD",$P$17)</formula>
    </cfRule>
  </conditionalFormatting>
  <conditionalFormatting sqref="J18">
    <cfRule type="expression" dxfId="279" priority="116" stopIfTrue="1">
      <formula>FIND("SD",$P$18)</formula>
    </cfRule>
  </conditionalFormatting>
  <conditionalFormatting sqref="K14">
    <cfRule type="expression" dxfId="278" priority="117" stopIfTrue="1">
      <formula>FIND("MX",$P$14)</formula>
    </cfRule>
  </conditionalFormatting>
  <conditionalFormatting sqref="K15">
    <cfRule type="expression" dxfId="277" priority="118" stopIfTrue="1">
      <formula>FIND("MX",$P$15)</formula>
    </cfRule>
  </conditionalFormatting>
  <conditionalFormatting sqref="K16">
    <cfRule type="expression" dxfId="276" priority="119" stopIfTrue="1">
      <formula>FIND("MX",$P$16)</formula>
    </cfRule>
  </conditionalFormatting>
  <conditionalFormatting sqref="K17">
    <cfRule type="expression" dxfId="275" priority="120" stopIfTrue="1">
      <formula>FIND("MX",$P$17)</formula>
    </cfRule>
  </conditionalFormatting>
  <conditionalFormatting sqref="K18">
    <cfRule type="expression" dxfId="274" priority="121" stopIfTrue="1">
      <formula>FIND("MX",$P$18)</formula>
    </cfRule>
  </conditionalFormatting>
  <conditionalFormatting sqref="D18">
    <cfRule type="expression" dxfId="273" priority="106">
      <formula>FIND("!Несоответствие выключателя и номинального тока",$P18)</formula>
    </cfRule>
  </conditionalFormatting>
  <conditionalFormatting sqref="D14">
    <cfRule type="expression" dxfId="272" priority="102">
      <formula>FIND("!Несоответствие выключателя и номинального тока",$P14)</formula>
    </cfRule>
  </conditionalFormatting>
  <conditionalFormatting sqref="D15">
    <cfRule type="expression" dxfId="271" priority="103">
      <formula>FIND("!Несоответствие выключателя и номинального тока",$P15)</formula>
    </cfRule>
  </conditionalFormatting>
  <conditionalFormatting sqref="D16">
    <cfRule type="expression" dxfId="270" priority="104">
      <formula>FIND("!Несоответствие выключателя и номинального тока",$P16)</formula>
    </cfRule>
  </conditionalFormatting>
  <conditionalFormatting sqref="D17">
    <cfRule type="expression" dxfId="269" priority="105">
      <formula>FIND("!Несоответствие выключателя и номинального тока",$P17)</formula>
    </cfRule>
  </conditionalFormatting>
  <conditionalFormatting sqref="O14">
    <cfRule type="expression" dxfId="268" priority="101">
      <formula>FIND("количество аппаратов",$P14)</formula>
    </cfRule>
  </conditionalFormatting>
  <conditionalFormatting sqref="O15">
    <cfRule type="expression" dxfId="267" priority="100">
      <formula>FIND("количество аппаратов",$P15)</formula>
    </cfRule>
  </conditionalFormatting>
  <conditionalFormatting sqref="O16">
    <cfRule type="expression" dxfId="266" priority="99">
      <formula>FIND("количество аппаратов",$P16)</formula>
    </cfRule>
  </conditionalFormatting>
  <conditionalFormatting sqref="O17">
    <cfRule type="expression" dxfId="265" priority="98">
      <formula>FIND("количество аппаратов",$P17)</formula>
    </cfRule>
  </conditionalFormatting>
  <conditionalFormatting sqref="O18">
    <cfRule type="expression" dxfId="264" priority="97">
      <formula>FIND("количество аппаратов",$P18)</formula>
    </cfRule>
  </conditionalFormatting>
  <conditionalFormatting sqref="M14">
    <cfRule type="expression" dxfId="263" priority="94">
      <formula>FIND("сечение",$P14)</formula>
    </cfRule>
    <cfRule type="expression" dxfId="262" priority="96">
      <formula>AND(M14&lt;&gt;"-",FIND("графах кабел",$P14))</formula>
    </cfRule>
  </conditionalFormatting>
  <conditionalFormatting sqref="L14">
    <cfRule type="expression" dxfId="261" priority="93">
      <formula>AND($L14&lt;&gt;"-",FIND("графах кабел",$P14))</formula>
    </cfRule>
    <cfRule type="expression" dxfId="260" priority="95">
      <formula>FIND("Марка",$P14)</formula>
    </cfRule>
  </conditionalFormatting>
  <conditionalFormatting sqref="M15">
    <cfRule type="expression" dxfId="259" priority="90">
      <formula>FIND("сечение",$P15)</formula>
    </cfRule>
    <cfRule type="expression" dxfId="258" priority="92">
      <formula>AND(M15&lt;&gt;"-",FIND("графах кабел",$P15))</formula>
    </cfRule>
  </conditionalFormatting>
  <conditionalFormatting sqref="L15">
    <cfRule type="expression" dxfId="257" priority="89">
      <formula>AND($L15&lt;&gt;"-",FIND("графах кабел",$P15))</formula>
    </cfRule>
    <cfRule type="expression" dxfId="256" priority="91">
      <formula>FIND("Марка",$P15)</formula>
    </cfRule>
  </conditionalFormatting>
  <conditionalFormatting sqref="M16">
    <cfRule type="expression" dxfId="255" priority="86">
      <formula>FIND("сечение",$P16)</formula>
    </cfRule>
    <cfRule type="expression" dxfId="254" priority="88">
      <formula>AND(M16&lt;&gt;"-",FIND("графах кабел",$P16))</formula>
    </cfRule>
  </conditionalFormatting>
  <conditionalFormatting sqref="L16">
    <cfRule type="expression" dxfId="253" priority="85">
      <formula>AND($L16&lt;&gt;"-",FIND("графах кабел",$P16))</formula>
    </cfRule>
    <cfRule type="expression" dxfId="252" priority="87">
      <formula>FIND("Марка",$P16)</formula>
    </cfRule>
  </conditionalFormatting>
  <conditionalFormatting sqref="M17">
    <cfRule type="expression" dxfId="251" priority="82">
      <formula>FIND("сечение",$P17)</formula>
    </cfRule>
    <cfRule type="expression" dxfId="250" priority="84">
      <formula>AND(M17&lt;&gt;"-",FIND("графах кабел",$P17))</formula>
    </cfRule>
  </conditionalFormatting>
  <conditionalFormatting sqref="L17">
    <cfRule type="expression" dxfId="249" priority="81">
      <formula>AND($L17&lt;&gt;"-",FIND("графах кабел",$P17))</formula>
    </cfRule>
    <cfRule type="expression" dxfId="248" priority="83">
      <formula>FIND("Марка",$P17)</formula>
    </cfRule>
  </conditionalFormatting>
  <conditionalFormatting sqref="M18">
    <cfRule type="expression" dxfId="247" priority="78">
      <formula>FIND("сечение",$P18)</formula>
    </cfRule>
    <cfRule type="expression" dxfId="246" priority="80">
      <formula>AND(M18&lt;&gt;"-",FIND("графах кабел",$P18))</formula>
    </cfRule>
  </conditionalFormatting>
  <conditionalFormatting sqref="L18">
    <cfRule type="expression" dxfId="245" priority="77">
      <formula>AND($L18&lt;&gt;"-",FIND("графах кабел",$P18))</formula>
    </cfRule>
    <cfRule type="expression" dxfId="244" priority="79">
      <formula>FIND("Марка",$P18)</formula>
    </cfRule>
  </conditionalFormatting>
  <conditionalFormatting sqref="N14">
    <cfRule type="expression" dxfId="243" priority="75">
      <formula>AND($N14&lt;&gt;"-",FIND("графах кабел",$P14))</formula>
    </cfRule>
    <cfRule type="expression" dxfId="242" priority="76">
      <formula>OR(ISNUMBER(AND(N14="-",FIND("кабел",$P14))),FIND("место ввода",$P14))</formula>
    </cfRule>
  </conditionalFormatting>
  <conditionalFormatting sqref="N15">
    <cfRule type="expression" dxfId="241" priority="73">
      <formula>AND($N15&lt;&gt;"-",FIND("графах кабел",$P15))</formula>
    </cfRule>
    <cfRule type="expression" dxfId="240" priority="74">
      <formula>OR(ISNUMBER(AND(N15="-",FIND("кабел",$P15))),FIND("место ввода",$P15))</formula>
    </cfRule>
  </conditionalFormatting>
  <conditionalFormatting sqref="N16">
    <cfRule type="expression" dxfId="239" priority="71">
      <formula>AND($N16&lt;&gt;"-",FIND("графах кабел",$P16))</formula>
    </cfRule>
    <cfRule type="expression" dxfId="238" priority="72">
      <formula>OR(ISNUMBER(AND(N16="-",FIND("кабел",$P16))),FIND("место ввода",$P16))</formula>
    </cfRule>
  </conditionalFormatting>
  <conditionalFormatting sqref="N17">
    <cfRule type="expression" dxfId="237" priority="69">
      <formula>AND($N17&lt;&gt;"-",FIND("графах кабел",$P17))</formula>
    </cfRule>
    <cfRule type="expression" dxfId="236" priority="70">
      <formula>OR(ISNUMBER(AND(N17="-",FIND("кабел",$P17))),FIND("место ввода",$P17))</formula>
    </cfRule>
  </conditionalFormatting>
  <conditionalFormatting sqref="N18">
    <cfRule type="expression" dxfId="235" priority="67">
      <formula>AND($N18&lt;&gt;"-",FIND("графах кабел",$P18))</formula>
    </cfRule>
    <cfRule type="expression" dxfId="234" priority="68">
      <formula>OR(ISNUMBER(AND(N18="-",FIND("кабел",$P18))),FIND("место ввода",$P18))</formula>
    </cfRule>
  </conditionalFormatting>
  <conditionalFormatting sqref="B14">
    <cfRule type="expression" dxfId="233" priority="65">
      <formula>FIND("модульный",$P14)</formula>
    </cfRule>
    <cfRule type="expression" dxfId="232" priority="66">
      <formula>OR(ISNUMBER(FIND("выберите",$P14)),ISNUMBER(FIND("C60H-DC",$P14)))</formula>
    </cfRule>
  </conditionalFormatting>
  <conditionalFormatting sqref="B15">
    <cfRule type="expression" dxfId="231" priority="63">
      <formula>FIND("модульный",$P15)</formula>
    </cfRule>
    <cfRule type="expression" dxfId="230" priority="64">
      <formula>OR(ISNUMBER(FIND("выберите",$P15)),ISNUMBER(FIND("C60H-DC",$P15)))</formula>
    </cfRule>
  </conditionalFormatting>
  <conditionalFormatting sqref="B16">
    <cfRule type="expression" dxfId="229" priority="61">
      <formula>FIND("модульный",$P16)</formula>
    </cfRule>
    <cfRule type="expression" dxfId="228" priority="62">
      <formula>OR(ISNUMBER(FIND("выберите",$P16)),ISNUMBER(FIND("C60H-DC",$P16)))</formula>
    </cfRule>
  </conditionalFormatting>
  <conditionalFormatting sqref="B17">
    <cfRule type="expression" dxfId="227" priority="59">
      <formula>FIND("модульный",$P17)</formula>
    </cfRule>
    <cfRule type="expression" dxfId="226" priority="60">
      <formula>OR(ISNUMBER(FIND("выберите",$P17)),ISNUMBER(FIND("C60H-DC",$P17)))</formula>
    </cfRule>
  </conditionalFormatting>
  <conditionalFormatting sqref="B18">
    <cfRule type="expression" dxfId="225" priority="57">
      <formula>FIND("модульный",$P18)</formula>
    </cfRule>
    <cfRule type="expression" dxfId="224" priority="58">
      <formula>OR(ISNUMBER(FIND("выберите",$P18)),ISNUMBER(FIND("C60H-DC",$P18)))</formula>
    </cfRule>
  </conditionalFormatting>
  <conditionalFormatting sqref="C14">
    <cfRule type="expression" dxfId="223" priority="55">
      <formula>AND(FIND("полюс",$P14),FIND("!",$P14))</formula>
    </cfRule>
    <cfRule type="expression" dxfId="222" priority="56">
      <formula>FIND("полюс",$P14)</formula>
    </cfRule>
  </conditionalFormatting>
  <conditionalFormatting sqref="C15">
    <cfRule type="expression" dxfId="221" priority="53">
      <formula>AND(FIND("полюс",$P15),FIND("!",$P15))</formula>
    </cfRule>
    <cfRule type="expression" dxfId="220" priority="54">
      <formula>FIND("полюс",$P15)</formula>
    </cfRule>
  </conditionalFormatting>
  <conditionalFormatting sqref="C16">
    <cfRule type="expression" dxfId="219" priority="51">
      <formula>AND(FIND("полюс",$P16),FIND("!",$P16))</formula>
    </cfRule>
    <cfRule type="expression" dxfId="218" priority="52">
      <formula>FIND("полюс",$P16)</formula>
    </cfRule>
  </conditionalFormatting>
  <conditionalFormatting sqref="C17">
    <cfRule type="expression" dxfId="217" priority="49">
      <formula>AND(FIND("полюс",$P17),FIND("!",$P17))</formula>
    </cfRule>
    <cfRule type="expression" dxfId="216" priority="50">
      <formula>FIND("полюс",$P17)</formula>
    </cfRule>
  </conditionalFormatting>
  <conditionalFormatting sqref="C18">
    <cfRule type="expression" dxfId="215" priority="47">
      <formula>AND(FIND("полюс",$P18),FIND("!",$P18))</formula>
    </cfRule>
    <cfRule type="expression" dxfId="214" priority="48">
      <formula>FIND("полюс",$P18)</formula>
    </cfRule>
  </conditionalFormatting>
  <conditionalFormatting sqref="F11">
    <cfRule type="expression" dxfId="213" priority="45">
      <formula>SEARCH("Ir",$P11)</formula>
    </cfRule>
  </conditionalFormatting>
  <conditionalFormatting sqref="F13">
    <cfRule type="expression" dxfId="212" priority="44">
      <formula>SEARCH("Ir",$P13)</formula>
    </cfRule>
  </conditionalFormatting>
  <conditionalFormatting sqref="F27:F32">
    <cfRule type="expression" dxfId="211" priority="43">
      <formula>SEARCH("Ir",$P27)</formula>
    </cfRule>
  </conditionalFormatting>
  <conditionalFormatting sqref="F26">
    <cfRule type="expression" dxfId="210" priority="42">
      <formula>SEARCH("Ir",$P26)</formula>
    </cfRule>
  </conditionalFormatting>
  <conditionalFormatting sqref="F25">
    <cfRule type="expression" dxfId="209" priority="41">
      <formula>SEARCH("Ir",$P25)</formula>
    </cfRule>
  </conditionalFormatting>
  <conditionalFormatting sqref="F24">
    <cfRule type="expression" dxfId="208" priority="40">
      <formula>SEARCH("Ir",$P24)</formula>
    </cfRule>
  </conditionalFormatting>
  <conditionalFormatting sqref="F23">
    <cfRule type="expression" dxfId="207" priority="39">
      <formula>SEARCH("Ir",$P23)</formula>
    </cfRule>
  </conditionalFormatting>
  <conditionalFormatting sqref="F22">
    <cfRule type="expression" dxfId="206" priority="38">
      <formula>SEARCH("Ir",$P22)</formula>
    </cfRule>
  </conditionalFormatting>
  <conditionalFormatting sqref="F21">
    <cfRule type="expression" dxfId="205" priority="37">
      <formula>SEARCH("Ir",$P21)</formula>
    </cfRule>
  </conditionalFormatting>
  <conditionalFormatting sqref="F20">
    <cfRule type="expression" dxfId="204" priority="36">
      <formula>SEARCH("Ir",$P20)</formula>
    </cfRule>
  </conditionalFormatting>
  <conditionalFormatting sqref="F19">
    <cfRule type="expression" dxfId="203" priority="35">
      <formula>SEARCH("Ir",$P19)</formula>
    </cfRule>
  </conditionalFormatting>
  <conditionalFormatting sqref="F18">
    <cfRule type="expression" dxfId="202" priority="34">
      <formula>SEARCH("Ir",$P18)</formula>
    </cfRule>
  </conditionalFormatting>
  <conditionalFormatting sqref="F17">
    <cfRule type="expression" dxfId="201" priority="33">
      <formula>SEARCH("Ir",$P17)</formula>
    </cfRule>
  </conditionalFormatting>
  <conditionalFormatting sqref="F16">
    <cfRule type="expression" dxfId="200" priority="32">
      <formula>SEARCH("Ir",$P16)</formula>
    </cfRule>
  </conditionalFormatting>
  <conditionalFormatting sqref="F15">
    <cfRule type="expression" dxfId="199" priority="31">
      <formula>SEARCH("Ir",$P15)</formula>
    </cfRule>
  </conditionalFormatting>
  <conditionalFormatting sqref="F14">
    <cfRule type="expression" dxfId="198" priority="30">
      <formula>SEARCH("Ir",$P14)</formula>
    </cfRule>
  </conditionalFormatting>
  <conditionalFormatting sqref="G11">
    <cfRule type="expression" dxfId="197" priority="29">
      <formula>SEARCH("Im",$P11)</formula>
    </cfRule>
  </conditionalFormatting>
  <conditionalFormatting sqref="G13">
    <cfRule type="expression" dxfId="196" priority="28">
      <formula>SEARCH("Im",$P13)</formula>
    </cfRule>
  </conditionalFormatting>
  <conditionalFormatting sqref="G27:G32">
    <cfRule type="expression" dxfId="195" priority="26">
      <formula>SEARCH("Im",$P27)</formula>
    </cfRule>
  </conditionalFormatting>
  <conditionalFormatting sqref="G26">
    <cfRule type="expression" dxfId="194" priority="25">
      <formula>SEARCH("Im",$P26)</formula>
    </cfRule>
  </conditionalFormatting>
  <conditionalFormatting sqref="G25">
    <cfRule type="expression" dxfId="193" priority="24">
      <formula>SEARCH("Im",$P25)</formula>
    </cfRule>
  </conditionalFormatting>
  <conditionalFormatting sqref="G24">
    <cfRule type="expression" dxfId="192" priority="23">
      <formula>SEARCH("Im",$P24)</formula>
    </cfRule>
  </conditionalFormatting>
  <conditionalFormatting sqref="G23">
    <cfRule type="expression" dxfId="191" priority="22">
      <formula>SEARCH("Im",$P23)</formula>
    </cfRule>
  </conditionalFormatting>
  <conditionalFormatting sqref="G22">
    <cfRule type="expression" dxfId="190" priority="21">
      <formula>SEARCH("Im",$P22)</formula>
    </cfRule>
  </conditionalFormatting>
  <conditionalFormatting sqref="G21">
    <cfRule type="expression" dxfId="189" priority="20">
      <formula>SEARCH("Im",$P21)</formula>
    </cfRule>
  </conditionalFormatting>
  <conditionalFormatting sqref="G20">
    <cfRule type="expression" dxfId="188" priority="19">
      <formula>SEARCH("Im",$P20)</formula>
    </cfRule>
  </conditionalFormatting>
  <conditionalFormatting sqref="G19">
    <cfRule type="expression" dxfId="187" priority="18">
      <formula>SEARCH("Im",$P19)</formula>
    </cfRule>
  </conditionalFormatting>
  <conditionalFormatting sqref="G18">
    <cfRule type="expression" dxfId="186" priority="17">
      <formula>SEARCH("Im",$P18)</formula>
    </cfRule>
  </conditionalFormatting>
  <conditionalFormatting sqref="G17">
    <cfRule type="expression" dxfId="185" priority="16">
      <formula>SEARCH("Im",$P17)</formula>
    </cfRule>
  </conditionalFormatting>
  <conditionalFormatting sqref="G16">
    <cfRule type="expression" dxfId="184" priority="15">
      <formula>SEARCH("Im",$P16)</formula>
    </cfRule>
  </conditionalFormatting>
  <conditionalFormatting sqref="G15">
    <cfRule type="expression" dxfId="183" priority="14">
      <formula>SEARCH("Im",$P15)</formula>
    </cfRule>
  </conditionalFormatting>
  <conditionalFormatting sqref="G14">
    <cfRule type="expression" dxfId="182" priority="13">
      <formula>SEARCH("Im",$P14)</formula>
    </cfRule>
  </conditionalFormatting>
  <conditionalFormatting sqref="E15">
    <cfRule type="expression" dxfId="181" priority="12">
      <formula>OR(ISNUMBER(FIND("кривой",$P15)),ISNUMBER(FIND("расцепителя",$P15)))</formula>
    </cfRule>
  </conditionalFormatting>
  <conditionalFormatting sqref="E27">
    <cfRule type="expression" dxfId="180" priority="1">
      <formula>OR(ISNUMBER(FIND("кривой",$P27)),ISNUMBER(FIND("расцепителя",$P27)))</formula>
    </cfRule>
  </conditionalFormatting>
  <conditionalFormatting sqref="E16">
    <cfRule type="expression" dxfId="179" priority="11">
      <formula>OR(ISNUMBER(FIND("кривой",$P16)),ISNUMBER(FIND("расцепителя",$P16)))</formula>
    </cfRule>
  </conditionalFormatting>
  <conditionalFormatting sqref="E18">
    <cfRule type="expression" dxfId="178" priority="10">
      <formula>OR(ISNUMBER(FIND("кривой",$P18)),ISNUMBER(FIND("расцепителя",$P18)))</formula>
    </cfRule>
  </conditionalFormatting>
  <conditionalFormatting sqref="E19">
    <cfRule type="expression" dxfId="177" priority="9">
      <formula>OR(ISNUMBER(FIND("кривой",$P19)),ISNUMBER(FIND("расцепителя",$P19)))</formula>
    </cfRule>
  </conditionalFormatting>
  <conditionalFormatting sqref="E20">
    <cfRule type="expression" dxfId="176" priority="8">
      <formula>OR(ISNUMBER(FIND("кривой",$P20)),ISNUMBER(FIND("расцепителя",$P20)))</formula>
    </cfRule>
  </conditionalFormatting>
  <conditionalFormatting sqref="E21">
    <cfRule type="expression" dxfId="175" priority="7">
      <formula>OR(ISNUMBER(FIND("кривой",$P21)),ISNUMBER(FIND("расцепителя",$P21)))</formula>
    </cfRule>
  </conditionalFormatting>
  <conditionalFormatting sqref="E22">
    <cfRule type="expression" dxfId="174" priority="6">
      <formula>OR(ISNUMBER(FIND("кривой",$P22)),ISNUMBER(FIND("расцепителя",$P22)))</formula>
    </cfRule>
  </conditionalFormatting>
  <conditionalFormatting sqref="E23">
    <cfRule type="expression" dxfId="173" priority="5">
      <formula>OR(ISNUMBER(FIND("кривой",$P23)),ISNUMBER(FIND("расцепителя",$P23)))</formula>
    </cfRule>
  </conditionalFormatting>
  <conditionalFormatting sqref="E24">
    <cfRule type="expression" dxfId="172" priority="4">
      <formula>OR(ISNUMBER(FIND("кривой",$P24)),ISNUMBER(FIND("расцепителя",$P24)))</formula>
    </cfRule>
  </conditionalFormatting>
  <conditionalFormatting sqref="E25">
    <cfRule type="expression" dxfId="171" priority="3">
      <formula>OR(ISNUMBER(FIND("кривой",$P25)),ISNUMBER(FIND("расцепителя",$P25)))</formula>
    </cfRule>
  </conditionalFormatting>
  <conditionalFormatting sqref="E26">
    <cfRule type="expression" dxfId="170" priority="2">
      <formula>OR(ISNUMBER(FIND("кривой",$P26)),ISNUMBER(FIND("расцепителя",$P26)))</formula>
    </cfRule>
  </conditionalFormatting>
  <dataValidations xWindow="703" yWindow="571" count="166">
    <dataValidation type="list" allowBlank="1" showErrorMessage="1" prompt="Укажите выключатель или блок АВР" sqref="B11">
      <formula1>Выключатель_ввода</formula1>
    </dataValidation>
    <dataValidation type="list" allowBlank="1" showErrorMessage="1" prompt="Укажите номинальный ток вводного выключателя/НКУ" sqref="D11">
      <formula1>In_0</formula1>
    </dataValidation>
    <dataValidation type="list" allowBlank="1" showErrorMessage="1" prompt="Укажите кол-во полюсов" sqref="C27">
      <formula1>Полюс15</formula1>
    </dataValidation>
    <dataValidation type="list" allowBlank="1" showErrorMessage="1" prompt="Укажите кол-во полюсов" sqref="C11">
      <formula1>Полюс0</formula1>
    </dataValidation>
    <dataValidation type="list" allowBlank="1" showInputMessage="1" showErrorMessage="1" sqref="K3">
      <formula1>Система_заземления</formula1>
    </dataValidation>
    <dataValidation type="list" allowBlank="1" showErrorMessage="1" prompt="Укажите тип УЗО/ ток мА" sqref="H27">
      <formula1>Id_15</formula1>
    </dataValidation>
    <dataValidation allowBlank="1" showInputMessage="1" showErrorMessage="1" promptTitle="Выберите схему главных цепей" sqref="Z2"/>
    <dataValidation type="list" allowBlank="1" showInputMessage="1" showErrorMessage="1" sqref="B13:B32">
      <formula1>Выключатель_отходящий</formula1>
    </dataValidation>
    <dataValidation type="list" allowBlank="1" showInputMessage="1" showErrorMessage="1" sqref="E13">
      <formula1>Кривая1</formula1>
    </dataValidation>
    <dataValidation type="list" allowBlank="1" showInputMessage="1" showErrorMessage="1" sqref="E14">
      <formula1>Кривая2</formula1>
    </dataValidation>
    <dataValidation type="list" allowBlank="1" showInputMessage="1" showErrorMessage="1" sqref="E16">
      <formula1>Кривая4</formula1>
    </dataValidation>
    <dataValidation type="list" allowBlank="1" showInputMessage="1" showErrorMessage="1" sqref="E17">
      <formula1>Кривая5</formula1>
    </dataValidation>
    <dataValidation type="list" allowBlank="1" showInputMessage="1" showErrorMessage="1" sqref="E18">
      <formula1>Кривая6</formula1>
    </dataValidation>
    <dataValidation type="list" allowBlank="1" showInputMessage="1" showErrorMessage="1" sqref="E20">
      <formula1>Кривая8</formula1>
    </dataValidation>
    <dataValidation type="list" allowBlank="1" showInputMessage="1" showErrorMessage="1" sqref="E21">
      <formula1>Кривая9</formula1>
    </dataValidation>
    <dataValidation type="list" allowBlank="1" showInputMessage="1" showErrorMessage="1" sqref="E22">
      <formula1>Кривая10</formula1>
    </dataValidation>
    <dataValidation type="list" allowBlank="1" showInputMessage="1" showErrorMessage="1" sqref="E23">
      <formula1>Кривая11</formula1>
    </dataValidation>
    <dataValidation type="list" allowBlank="1" showInputMessage="1" showErrorMessage="1" sqref="E24">
      <formula1>Кривая12</formula1>
    </dataValidation>
    <dataValidation type="list" allowBlank="1" showInputMessage="1" showErrorMessage="1" sqref="E25">
      <formula1>Кривая13</formula1>
    </dataValidation>
    <dataValidation type="list" allowBlank="1" showInputMessage="1" showErrorMessage="1" sqref="E26">
      <formula1>Кривая14</formula1>
    </dataValidation>
    <dataValidation type="list" allowBlank="1" showInputMessage="1" showErrorMessage="1" sqref="E27:E32">
      <formula1>Кривая15</formula1>
    </dataValidation>
    <dataValidation type="list" allowBlank="1" showErrorMessage="1" prompt="Укажите кол-во полюсов" sqref="C13">
      <formula1>Полюс1</formula1>
    </dataValidation>
    <dataValidation type="list" allowBlank="1" showErrorMessage="1" prompt="Укажите кол-во полюсов" sqref="C14">
      <formula1>Полюс2</formula1>
    </dataValidation>
    <dataValidation type="list" allowBlank="1" showErrorMessage="1" prompt="Укажите кол-во полюсов" sqref="C16">
      <formula1>Полюс4</formula1>
    </dataValidation>
    <dataValidation type="list" allowBlank="1" showErrorMessage="1" prompt="Укажите кол-во полюсов" sqref="C17">
      <formula1>Полюс5</formula1>
    </dataValidation>
    <dataValidation type="list" allowBlank="1" showErrorMessage="1" prompt="Укажите кол-во полюсов" sqref="C18">
      <formula1>Полюс6</formula1>
    </dataValidation>
    <dataValidation type="list" allowBlank="1" showErrorMessage="1" prompt="Укажите кол-во полюсов" sqref="C20">
      <formula1>Полюс8</formula1>
    </dataValidation>
    <dataValidation type="list" allowBlank="1" showErrorMessage="1" prompt="Укажите кол-во полюсов" sqref="C21">
      <formula1>Полюс9</formula1>
    </dataValidation>
    <dataValidation type="list" allowBlank="1" showErrorMessage="1" prompt="Укажите кол-во полюсов" sqref="C22">
      <formula1>Полюс10</formula1>
    </dataValidation>
    <dataValidation type="list" allowBlank="1" showErrorMessage="1" prompt="Укажите кол-во полюсов" sqref="C23">
      <formula1>Полюс11</formula1>
    </dataValidation>
    <dataValidation type="list" allowBlank="1" showErrorMessage="1" prompt="Укажите кол-во полюсов" sqref="C24">
      <formula1>Полюс12</formula1>
    </dataValidation>
    <dataValidation type="list" allowBlank="1" showErrorMessage="1" prompt="Укажите кол-во полюсов" sqref="C25">
      <formula1>Полюс13</formula1>
    </dataValidation>
    <dataValidation type="list" allowBlank="1" showErrorMessage="1" prompt="Укажите кол-во полюсов" sqref="C26">
      <formula1>Полюс14</formula1>
    </dataValidation>
    <dataValidation type="list" allowBlank="1" showErrorMessage="1" prompt="Укажите номинальный ток вводного выключателя/НКУ" sqref="F11">
      <formula1>Ir_0</formula1>
    </dataValidation>
    <dataValidation type="list" allowBlank="1" showErrorMessage="1" prompt="Укажите номинальный ток вводного выключателя/НКУ" sqref="G11">
      <formula1>Im_0</formula1>
    </dataValidation>
    <dataValidation type="list" allowBlank="1" showErrorMessage="1" prompt="Укажите номинальный ток вводного выключателя/НКУ" sqref="F14">
      <formula1>Ir_2</formula1>
    </dataValidation>
    <dataValidation type="list" allowBlank="1" showErrorMessage="1" prompt="Укажите номинальный ток вводного выключателя/НКУ" sqref="F16">
      <formula1>Ir_4</formula1>
    </dataValidation>
    <dataValidation type="list" allowBlank="1" showErrorMessage="1" prompt="Укажите номинальный ток вводного выключателя/НКУ" sqref="F17">
      <formula1>Ir_5</formula1>
    </dataValidation>
    <dataValidation type="list" allowBlank="1" showErrorMessage="1" prompt="Укажите номинальный ток вводного выключателя/НКУ" sqref="F18">
      <formula1>Ir_6</formula1>
    </dataValidation>
    <dataValidation type="list" allowBlank="1" showErrorMessage="1" prompt="Укажите номинальный ток вводного выключателя/НКУ" sqref="F20">
      <formula1>Ir_8</formula1>
    </dataValidation>
    <dataValidation type="list" allowBlank="1" showErrorMessage="1" prompt="Укажите номинальный ток вводного выключателя/НКУ" sqref="F21">
      <formula1>Ir_9</formula1>
    </dataValidation>
    <dataValidation type="list" allowBlank="1" showErrorMessage="1" prompt="Укажите номинальный ток вводного выключателя/НКУ" sqref="F22">
      <formula1>Ir_10</formula1>
    </dataValidation>
    <dataValidation type="list" allowBlank="1" showErrorMessage="1" prompt="Укажите номинальный ток вводного выключателя/НКУ" sqref="F23">
      <formula1>Ir_11</formula1>
    </dataValidation>
    <dataValidation type="list" allowBlank="1" showErrorMessage="1" prompt="Укажите номинальный ток вводного выключателя/НКУ" sqref="F24">
      <formula1>Ir_12</formula1>
    </dataValidation>
    <dataValidation type="list" allowBlank="1" showErrorMessage="1" prompt="Укажите номинальный ток вводного выключателя/НКУ" sqref="F25">
      <formula1>Ir_13</formula1>
    </dataValidation>
    <dataValidation type="list" allowBlank="1" showErrorMessage="1" prompt="Укажите номинальный ток вводного выключателя/НКУ" sqref="F26">
      <formula1>Ir_14</formula1>
    </dataValidation>
    <dataValidation type="list" allowBlank="1" showErrorMessage="1" prompt="Укажите номинальный ток вводного выключателя/НКУ" sqref="F27:F32">
      <formula1>Ir_15</formula1>
    </dataValidation>
    <dataValidation type="list" allowBlank="1" showErrorMessage="1" prompt="Укажите номинальный ток вводного выключателя/НКУ" sqref="G13">
      <formula1>Im_1</formula1>
    </dataValidation>
    <dataValidation type="list" allowBlank="1" showErrorMessage="1" prompt="Укажите номинальный ток вводного выключателя/НКУ" sqref="G14">
      <formula1>Im_2</formula1>
    </dataValidation>
    <dataValidation type="list" allowBlank="1" showErrorMessage="1" prompt="Укажите номинальный ток вводного выключателя/НКУ" sqref="G27:G32">
      <formula1>Im_15</formula1>
    </dataValidation>
    <dataValidation type="list" allowBlank="1" showErrorMessage="1" prompt="Укажите номинальный ток вводного выключателя/НКУ" sqref="G26">
      <formula1>Im_14</formula1>
    </dataValidation>
    <dataValidation type="list" allowBlank="1" showErrorMessage="1" prompt="Укажите номинальный ток вводного выключателя/НКУ" sqref="G25">
      <formula1>Im_13</formula1>
    </dataValidation>
    <dataValidation type="list" allowBlank="1" showErrorMessage="1" prompt="Укажите номинальный ток вводного выключателя/НКУ" sqref="G24">
      <formula1>Im_12</formula1>
    </dataValidation>
    <dataValidation type="list" allowBlank="1" showErrorMessage="1" prompt="Укажите номинальный ток вводного выключателя/НКУ" sqref="G23">
      <formula1>Im_11</formula1>
    </dataValidation>
    <dataValidation type="list" allowBlank="1" showErrorMessage="1" prompt="Укажите номинальный ток вводного выключателя/НКУ" sqref="G22">
      <formula1>Im_10</formula1>
    </dataValidation>
    <dataValidation type="list" allowBlank="1" showErrorMessage="1" prompt="Укажите номинальный ток вводного выключателя/НКУ" sqref="G21">
      <formula1>Im_9</formula1>
    </dataValidation>
    <dataValidation type="list" allowBlank="1" showErrorMessage="1" prompt="Укажите номинальный ток вводного выключателя/НКУ" sqref="G20">
      <formula1>Im_8</formula1>
    </dataValidation>
    <dataValidation type="list" allowBlank="1" showErrorMessage="1" prompt="Укажите номинальный ток вводного выключателя/НКУ" sqref="G18">
      <formula1>Im_6</formula1>
    </dataValidation>
    <dataValidation type="list" allowBlank="1" showErrorMessage="1" prompt="Укажите номинальный ток вводного выключателя/НКУ" sqref="G17">
      <formula1>Im_5</formula1>
    </dataValidation>
    <dataValidation type="list" allowBlank="1" showErrorMessage="1" prompt="Укажите номинальный ток вводного выключателя/НКУ" sqref="G16">
      <formula1>Im_4</formula1>
    </dataValidation>
    <dataValidation type="list" allowBlank="1" showErrorMessage="1" prompt="Укажите номинальный ток вводного выключателя/НКУ" sqref="H11">
      <formula1>Id_0</formula1>
    </dataValidation>
    <dataValidation type="list" allowBlank="1" showErrorMessage="1" prompt="Укажите тип УЗО/ ток мА" sqref="H13">
      <formula1>Id_1</formula1>
    </dataValidation>
    <dataValidation type="list" allowBlank="1" showErrorMessage="1" prompt="Укажите тип УЗО/ ток мА" sqref="H14">
      <formula1>Id_2</formula1>
    </dataValidation>
    <dataValidation type="list" allowBlank="1" showErrorMessage="1" prompt="Укажите тип УЗО/ ток мА" sqref="H16">
      <formula1>Id_4</formula1>
    </dataValidation>
    <dataValidation type="list" allowBlank="1" showErrorMessage="1" prompt="Укажите тип УЗО/ ток мА" sqref="H17">
      <formula1>Id_5</formula1>
    </dataValidation>
    <dataValidation type="list" allowBlank="1" showErrorMessage="1" prompt="Укажите тип УЗО/ ток мА" sqref="H20">
      <formula1>Id_8</formula1>
    </dataValidation>
    <dataValidation type="list" allowBlank="1" showErrorMessage="1" prompt="Укажите тип УЗО/ ток мА" sqref="H21">
      <formula1>Id_9</formula1>
    </dataValidation>
    <dataValidation type="list" allowBlank="1" showErrorMessage="1" prompt="Укажите тип УЗО/ ток мА" sqref="H22">
      <formula1>Id_10</formula1>
    </dataValidation>
    <dataValidation type="list" allowBlank="1" showErrorMessage="1" prompt="Укажите тип УЗО/ ток мА" sqref="H23">
      <formula1>Id_11</formula1>
    </dataValidation>
    <dataValidation type="list" allowBlank="1" showErrorMessage="1" prompt="Укажите тип УЗО/ ток мА" sqref="H24">
      <formula1>Id_12</formula1>
    </dataValidation>
    <dataValidation type="list" allowBlank="1" showErrorMessage="1" prompt="Укажите тип УЗО/ ток мА" sqref="H25">
      <formula1>Id_13</formula1>
    </dataValidation>
    <dataValidation type="list" allowBlank="1" showErrorMessage="1" prompt="Укажите тип УЗО/ ток мА" sqref="H26">
      <formula1>Id_14</formula1>
    </dataValidation>
    <dataValidation type="list" allowBlank="1" showInputMessage="1" showErrorMessage="1" sqref="M11">
      <formula1>Размер_кабеля_0</formula1>
    </dataValidation>
    <dataValidation type="list" allowBlank="1" showInputMessage="1" showErrorMessage="1" promptTitle="Выберите IP" sqref="E36">
      <formula1>Степень_защиты</formula1>
    </dataValidation>
    <dataValidation type="list" allowBlank="1" showErrorMessage="1" prompt="Выберите климатическое исполнение" sqref="C42">
      <formula1>Климатическое_исполнение</formula1>
    </dataValidation>
    <dataValidation type="list" allowBlank="1" showErrorMessage="1" prompt="Укажите место подвода вводного кабеля" sqref="N11 N13:N32">
      <formula1>Место_ввода</formula1>
    </dataValidation>
    <dataValidation type="list" allowBlank="1" showInputMessage="1" showErrorMessage="1" prompt="Укажите необходимую ширину" sqref="H46">
      <formula1>Ширина</formula1>
    </dataValidation>
    <dataValidation type="list" allowBlank="1" showInputMessage="1" showErrorMessage="1" sqref="C44">
      <formula1>Способ_определения_габаритных_размеров</formula1>
    </dataValidation>
    <dataValidation type="list" allowBlank="1" showInputMessage="1" showErrorMessage="1" sqref="I46">
      <formula1>Высота_вручную</formula1>
    </dataValidation>
    <dataValidation type="list" allowBlank="1" showInputMessage="1" showErrorMessage="1" sqref="K46">
      <formula1>Глубина_вручную</formula1>
    </dataValidation>
    <dataValidation type="list" allowBlank="1" showInputMessage="1" showErrorMessage="1" sqref="I11 C46 I13:I32 C48">
      <formula1>Выбор_да_нет</formula1>
    </dataValidation>
    <dataValidation type="list" allowBlank="1" showErrorMessage="1" prompt="Выберите вариант" sqref="K6">
      <formula1>Маркировка</formula1>
    </dataValidation>
    <dataValidation type="list" allowBlank="1" showInputMessage="1" showErrorMessage="1" promptTitle="Выберите схему главных цепей" sqref="C41">
      <formula1>Тип_НКУ</formula1>
    </dataValidation>
    <dataValidation type="list" allowBlank="1" showErrorMessage="1" prompt="Укажите номинальный ток вводного выключателя/НКУ" sqref="F13">
      <formula1>Ir_1</formula1>
    </dataValidation>
    <dataValidation type="list" allowBlank="1" showInputMessage="1" showErrorMessage="1" sqref="C43">
      <formula1>Исполнение_главной_схемы</formula1>
    </dataValidation>
    <dataValidation type="whole" allowBlank="1" showInputMessage="1" showErrorMessage="1" sqref="O13:O32">
      <formula1>1</formula1>
      <formula2>100</formula2>
    </dataValidation>
    <dataValidation type="list" allowBlank="1" showErrorMessage="1" prompt="Укажите кол-во полюсов" sqref="C15">
      <formula1>Полюс3</formula1>
    </dataValidation>
    <dataValidation type="list" allowBlank="1" showErrorMessage="1" prompt="Укажите тип УЗО/ ток мА" sqref="H15">
      <formula1>Id_3</formula1>
    </dataValidation>
    <dataValidation type="list" allowBlank="1" showErrorMessage="1" prompt="Укажите номинальный ток вводного выключателя/НКУ" sqref="G15">
      <formula1>Im_3</formula1>
    </dataValidation>
    <dataValidation type="list" allowBlank="1" showErrorMessage="1" prompt="Укажите номинальный ток вводного выключателя/НКУ" sqref="F15">
      <formula1>Ir_3</formula1>
    </dataValidation>
    <dataValidation type="list" allowBlank="1" showInputMessage="1" showErrorMessage="1" sqref="E15">
      <formula1>Кривая3</formula1>
    </dataValidation>
    <dataValidation type="list" allowBlank="1" showInputMessage="1" showErrorMessage="1" sqref="E11">
      <formula1>Кривая0</formula1>
    </dataValidation>
    <dataValidation type="whole" allowBlank="1" showInputMessage="1" showErrorMessage="1" sqref="O11">
      <formula1>1</formula1>
      <formula2>3</formula2>
    </dataValidation>
    <dataValidation type="list" allowBlank="1" showErrorMessage="1" prompt="Укажите тип УЗО/ ток мА" sqref="H18">
      <formula1>Id_6</formula1>
    </dataValidation>
    <dataValidation type="list" allowBlank="1" showErrorMessage="1" prompt="Укажите номинальный ток вводного выключателя/НКУ" sqref="D13">
      <formula1>In_1</formula1>
    </dataValidation>
    <dataValidation type="list" allowBlank="1" showErrorMessage="1" prompt="Укажите номинальный ток вводного выключателя/НКУ" sqref="D14">
      <formula1>In_2</formula1>
    </dataValidation>
    <dataValidation type="list" allowBlank="1" showErrorMessage="1" prompt="Укажите номинальный ток вводного выключателя/НКУ" sqref="D15">
      <formula1>In_3</formula1>
    </dataValidation>
    <dataValidation type="list" allowBlank="1" showErrorMessage="1" prompt="Укажите номинальный ток вводного выключателя/НКУ" sqref="D16">
      <formula1>In_4</formula1>
    </dataValidation>
    <dataValidation type="list" allowBlank="1" showErrorMessage="1" prompt="Укажите номинальный ток вводного выключателя/НКУ" sqref="D17">
      <formula1>In_5</formula1>
    </dataValidation>
    <dataValidation type="list" allowBlank="1" showErrorMessage="1" prompt="Укажите номинальный ток вводного выключателя/НКУ" sqref="D18">
      <formula1>In_6</formula1>
    </dataValidation>
    <dataValidation type="list" allowBlank="1" showErrorMessage="1" prompt="Укажите номинальный ток вводного выключателя/НКУ" sqref="D20">
      <formula1>In_8</formula1>
    </dataValidation>
    <dataValidation type="list" allowBlank="1" showErrorMessage="1" prompt="Укажите номинальный ток вводного выключателя/НКУ" sqref="D21">
      <formula1>In_9</formula1>
    </dataValidation>
    <dataValidation type="list" allowBlank="1" showErrorMessage="1" prompt="Укажите номинальный ток вводного выключателя/НКУ" sqref="D22">
      <formula1>In_10</formula1>
    </dataValidation>
    <dataValidation type="list" allowBlank="1" showErrorMessage="1" prompt="Укажите номинальный ток вводного выключателя/НКУ" sqref="D23">
      <formula1>In_11</formula1>
    </dataValidation>
    <dataValidation type="list" allowBlank="1" showErrorMessage="1" prompt="Укажите номинальный ток вводного выключателя/НКУ" sqref="D24">
      <formula1>In_12</formula1>
    </dataValidation>
    <dataValidation type="list" allowBlank="1" showErrorMessage="1" prompt="Укажите номинальный ток вводного выключателя/НКУ" sqref="D25">
      <formula1>In_13</formula1>
    </dataValidation>
    <dataValidation type="list" allowBlank="1" showErrorMessage="1" prompt="Укажите номинальный ток вводного выключателя/НКУ" sqref="D26">
      <formula1>In_14</formula1>
    </dataValidation>
    <dataValidation type="list" allowBlank="1" showErrorMessage="1" prompt="Укажите номинальный ток вводного выключателя/НКУ" sqref="D27">
      <formula1>In_15</formula1>
    </dataValidation>
    <dataValidation type="list" allowBlank="1" showInputMessage="1" showErrorMessage="1" sqref="J11:K11">
      <formula1>Выбор0</formula1>
    </dataValidation>
    <dataValidation type="list" allowBlank="1" showInputMessage="1" showErrorMessage="1" sqref="J14:K14">
      <formula1>Выбор2</formula1>
    </dataValidation>
    <dataValidation type="list" allowBlank="1" showInputMessage="1" showErrorMessage="1" sqref="J15:K15">
      <formula1>Выбор3</formula1>
    </dataValidation>
    <dataValidation type="list" allowBlank="1" showInputMessage="1" showErrorMessage="1" sqref="J16:K16">
      <formula1>Выбор4</formula1>
    </dataValidation>
    <dataValidation type="list" allowBlank="1" showInputMessage="1" showErrorMessage="1" sqref="J17:K17">
      <formula1>Выбор5</formula1>
    </dataValidation>
    <dataValidation type="list" allowBlank="1" showInputMessage="1" showErrorMessage="1" sqref="J18:K18">
      <formula1>Выбор6</formula1>
    </dataValidation>
    <dataValidation type="list" allowBlank="1" showInputMessage="1" showErrorMessage="1" sqref="J20:K20">
      <formula1>Выбор8</formula1>
    </dataValidation>
    <dataValidation type="list" allowBlank="1" showInputMessage="1" showErrorMessage="1" sqref="J21:K21">
      <formula1>Выбор9</formula1>
    </dataValidation>
    <dataValidation type="list" allowBlank="1" showInputMessage="1" showErrorMessage="1" sqref="J22:K22">
      <formula1>Выбор10</formula1>
    </dataValidation>
    <dataValidation type="list" allowBlank="1" showInputMessage="1" showErrorMessage="1" sqref="J23:K23">
      <formula1>Выбор11</formula1>
    </dataValidation>
    <dataValidation type="list" allowBlank="1" showInputMessage="1" showErrorMessage="1" sqref="J24:K24">
      <formula1>Выбор12</formula1>
    </dataValidation>
    <dataValidation type="list" allowBlank="1" showInputMessage="1" showErrorMessage="1" sqref="J25:K25">
      <formula1>Выбор13</formula1>
    </dataValidation>
    <dataValidation type="list" allowBlank="1" showInputMessage="1" showErrorMessage="1" sqref="J26:K26">
      <formula1>Выбор14</formula1>
    </dataValidation>
    <dataValidation type="list" allowBlank="1" showInputMessage="1" showErrorMessage="1" sqref="J27:K27">
      <formula1>Выбор15</formula1>
    </dataValidation>
    <dataValidation type="list" allowBlank="1" showErrorMessage="1" prompt="Укажите тип УЗО/ ток мА" sqref="J13:K13">
      <formula1>Выбор1</formula1>
    </dataValidation>
    <dataValidation type="list" allowBlank="1" showInputMessage="1" showErrorMessage="1" sqref="M13">
      <formula1>Размер_кабеля_1</formula1>
    </dataValidation>
    <dataValidation type="list" allowBlank="1" showInputMessage="1" showErrorMessage="1" sqref="M14">
      <formula1>Размер_кабеля_2</formula1>
    </dataValidation>
    <dataValidation type="list" allowBlank="1" showInputMessage="1" showErrorMessage="1" sqref="M15">
      <formula1>Размер_кабеля_3</formula1>
    </dataValidation>
    <dataValidation type="list" allowBlank="1" showInputMessage="1" showErrorMessage="1" sqref="M16">
      <formula1>Размер_кабеля_4</formula1>
    </dataValidation>
    <dataValidation type="list" allowBlank="1" showInputMessage="1" showErrorMessage="1" sqref="M17">
      <formula1>Размер_кабеля_5</formula1>
    </dataValidation>
    <dataValidation type="list" allowBlank="1" showInputMessage="1" showErrorMessage="1" sqref="M18">
      <formula1>Размер_кабеля_6</formula1>
    </dataValidation>
    <dataValidation type="list" allowBlank="1" showInputMessage="1" showErrorMessage="1" sqref="M20">
      <formula1>Размер_кабеля_8</formula1>
    </dataValidation>
    <dataValidation type="list" allowBlank="1" showInputMessage="1" showErrorMessage="1" sqref="M21">
      <formula1>Размер_кабеля_9</formula1>
    </dataValidation>
    <dataValidation type="list" allowBlank="1" showInputMessage="1" showErrorMessage="1" sqref="M27:M32">
      <formula1>Размер_кабеля_15</formula1>
    </dataValidation>
    <dataValidation type="list" allowBlank="1" showInputMessage="1" showErrorMessage="1" sqref="M26">
      <formula1>Размер_кабеля_14</formula1>
    </dataValidation>
    <dataValidation type="list" allowBlank="1" showInputMessage="1" showErrorMessage="1" sqref="M25">
      <formula1>Размер_кабеля_13</formula1>
    </dataValidation>
    <dataValidation type="list" allowBlank="1" showInputMessage="1" showErrorMessage="1" sqref="M24">
      <formula1>Размер_кабеля_12</formula1>
    </dataValidation>
    <dataValidation type="list" allowBlank="1" showInputMessage="1" showErrorMessage="1" sqref="M23">
      <formula1>Размер_кабеля_11</formula1>
    </dataValidation>
    <dataValidation type="list" allowBlank="1" showInputMessage="1" showErrorMessage="1" sqref="M22">
      <formula1>Размер_кабеля_10</formula1>
    </dataValidation>
    <dataValidation type="list" allowBlank="1" showInputMessage="1" showErrorMessage="1" sqref="E34">
      <formula1>Выбор_БС</formula1>
    </dataValidation>
    <dataValidation type="list" allowBlank="1" showErrorMessage="1" prompt="Укажите кол-во полюсов" sqref="C19">
      <formula1>Полюс7</formula1>
    </dataValidation>
    <dataValidation type="list" allowBlank="1" showErrorMessage="1" prompt="Укажите номинальный ток вводного выключателя/НКУ" sqref="D19">
      <formula1>In_7</formula1>
    </dataValidation>
    <dataValidation type="list" allowBlank="1" showInputMessage="1" showErrorMessage="1" sqref="E19">
      <formula1>Кривая7</formula1>
    </dataValidation>
    <dataValidation type="list" allowBlank="1" showErrorMessage="1" prompt="Укажите номинальный ток вводного выключателя/НКУ" sqref="F19">
      <formula1>Ir_7</formula1>
    </dataValidation>
    <dataValidation type="list" allowBlank="1" showErrorMessage="1" prompt="Укажите номинальный ток вводного выключателя/НКУ" sqref="G19">
      <formula1>Im_7</formula1>
    </dataValidation>
    <dataValidation type="list" allowBlank="1" showErrorMessage="1" prompt="Укажите тип УЗО/ ток мА" sqref="H19">
      <formula1>Id_7</formula1>
    </dataValidation>
    <dataValidation type="list" allowBlank="1" showInputMessage="1" showErrorMessage="1" sqref="J19:K19">
      <formula1>Выбор7</formula1>
    </dataValidation>
    <dataValidation type="list" allowBlank="1" showInputMessage="1" showErrorMessage="1" sqref="M19">
      <formula1>Размер_кабеля_7</formula1>
    </dataValidation>
    <dataValidation type="list" allowBlank="1" showErrorMessage="1" prompt="Укажите номинальный ток вводного выключателя/НКУ" sqref="D28">
      <formula1>In_16</formula1>
    </dataValidation>
    <dataValidation type="list" allowBlank="1" showErrorMessage="1" prompt="Укажите номинальный ток вводного выключателя/НКУ" sqref="D29">
      <formula1>In_17</formula1>
    </dataValidation>
    <dataValidation type="list" allowBlank="1" showErrorMessage="1" prompt="Укажите номинальный ток вводного выключателя/НКУ" sqref="D30">
      <formula1>In_18</formula1>
    </dataValidation>
    <dataValidation type="list" allowBlank="1" showErrorMessage="1" prompt="Укажите номинальный ток вводного выключателя/НКУ" sqref="D31">
      <formula1>In_19</formula1>
    </dataValidation>
    <dataValidation type="list" allowBlank="1" showErrorMessage="1" prompt="Укажите номинальный ток вводного выключателя/НКУ" sqref="D32">
      <formula1>In_20</formula1>
    </dataValidation>
    <dataValidation type="list" allowBlank="1" showErrorMessage="1" prompt="Укажите кол-во полюсов" sqref="C28">
      <formula1>Полюс16</formula1>
    </dataValidation>
    <dataValidation type="list" allowBlank="1" showErrorMessage="1" prompt="Укажите кол-во полюсов" sqref="C29">
      <formula1>Полюс17</formula1>
    </dataValidation>
    <dataValidation type="list" allowBlank="1" showErrorMessage="1" prompt="Укажите кол-во полюсов" sqref="C30">
      <formula1>Полюс18</formula1>
    </dataValidation>
    <dataValidation type="list" allowBlank="1" showErrorMessage="1" prompt="Укажите кол-во полюсов" sqref="C31">
      <formula1>Полюс19</formula1>
    </dataValidation>
    <dataValidation type="list" allowBlank="1" showErrorMessage="1" prompt="Укажите кол-во полюсов" sqref="C32">
      <formula1>Полюс20</formula1>
    </dataValidation>
    <dataValidation type="list" allowBlank="1" showInputMessage="1" showErrorMessage="1" sqref="J28:K28">
      <formula1>Выбор16</formula1>
    </dataValidation>
    <dataValidation type="list" allowBlank="1" showInputMessage="1" showErrorMessage="1" sqref="J29:K29">
      <formula1>Выбор17</formula1>
    </dataValidation>
    <dataValidation type="list" allowBlank="1" showInputMessage="1" showErrorMessage="1" sqref="J30:K30">
      <formula1>Выбор18</formula1>
    </dataValidation>
    <dataValidation type="list" allowBlank="1" showInputMessage="1" showErrorMessage="1" sqref="J31:K31">
      <formula1>Выбор19</formula1>
    </dataValidation>
    <dataValidation type="list" allowBlank="1" showInputMessage="1" showErrorMessage="1" sqref="J32:K32">
      <formula1>Выбор20</formula1>
    </dataValidation>
    <dataValidation type="list" allowBlank="1" showErrorMessage="1" prompt="Укажите тип УЗО/ ток мА" sqref="H32">
      <formula1>Id_20</formula1>
    </dataValidation>
    <dataValidation type="list" allowBlank="1" showErrorMessage="1" prompt="Укажите тип УЗО/ ток мА" sqref="H31">
      <formula1>Id_19</formula1>
    </dataValidation>
    <dataValidation type="list" allowBlank="1" showErrorMessage="1" prompt="Укажите тип УЗО/ ток мА" sqref="H30">
      <formula1>Id_18</formula1>
    </dataValidation>
    <dataValidation type="list" allowBlank="1" showErrorMessage="1" prompt="Укажите тип УЗО/ ток мА" sqref="H29">
      <formula1>Id_17</formula1>
    </dataValidation>
    <dataValidation type="list" allowBlank="1" showErrorMessage="1" prompt="Укажите тип УЗО/ ток мА" sqref="H28">
      <formula1>Id_16</formula1>
    </dataValidation>
  </dataValidations>
  <pageMargins left="0.59055118110236215" right="0.39370078740157483" top="0.39370078740157483" bottom="0.39370078740157483" header="0.39370078740157483" footer="0.39370078740157483"/>
  <pageSetup paperSize="9" scale="50" orientation="portrait" blackAndWhite="1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70"/>
  <sheetViews>
    <sheetView workbookViewId="0">
      <selection activeCell="B15" sqref="B15"/>
    </sheetView>
  </sheetViews>
  <sheetFormatPr defaultRowHeight="12.75" x14ac:dyDescent="0.2"/>
  <cols>
    <col min="1" max="1" width="24.28515625" style="33" customWidth="1"/>
    <col min="2" max="2" width="24" style="33" customWidth="1"/>
    <col min="3" max="4" width="19" style="33" customWidth="1"/>
    <col min="5" max="5" width="23.140625" style="33" customWidth="1"/>
    <col min="6" max="6" width="19" style="33" customWidth="1"/>
    <col min="7" max="7" width="19.5703125" style="33" customWidth="1"/>
    <col min="8" max="8" width="35.28515625" style="33" customWidth="1"/>
    <col min="9" max="9" width="84" style="33" customWidth="1"/>
    <col min="10" max="10" width="23.85546875" style="33" customWidth="1"/>
    <col min="11" max="11" width="23.28515625" style="33" customWidth="1"/>
    <col min="12" max="12" width="9.140625" style="33"/>
    <col min="13" max="13" width="20.5703125" style="33" customWidth="1"/>
    <col min="14" max="16384" width="9.140625" style="33"/>
  </cols>
  <sheetData>
    <row r="2" spans="1:13" x14ac:dyDescent="0.2">
      <c r="A2" s="1510" t="s">
        <v>1142</v>
      </c>
      <c r="B2" s="1510"/>
      <c r="C2" s="1510" t="s">
        <v>1143</v>
      </c>
      <c r="D2" s="1510"/>
      <c r="E2" s="921"/>
      <c r="F2" s="921"/>
      <c r="G2" s="121" t="s">
        <v>173</v>
      </c>
      <c r="H2" s="121" t="s">
        <v>1266</v>
      </c>
      <c r="I2" s="121" t="s">
        <v>1267</v>
      </c>
      <c r="J2" s="121" t="s">
        <v>1279</v>
      </c>
      <c r="K2" s="121" t="s">
        <v>1280</v>
      </c>
    </row>
    <row r="3" spans="1:13" x14ac:dyDescent="0.2">
      <c r="A3" s="919" t="s">
        <v>884</v>
      </c>
      <c r="B3" s="919" t="s">
        <v>885</v>
      </c>
      <c r="C3" s="919" t="s">
        <v>884</v>
      </c>
      <c r="D3" s="919" t="s">
        <v>885</v>
      </c>
      <c r="E3" s="476"/>
      <c r="F3" s="476"/>
      <c r="G3" s="121" t="s">
        <v>1239</v>
      </c>
      <c r="H3" s="121" t="s">
        <v>1240</v>
      </c>
      <c r="I3" s="121"/>
      <c r="J3" s="121"/>
      <c r="K3" s="121"/>
      <c r="M3" s="121" t="s">
        <v>1208</v>
      </c>
    </row>
    <row r="4" spans="1:13" x14ac:dyDescent="0.2">
      <c r="A4" s="296" t="s">
        <v>19</v>
      </c>
      <c r="B4" s="920" t="s">
        <v>883</v>
      </c>
      <c r="C4" s="296" t="s">
        <v>57</v>
      </c>
      <c r="D4" s="296" t="s">
        <v>57</v>
      </c>
      <c r="E4" s="922"/>
      <c r="F4" s="922"/>
      <c r="G4" s="121" t="s">
        <v>1264</v>
      </c>
      <c r="H4" s="121" t="s">
        <v>1241</v>
      </c>
      <c r="I4" s="121" t="s">
        <v>1270</v>
      </c>
      <c r="J4" s="121"/>
      <c r="K4" s="121"/>
      <c r="M4" s="121" t="s">
        <v>1282</v>
      </c>
    </row>
    <row r="5" spans="1:13" x14ac:dyDescent="0.2">
      <c r="A5" s="296" t="s">
        <v>20</v>
      </c>
      <c r="B5" s="920" t="s">
        <v>883</v>
      </c>
      <c r="C5" s="296" t="s">
        <v>58</v>
      </c>
      <c r="D5" s="296" t="s">
        <v>58</v>
      </c>
      <c r="E5" s="922"/>
      <c r="F5" s="922"/>
      <c r="G5" s="121" t="s">
        <v>1265</v>
      </c>
      <c r="H5" s="121" t="s">
        <v>1241</v>
      </c>
      <c r="I5" s="121" t="s">
        <v>1271</v>
      </c>
      <c r="J5" s="121"/>
      <c r="K5" s="121"/>
      <c r="M5" s="121" t="s">
        <v>1209</v>
      </c>
    </row>
    <row r="6" spans="1:13" x14ac:dyDescent="0.2">
      <c r="A6" s="296" t="s">
        <v>21</v>
      </c>
      <c r="B6" s="920" t="s">
        <v>883</v>
      </c>
      <c r="C6" s="296" t="s">
        <v>59</v>
      </c>
      <c r="D6" s="296" t="s">
        <v>59</v>
      </c>
      <c r="E6" s="922"/>
      <c r="F6" s="922"/>
      <c r="G6" s="121" t="s">
        <v>1269</v>
      </c>
      <c r="H6" s="121" t="s">
        <v>1242</v>
      </c>
      <c r="I6" s="121" t="s">
        <v>1270</v>
      </c>
      <c r="J6" s="121"/>
      <c r="K6" s="121"/>
      <c r="M6" s="121" t="s">
        <v>1210</v>
      </c>
    </row>
    <row r="7" spans="1:13" x14ac:dyDescent="0.2">
      <c r="A7" s="296" t="s">
        <v>148</v>
      </c>
      <c r="B7" s="919" t="s">
        <v>1310</v>
      </c>
      <c r="C7" s="296" t="s">
        <v>307</v>
      </c>
      <c r="D7" s="296"/>
      <c r="E7" s="476"/>
      <c r="F7" s="476"/>
      <c r="G7" s="121" t="s">
        <v>1268</v>
      </c>
      <c r="H7" s="121" t="s">
        <v>1242</v>
      </c>
      <c r="I7" s="121" t="s">
        <v>1271</v>
      </c>
      <c r="J7" s="121"/>
      <c r="K7" s="121"/>
      <c r="M7" s="121" t="s">
        <v>1211</v>
      </c>
    </row>
    <row r="8" spans="1:13" x14ac:dyDescent="0.2">
      <c r="A8" s="296" t="s">
        <v>149</v>
      </c>
      <c r="B8" s="919" t="s">
        <v>1157</v>
      </c>
      <c r="C8" s="296" t="s">
        <v>308</v>
      </c>
      <c r="D8" s="296"/>
      <c r="E8" s="476"/>
      <c r="F8" s="476"/>
      <c r="G8" s="121" t="s">
        <v>1272</v>
      </c>
      <c r="H8" s="121" t="s">
        <v>1243</v>
      </c>
      <c r="I8" s="121" t="s">
        <v>1225</v>
      </c>
      <c r="J8" s="121" t="s">
        <v>1225</v>
      </c>
      <c r="K8" s="121" t="s">
        <v>1225</v>
      </c>
      <c r="M8" s="121" t="s">
        <v>1212</v>
      </c>
    </row>
    <row r="9" spans="1:13" x14ac:dyDescent="0.2">
      <c r="A9" s="296" t="s">
        <v>150</v>
      </c>
      <c r="B9" s="919" t="s">
        <v>1158</v>
      </c>
      <c r="C9" s="201" t="s">
        <v>1311</v>
      </c>
      <c r="D9" s="920" t="s">
        <v>1322</v>
      </c>
      <c r="F9" s="476"/>
      <c r="G9" s="121" t="s">
        <v>1273</v>
      </c>
      <c r="H9" s="121" t="s">
        <v>1241</v>
      </c>
      <c r="I9" s="121" t="s">
        <v>1225</v>
      </c>
      <c r="J9" s="121" t="s">
        <v>1225</v>
      </c>
      <c r="K9" s="121" t="s">
        <v>1225</v>
      </c>
      <c r="M9" s="121" t="s">
        <v>1215</v>
      </c>
    </row>
    <row r="10" spans="1:13" x14ac:dyDescent="0.2">
      <c r="A10" s="298" t="s">
        <v>344</v>
      </c>
      <c r="B10" s="920" t="s">
        <v>1144</v>
      </c>
      <c r="C10" s="201" t="s">
        <v>1312</v>
      </c>
      <c r="D10" s="920" t="s">
        <v>1321</v>
      </c>
      <c r="F10" s="476"/>
      <c r="G10" s="121" t="s">
        <v>1277</v>
      </c>
      <c r="H10" s="121" t="s">
        <v>1241</v>
      </c>
      <c r="I10" s="121" t="s">
        <v>1270</v>
      </c>
      <c r="J10" s="121" t="s">
        <v>1225</v>
      </c>
      <c r="K10" s="121" t="s">
        <v>1225</v>
      </c>
      <c r="M10" s="121" t="s">
        <v>1286</v>
      </c>
    </row>
    <row r="11" spans="1:13" x14ac:dyDescent="0.2">
      <c r="A11" s="298" t="s">
        <v>327</v>
      </c>
      <c r="B11" s="920" t="s">
        <v>1144</v>
      </c>
      <c r="C11" s="201" t="s">
        <v>1313</v>
      </c>
      <c r="D11" s="920" t="s">
        <v>1320</v>
      </c>
      <c r="F11" s="476"/>
      <c r="G11" s="121" t="s">
        <v>1274</v>
      </c>
      <c r="H11" s="121" t="s">
        <v>1241</v>
      </c>
      <c r="I11" s="121" t="s">
        <v>1270</v>
      </c>
      <c r="J11" s="121" t="s">
        <v>1222</v>
      </c>
      <c r="K11" s="121" t="s">
        <v>1225</v>
      </c>
      <c r="M11" s="121" t="s">
        <v>1292</v>
      </c>
    </row>
    <row r="12" spans="1:13" x14ac:dyDescent="0.2">
      <c r="A12" s="298" t="s">
        <v>328</v>
      </c>
      <c r="B12" s="920" t="s">
        <v>1144</v>
      </c>
      <c r="C12" s="296" t="s">
        <v>60</v>
      </c>
      <c r="D12" s="920" t="s">
        <v>1145</v>
      </c>
      <c r="E12" s="476"/>
      <c r="F12" s="476"/>
      <c r="G12" s="121" t="s">
        <v>1278</v>
      </c>
      <c r="H12" s="121" t="s">
        <v>1244</v>
      </c>
      <c r="I12" s="121" t="s">
        <v>1225</v>
      </c>
      <c r="J12" s="121" t="s">
        <v>1225</v>
      </c>
      <c r="K12" s="121" t="s">
        <v>1225</v>
      </c>
      <c r="M12" s="121" t="s">
        <v>1293</v>
      </c>
    </row>
    <row r="13" spans="1:13" x14ac:dyDescent="0.2">
      <c r="A13" s="298" t="s">
        <v>329</v>
      </c>
      <c r="B13" s="920" t="s">
        <v>1144</v>
      </c>
      <c r="C13" s="296" t="s">
        <v>562</v>
      </c>
      <c r="D13" s="920" t="s">
        <v>1180</v>
      </c>
      <c r="E13" s="476"/>
      <c r="F13" s="476"/>
      <c r="G13" s="121" t="s">
        <v>1275</v>
      </c>
      <c r="H13" s="121" t="s">
        <v>1244</v>
      </c>
      <c r="I13" s="121" t="s">
        <v>1270</v>
      </c>
      <c r="J13" s="121" t="s">
        <v>1222</v>
      </c>
      <c r="K13" s="121" t="s">
        <v>1225</v>
      </c>
      <c r="M13" s="121" t="s">
        <v>1294</v>
      </c>
    </row>
    <row r="14" spans="1:13" x14ac:dyDescent="0.2">
      <c r="A14" s="298" t="s">
        <v>330</v>
      </c>
      <c r="B14" s="920" t="s">
        <v>1144</v>
      </c>
      <c r="C14" s="998" t="s">
        <v>1314</v>
      </c>
      <c r="D14" s="920" t="s">
        <v>1319</v>
      </c>
      <c r="F14" s="476"/>
      <c r="G14" s="121" t="s">
        <v>1276</v>
      </c>
      <c r="H14" s="121" t="s">
        <v>1244</v>
      </c>
      <c r="I14" s="121" t="s">
        <v>1270</v>
      </c>
      <c r="J14" s="121" t="s">
        <v>1222</v>
      </c>
      <c r="K14" s="121" t="s">
        <v>1222</v>
      </c>
      <c r="M14" s="121" t="s">
        <v>1295</v>
      </c>
    </row>
    <row r="15" spans="1:13" x14ac:dyDescent="0.2">
      <c r="A15" s="296" t="s">
        <v>22</v>
      </c>
      <c r="B15" s="919" t="s">
        <v>1327</v>
      </c>
      <c r="C15" s="296" t="s">
        <v>61</v>
      </c>
      <c r="D15" s="920" t="s">
        <v>1146</v>
      </c>
      <c r="E15" s="476"/>
      <c r="F15" s="476"/>
      <c r="M15" s="121" t="s">
        <v>1213</v>
      </c>
    </row>
    <row r="16" spans="1:13" x14ac:dyDescent="0.2">
      <c r="A16" s="296" t="s">
        <v>23</v>
      </c>
      <c r="B16" s="919" t="s">
        <v>1327</v>
      </c>
      <c r="C16" s="296" t="s">
        <v>563</v>
      </c>
      <c r="D16" s="920" t="s">
        <v>1181</v>
      </c>
      <c r="E16" s="476"/>
      <c r="F16" s="476"/>
      <c r="M16" s="121" t="s">
        <v>1214</v>
      </c>
    </row>
    <row r="17" spans="1:13" x14ac:dyDescent="0.2">
      <c r="A17" s="296" t="s">
        <v>486</v>
      </c>
      <c r="B17" s="919" t="s">
        <v>1327</v>
      </c>
      <c r="C17" s="296" t="s">
        <v>111</v>
      </c>
      <c r="D17" s="920" t="s">
        <v>1147</v>
      </c>
      <c r="E17" s="476"/>
      <c r="F17" s="476"/>
      <c r="M17" s="121" t="s">
        <v>1287</v>
      </c>
    </row>
    <row r="18" spans="1:13" x14ac:dyDescent="0.2">
      <c r="A18" s="296" t="s">
        <v>24</v>
      </c>
      <c r="B18" s="919" t="s">
        <v>1330</v>
      </c>
      <c r="C18" s="296" t="s">
        <v>62</v>
      </c>
      <c r="D18" s="920" t="s">
        <v>1148</v>
      </c>
      <c r="E18" s="476"/>
      <c r="F18" s="476"/>
      <c r="M18" s="121" t="s">
        <v>1296</v>
      </c>
    </row>
    <row r="19" spans="1:13" x14ac:dyDescent="0.2">
      <c r="A19" s="296" t="s">
        <v>25</v>
      </c>
      <c r="B19" s="919" t="s">
        <v>1330</v>
      </c>
      <c r="C19" s="296" t="s">
        <v>565</v>
      </c>
      <c r="D19" s="920" t="s">
        <v>1182</v>
      </c>
      <c r="E19" s="476"/>
      <c r="F19" s="476"/>
      <c r="M19" s="121" t="s">
        <v>1297</v>
      </c>
    </row>
    <row r="20" spans="1:13" x14ac:dyDescent="0.2">
      <c r="A20" s="296" t="s">
        <v>485</v>
      </c>
      <c r="B20" s="919" t="s">
        <v>1330</v>
      </c>
      <c r="C20" s="296" t="s">
        <v>71</v>
      </c>
      <c r="D20" s="296" t="s">
        <v>1208</v>
      </c>
      <c r="E20" s="476"/>
      <c r="F20" s="476"/>
      <c r="M20" s="121" t="s">
        <v>1298</v>
      </c>
    </row>
    <row r="21" spans="1:13" x14ac:dyDescent="0.2">
      <c r="A21" s="296" t="s">
        <v>26</v>
      </c>
      <c r="B21" s="919" t="s">
        <v>1159</v>
      </c>
      <c r="C21" s="296" t="s">
        <v>553</v>
      </c>
      <c r="D21" s="296" t="s">
        <v>30</v>
      </c>
      <c r="E21" s="476"/>
      <c r="F21" s="476"/>
      <c r="M21" s="121" t="s">
        <v>1299</v>
      </c>
    </row>
    <row r="22" spans="1:13" x14ac:dyDescent="0.2">
      <c r="A22" s="296" t="s">
        <v>27</v>
      </c>
      <c r="B22" s="919" t="s">
        <v>1159</v>
      </c>
      <c r="C22" s="296" t="s">
        <v>1245</v>
      </c>
      <c r="D22" s="296" t="s">
        <v>30</v>
      </c>
      <c r="F22" s="476"/>
    </row>
    <row r="23" spans="1:13" x14ac:dyDescent="0.2">
      <c r="A23" s="296" t="s">
        <v>484</v>
      </c>
      <c r="B23" s="919" t="s">
        <v>1159</v>
      </c>
      <c r="C23" s="296" t="s">
        <v>1246</v>
      </c>
      <c r="D23" s="296" t="s">
        <v>30</v>
      </c>
      <c r="E23" s="476"/>
      <c r="F23" s="476"/>
    </row>
    <row r="24" spans="1:13" x14ac:dyDescent="0.2">
      <c r="A24" s="296" t="s">
        <v>28</v>
      </c>
      <c r="B24" s="919" t="s">
        <v>1160</v>
      </c>
      <c r="C24" s="296" t="s">
        <v>1281</v>
      </c>
      <c r="D24" s="998" t="s">
        <v>30</v>
      </c>
      <c r="E24" s="476"/>
      <c r="F24" s="476"/>
    </row>
    <row r="25" spans="1:13" x14ac:dyDescent="0.2">
      <c r="A25" s="296" t="s">
        <v>487</v>
      </c>
      <c r="B25" s="919" t="s">
        <v>1160</v>
      </c>
      <c r="C25" s="998" t="s">
        <v>1315</v>
      </c>
      <c r="D25" s="920" t="s">
        <v>1323</v>
      </c>
      <c r="F25" s="476"/>
    </row>
    <row r="26" spans="1:13" x14ac:dyDescent="0.2">
      <c r="A26" s="296" t="s">
        <v>29</v>
      </c>
      <c r="B26" s="919" t="s">
        <v>1161</v>
      </c>
      <c r="C26" s="296" t="s">
        <v>63</v>
      </c>
      <c r="D26" s="920" t="s">
        <v>1149</v>
      </c>
      <c r="E26" s="476"/>
      <c r="F26" s="476"/>
    </row>
    <row r="27" spans="1:13" x14ac:dyDescent="0.2">
      <c r="A27" s="296" t="s">
        <v>488</v>
      </c>
      <c r="B27" s="919" t="s">
        <v>1161</v>
      </c>
      <c r="C27" s="296" t="s">
        <v>64</v>
      </c>
      <c r="D27" s="920" t="s">
        <v>1150</v>
      </c>
      <c r="E27" s="476"/>
      <c r="F27" s="476"/>
    </row>
    <row r="28" spans="1:13" x14ac:dyDescent="0.2">
      <c r="A28" s="296" t="s">
        <v>143</v>
      </c>
      <c r="B28" s="919" t="s">
        <v>1328</v>
      </c>
      <c r="C28" s="296" t="s">
        <v>567</v>
      </c>
      <c r="D28" s="920" t="s">
        <v>1183</v>
      </c>
      <c r="E28" s="476"/>
      <c r="F28" s="476"/>
    </row>
    <row r="29" spans="1:13" x14ac:dyDescent="0.2">
      <c r="A29" s="296" t="s">
        <v>144</v>
      </c>
      <c r="B29" s="919" t="s">
        <v>1331</v>
      </c>
      <c r="C29" s="296" t="s">
        <v>65</v>
      </c>
      <c r="D29" s="920" t="s">
        <v>1151</v>
      </c>
      <c r="E29" s="476"/>
      <c r="F29" s="476"/>
    </row>
    <row r="30" spans="1:13" x14ac:dyDescent="0.2">
      <c r="A30" s="296" t="s">
        <v>145</v>
      </c>
      <c r="B30" s="919" t="s">
        <v>1162</v>
      </c>
      <c r="C30" s="296" t="s">
        <v>568</v>
      </c>
      <c r="D30" s="920" t="s">
        <v>1184</v>
      </c>
      <c r="E30" s="476"/>
      <c r="F30" s="476"/>
    </row>
    <row r="31" spans="1:13" x14ac:dyDescent="0.2">
      <c r="A31" s="296" t="s">
        <v>146</v>
      </c>
      <c r="B31" s="919" t="s">
        <v>1163</v>
      </c>
      <c r="C31" s="998" t="s">
        <v>1316</v>
      </c>
      <c r="D31" s="920" t="s">
        <v>1324</v>
      </c>
      <c r="F31" s="476"/>
    </row>
    <row r="32" spans="1:13" x14ac:dyDescent="0.2">
      <c r="A32" s="296" t="s">
        <v>147</v>
      </c>
      <c r="B32" s="919" t="s">
        <v>1164</v>
      </c>
      <c r="C32" s="296" t="s">
        <v>66</v>
      </c>
      <c r="D32" s="920" t="s">
        <v>1152</v>
      </c>
      <c r="E32" s="476"/>
      <c r="F32" s="476"/>
    </row>
    <row r="33" spans="1:6" x14ac:dyDescent="0.2">
      <c r="A33" s="296" t="s">
        <v>117</v>
      </c>
      <c r="B33" s="296" t="s">
        <v>1165</v>
      </c>
      <c r="C33" s="296" t="s">
        <v>569</v>
      </c>
      <c r="D33" s="920" t="s">
        <v>1185</v>
      </c>
      <c r="E33" s="476"/>
      <c r="F33" s="476"/>
    </row>
    <row r="34" spans="1:6" x14ac:dyDescent="0.2">
      <c r="A34" s="296" t="s">
        <v>119</v>
      </c>
      <c r="B34" s="296" t="s">
        <v>1165</v>
      </c>
      <c r="C34" s="296" t="s">
        <v>72</v>
      </c>
      <c r="D34" s="296" t="s">
        <v>1209</v>
      </c>
      <c r="E34" s="476"/>
      <c r="F34" s="476"/>
    </row>
    <row r="35" spans="1:6" x14ac:dyDescent="0.2">
      <c r="A35" s="296" t="s">
        <v>120</v>
      </c>
      <c r="B35" s="296" t="s">
        <v>1165</v>
      </c>
      <c r="C35" s="296" t="s">
        <v>554</v>
      </c>
      <c r="D35" s="296" t="s">
        <v>30</v>
      </c>
      <c r="F35" s="476"/>
    </row>
    <row r="36" spans="1:6" x14ac:dyDescent="0.2">
      <c r="A36" s="296" t="s">
        <v>121</v>
      </c>
      <c r="B36" s="296" t="s">
        <v>1166</v>
      </c>
      <c r="C36" s="296" t="s">
        <v>1248</v>
      </c>
      <c r="D36" s="296" t="s">
        <v>30</v>
      </c>
      <c r="E36" s="999"/>
      <c r="F36" s="476"/>
    </row>
    <row r="37" spans="1:6" x14ac:dyDescent="0.2">
      <c r="A37" s="296" t="s">
        <v>122</v>
      </c>
      <c r="B37" s="296" t="s">
        <v>1166</v>
      </c>
      <c r="C37" s="296" t="s">
        <v>1249</v>
      </c>
      <c r="D37" s="296" t="s">
        <v>30</v>
      </c>
      <c r="E37" s="476"/>
      <c r="F37" s="476"/>
    </row>
    <row r="38" spans="1:6" x14ac:dyDescent="0.2">
      <c r="A38" s="296" t="s">
        <v>123</v>
      </c>
      <c r="B38" s="296" t="s">
        <v>1166</v>
      </c>
      <c r="C38" s="296" t="s">
        <v>1250</v>
      </c>
      <c r="D38" s="296" t="s">
        <v>30</v>
      </c>
      <c r="E38" s="999"/>
      <c r="F38" s="476"/>
    </row>
    <row r="39" spans="1:6" x14ac:dyDescent="0.2">
      <c r="A39" s="296" t="s">
        <v>124</v>
      </c>
      <c r="B39" s="296" t="s">
        <v>1167</v>
      </c>
      <c r="C39" s="296" t="s">
        <v>67</v>
      </c>
      <c r="D39" s="920" t="s">
        <v>1153</v>
      </c>
      <c r="E39" s="476"/>
      <c r="F39" s="476"/>
    </row>
    <row r="40" spans="1:6" x14ac:dyDescent="0.2">
      <c r="A40" s="296" t="s">
        <v>125</v>
      </c>
      <c r="B40" s="296" t="s">
        <v>1167</v>
      </c>
      <c r="C40" s="296" t="s">
        <v>570</v>
      </c>
      <c r="D40" s="920" t="s">
        <v>1186</v>
      </c>
      <c r="E40" s="476"/>
      <c r="F40" s="476"/>
    </row>
    <row r="41" spans="1:6" x14ac:dyDescent="0.2">
      <c r="A41" s="296" t="s">
        <v>126</v>
      </c>
      <c r="B41" s="296" t="s">
        <v>1167</v>
      </c>
      <c r="C41" s="998" t="s">
        <v>1317</v>
      </c>
      <c r="D41" s="920" t="s">
        <v>1325</v>
      </c>
      <c r="F41" s="476"/>
    </row>
    <row r="42" spans="1:6" x14ac:dyDescent="0.2">
      <c r="A42" s="296" t="s">
        <v>337</v>
      </c>
      <c r="B42" s="296" t="s">
        <v>1168</v>
      </c>
      <c r="C42" s="296" t="s">
        <v>68</v>
      </c>
      <c r="D42" s="920" t="s">
        <v>1154</v>
      </c>
      <c r="E42" s="476"/>
      <c r="F42" s="476"/>
    </row>
    <row r="43" spans="1:6" x14ac:dyDescent="0.2">
      <c r="A43" s="296" t="s">
        <v>332</v>
      </c>
      <c r="B43" s="296" t="s">
        <v>1169</v>
      </c>
      <c r="C43" s="296" t="s">
        <v>571</v>
      </c>
      <c r="D43" s="920" t="s">
        <v>1187</v>
      </c>
      <c r="E43" s="476"/>
      <c r="F43" s="476"/>
    </row>
    <row r="44" spans="1:6" x14ac:dyDescent="0.2">
      <c r="A44" s="296" t="s">
        <v>333</v>
      </c>
      <c r="B44" s="296" t="s">
        <v>1170</v>
      </c>
      <c r="C44" s="296" t="s">
        <v>73</v>
      </c>
      <c r="D44" s="296" t="s">
        <v>1210</v>
      </c>
      <c r="E44" s="476"/>
      <c r="F44" s="476"/>
    </row>
    <row r="45" spans="1:6" x14ac:dyDescent="0.2">
      <c r="A45" s="296" t="s">
        <v>334</v>
      </c>
      <c r="B45" s="296" t="s">
        <v>1171</v>
      </c>
      <c r="C45" s="296" t="s">
        <v>557</v>
      </c>
      <c r="D45" s="296" t="s">
        <v>1284</v>
      </c>
      <c r="E45" s="476"/>
      <c r="F45" s="476"/>
    </row>
    <row r="46" spans="1:6" x14ac:dyDescent="0.2">
      <c r="A46" s="296" t="s">
        <v>335</v>
      </c>
      <c r="B46" s="296" t="s">
        <v>1172</v>
      </c>
      <c r="C46" s="296" t="s">
        <v>1251</v>
      </c>
      <c r="D46" s="933" t="s">
        <v>1284</v>
      </c>
      <c r="E46" s="999" t="s">
        <v>1283</v>
      </c>
      <c r="F46" s="476"/>
    </row>
    <row r="47" spans="1:6" x14ac:dyDescent="0.2">
      <c r="A47" s="296" t="s">
        <v>336</v>
      </c>
      <c r="B47" s="296" t="s">
        <v>1173</v>
      </c>
      <c r="C47" s="296" t="s">
        <v>1252</v>
      </c>
      <c r="D47" s="296" t="s">
        <v>1288</v>
      </c>
      <c r="E47" s="476"/>
      <c r="F47" s="476"/>
    </row>
    <row r="48" spans="1:6" x14ac:dyDescent="0.2">
      <c r="A48" s="298" t="s">
        <v>493</v>
      </c>
      <c r="B48" s="298" t="s">
        <v>1174</v>
      </c>
      <c r="C48" s="296" t="s">
        <v>1253</v>
      </c>
      <c r="D48" s="933" t="s">
        <v>1288</v>
      </c>
      <c r="E48" s="999" t="s">
        <v>1283</v>
      </c>
      <c r="F48" s="476"/>
    </row>
    <row r="49" spans="1:6" x14ac:dyDescent="0.2">
      <c r="A49" s="298" t="s">
        <v>494</v>
      </c>
      <c r="B49" s="298" t="s">
        <v>1174</v>
      </c>
      <c r="C49" s="296" t="s">
        <v>69</v>
      </c>
      <c r="D49" s="920" t="s">
        <v>1155</v>
      </c>
      <c r="E49" s="476"/>
      <c r="F49" s="476"/>
    </row>
    <row r="50" spans="1:6" x14ac:dyDescent="0.2">
      <c r="A50" s="298" t="s">
        <v>495</v>
      </c>
      <c r="B50" s="298" t="s">
        <v>1175</v>
      </c>
      <c r="C50" s="296" t="s">
        <v>572</v>
      </c>
      <c r="D50" s="920" t="s">
        <v>1189</v>
      </c>
      <c r="E50" s="476"/>
      <c r="F50" s="476"/>
    </row>
    <row r="51" spans="1:6" x14ac:dyDescent="0.2">
      <c r="A51" s="298" t="s">
        <v>496</v>
      </c>
      <c r="B51" s="298" t="s">
        <v>1175</v>
      </c>
      <c r="C51" s="998" t="s">
        <v>1318</v>
      </c>
      <c r="D51" s="920" t="s">
        <v>1326</v>
      </c>
      <c r="F51" s="476"/>
    </row>
    <row r="52" spans="1:6" x14ac:dyDescent="0.2">
      <c r="A52" s="298" t="s">
        <v>497</v>
      </c>
      <c r="B52" s="298" t="s">
        <v>1176</v>
      </c>
      <c r="C52" s="296" t="s">
        <v>70</v>
      </c>
      <c r="D52" s="920" t="s">
        <v>1156</v>
      </c>
      <c r="E52" s="476"/>
      <c r="F52" s="476"/>
    </row>
    <row r="53" spans="1:6" x14ac:dyDescent="0.2">
      <c r="A53" s="298" t="s">
        <v>498</v>
      </c>
      <c r="B53" s="298" t="s">
        <v>1176</v>
      </c>
      <c r="C53" s="296" t="s">
        <v>573</v>
      </c>
      <c r="D53" s="920" t="s">
        <v>1188</v>
      </c>
      <c r="E53" s="476"/>
      <c r="F53" s="476"/>
    </row>
    <row r="54" spans="1:6" x14ac:dyDescent="0.2">
      <c r="A54" s="298" t="s">
        <v>499</v>
      </c>
      <c r="B54" s="298" t="s">
        <v>1177</v>
      </c>
      <c r="C54" s="296" t="s">
        <v>74</v>
      </c>
      <c r="D54" s="296" t="s">
        <v>1211</v>
      </c>
      <c r="E54" s="476"/>
      <c r="F54" s="476"/>
    </row>
    <row r="55" spans="1:6" x14ac:dyDescent="0.2">
      <c r="A55" s="298" t="s">
        <v>500</v>
      </c>
      <c r="B55" s="298" t="s">
        <v>1177</v>
      </c>
      <c r="C55" s="296" t="s">
        <v>558</v>
      </c>
      <c r="D55" s="296" t="s">
        <v>1285</v>
      </c>
      <c r="E55" s="476"/>
      <c r="F55" s="476"/>
    </row>
    <row r="56" spans="1:6" x14ac:dyDescent="0.2">
      <c r="A56" s="296" t="s">
        <v>128</v>
      </c>
      <c r="B56" s="296" t="s">
        <v>1329</v>
      </c>
      <c r="C56" s="296" t="s">
        <v>1254</v>
      </c>
      <c r="D56" s="933" t="s">
        <v>1285</v>
      </c>
      <c r="E56" s="999" t="s">
        <v>1283</v>
      </c>
      <c r="F56" s="476"/>
    </row>
    <row r="57" spans="1:6" x14ac:dyDescent="0.2">
      <c r="A57" s="296" t="s">
        <v>129</v>
      </c>
      <c r="B57" s="296" t="s">
        <v>1329</v>
      </c>
      <c r="C57" s="296" t="s">
        <v>1255</v>
      </c>
      <c r="D57" s="296" t="s">
        <v>1289</v>
      </c>
      <c r="E57" s="476"/>
      <c r="F57" s="476"/>
    </row>
    <row r="58" spans="1:6" x14ac:dyDescent="0.2">
      <c r="A58" s="296" t="s">
        <v>489</v>
      </c>
      <c r="B58" s="296" t="s">
        <v>1329</v>
      </c>
      <c r="C58" s="296" t="s">
        <v>1256</v>
      </c>
      <c r="D58" s="933" t="s">
        <v>1289</v>
      </c>
      <c r="E58" s="999" t="s">
        <v>1283</v>
      </c>
      <c r="F58" s="476"/>
    </row>
    <row r="59" spans="1:6" x14ac:dyDescent="0.2">
      <c r="A59" s="296" t="s">
        <v>130</v>
      </c>
      <c r="B59" s="296" t="s">
        <v>1332</v>
      </c>
      <c r="C59" s="296" t="s">
        <v>75</v>
      </c>
      <c r="D59" s="296" t="s">
        <v>1212</v>
      </c>
      <c r="E59" s="476"/>
      <c r="F59" s="476"/>
    </row>
    <row r="60" spans="1:6" x14ac:dyDescent="0.2">
      <c r="A60" s="296" t="s">
        <v>131</v>
      </c>
      <c r="B60" s="296" t="s">
        <v>1332</v>
      </c>
      <c r="C60" s="296" t="s">
        <v>559</v>
      </c>
      <c r="D60" s="296" t="s">
        <v>1286</v>
      </c>
      <c r="E60" s="476"/>
      <c r="F60" s="476"/>
    </row>
    <row r="61" spans="1:6" x14ac:dyDescent="0.2">
      <c r="A61" s="296" t="s">
        <v>490</v>
      </c>
      <c r="B61" s="296" t="s">
        <v>1332</v>
      </c>
      <c r="C61" s="296" t="s">
        <v>1257</v>
      </c>
      <c r="D61" s="933" t="s">
        <v>1286</v>
      </c>
      <c r="E61" s="999" t="s">
        <v>1283</v>
      </c>
      <c r="F61" s="476"/>
    </row>
    <row r="62" spans="1:6" x14ac:dyDescent="0.2">
      <c r="A62" s="296" t="s">
        <v>132</v>
      </c>
      <c r="B62" s="296" t="s">
        <v>1178</v>
      </c>
      <c r="C62" s="296" t="s">
        <v>1258</v>
      </c>
      <c r="D62" s="296" t="s">
        <v>1290</v>
      </c>
      <c r="E62" s="476"/>
      <c r="F62" s="476"/>
    </row>
    <row r="63" spans="1:6" x14ac:dyDescent="0.2">
      <c r="A63" s="296" t="s">
        <v>133</v>
      </c>
      <c r="B63" s="296" t="s">
        <v>1178</v>
      </c>
      <c r="C63" s="296" t="s">
        <v>1259</v>
      </c>
      <c r="D63" s="933" t="s">
        <v>1290</v>
      </c>
      <c r="E63" s="999" t="s">
        <v>1283</v>
      </c>
      <c r="F63" s="476"/>
    </row>
    <row r="64" spans="1:6" x14ac:dyDescent="0.2">
      <c r="A64" s="296" t="s">
        <v>491</v>
      </c>
      <c r="B64" s="296" t="s">
        <v>1178</v>
      </c>
      <c r="C64" s="296" t="s">
        <v>76</v>
      </c>
      <c r="D64" s="296" t="s">
        <v>1213</v>
      </c>
      <c r="E64" s="476"/>
      <c r="F64" s="476"/>
    </row>
    <row r="65" spans="1:6" x14ac:dyDescent="0.2">
      <c r="A65" s="296" t="s">
        <v>127</v>
      </c>
      <c r="B65" s="296" t="s">
        <v>1179</v>
      </c>
      <c r="C65" s="296" t="s">
        <v>560</v>
      </c>
      <c r="D65" s="296" t="s">
        <v>1287</v>
      </c>
      <c r="E65" s="476"/>
      <c r="F65" s="476"/>
    </row>
    <row r="66" spans="1:6" x14ac:dyDescent="0.2">
      <c r="A66" s="296" t="s">
        <v>492</v>
      </c>
      <c r="B66" s="296" t="s">
        <v>1179</v>
      </c>
      <c r="C66" s="296" t="s">
        <v>1260</v>
      </c>
      <c r="D66" s="933" t="s">
        <v>1287</v>
      </c>
      <c r="E66" s="999" t="s">
        <v>1283</v>
      </c>
      <c r="F66" s="476"/>
    </row>
    <row r="67" spans="1:6" x14ac:dyDescent="0.2">
      <c r="A67" s="296" t="s">
        <v>318</v>
      </c>
      <c r="B67" s="296" t="s">
        <v>318</v>
      </c>
      <c r="C67" s="296" t="s">
        <v>1261</v>
      </c>
      <c r="D67" s="296" t="s">
        <v>1291</v>
      </c>
      <c r="E67" s="476"/>
    </row>
    <row r="68" spans="1:6" x14ac:dyDescent="0.2">
      <c r="A68" s="296" t="s">
        <v>317</v>
      </c>
      <c r="B68" s="296" t="s">
        <v>317</v>
      </c>
      <c r="C68" s="296" t="s">
        <v>1262</v>
      </c>
      <c r="D68" s="933" t="s">
        <v>1291</v>
      </c>
      <c r="E68" s="999" t="s">
        <v>1283</v>
      </c>
    </row>
    <row r="69" spans="1:6" x14ac:dyDescent="0.2">
      <c r="A69" s="296" t="s">
        <v>315</v>
      </c>
      <c r="B69" s="296" t="s">
        <v>315</v>
      </c>
    </row>
    <row r="70" spans="1:6" x14ac:dyDescent="0.2">
      <c r="A70" s="296" t="s">
        <v>316</v>
      </c>
      <c r="B70" s="296" t="s">
        <v>316</v>
      </c>
    </row>
  </sheetData>
  <mergeCells count="2">
    <mergeCell ref="A2:B2"/>
    <mergeCell ref="C2:D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Y52"/>
  <sheetViews>
    <sheetView workbookViewId="0">
      <selection activeCell="C22" sqref="C22"/>
    </sheetView>
  </sheetViews>
  <sheetFormatPr defaultColWidth="5.7109375" defaultRowHeight="24.95" customHeight="1" x14ac:dyDescent="0.2"/>
  <cols>
    <col min="1" max="1" width="10.7109375" style="33" customWidth="1"/>
    <col min="2" max="8" width="5.7109375" style="33"/>
    <col min="9" max="9" width="8.42578125" style="33" bestFit="1" customWidth="1"/>
    <col min="10" max="11" width="5.7109375" style="33"/>
    <col min="12" max="12" width="5.7109375" style="33" customWidth="1"/>
    <col min="13" max="13" width="8.42578125" style="33" bestFit="1" customWidth="1"/>
    <col min="14" max="20" width="5.7109375" style="33"/>
    <col min="21" max="21" width="8.42578125" style="33" bestFit="1" customWidth="1"/>
    <col min="22" max="16384" width="5.7109375" style="33"/>
  </cols>
  <sheetData>
    <row r="1" spans="1:25" ht="50.1" customHeight="1" x14ac:dyDescent="0.2">
      <c r="A1" s="293"/>
      <c r="B1" s="294" t="s">
        <v>721</v>
      </c>
      <c r="C1" s="294" t="s">
        <v>637</v>
      </c>
      <c r="D1" s="294" t="s">
        <v>638</v>
      </c>
      <c r="E1" s="294" t="s">
        <v>234</v>
      </c>
      <c r="F1" s="294" t="s">
        <v>639</v>
      </c>
      <c r="G1" s="294" t="s">
        <v>235</v>
      </c>
      <c r="H1" s="294" t="s">
        <v>640</v>
      </c>
      <c r="I1" s="294" t="s">
        <v>236</v>
      </c>
      <c r="J1" s="294" t="s">
        <v>641</v>
      </c>
      <c r="K1" s="294" t="s">
        <v>642</v>
      </c>
      <c r="L1" s="294" t="s">
        <v>643</v>
      </c>
      <c r="M1" s="294" t="s">
        <v>644</v>
      </c>
      <c r="N1" s="294" t="s">
        <v>645</v>
      </c>
      <c r="O1" s="294" t="s">
        <v>646</v>
      </c>
      <c r="P1" s="294" t="s">
        <v>647</v>
      </c>
      <c r="Q1" s="294" t="s">
        <v>648</v>
      </c>
      <c r="R1" s="294" t="s">
        <v>649</v>
      </c>
      <c r="S1" s="294" t="s">
        <v>650</v>
      </c>
      <c r="T1" s="294" t="s">
        <v>651</v>
      </c>
      <c r="U1" s="294" t="s">
        <v>652</v>
      </c>
      <c r="V1" s="294" t="s">
        <v>653</v>
      </c>
      <c r="W1" s="294" t="s">
        <v>654</v>
      </c>
      <c r="X1" s="294" t="s">
        <v>722</v>
      </c>
      <c r="Y1" s="294" t="s">
        <v>655</v>
      </c>
    </row>
    <row r="2" spans="1:25" ht="24.95" customHeight="1" x14ac:dyDescent="0.2">
      <c r="A2" s="36" t="s">
        <v>721</v>
      </c>
    </row>
    <row r="3" spans="1:25" ht="24.95" customHeight="1" x14ac:dyDescent="0.2">
      <c r="A3" s="36" t="s">
        <v>637</v>
      </c>
    </row>
    <row r="4" spans="1:25" ht="24.95" customHeight="1" x14ac:dyDescent="0.2">
      <c r="A4" s="36" t="s">
        <v>638</v>
      </c>
    </row>
    <row r="5" spans="1:25" ht="24.95" customHeight="1" x14ac:dyDescent="0.2">
      <c r="A5" s="36" t="s">
        <v>234</v>
      </c>
    </row>
    <row r="6" spans="1:25" ht="24.95" customHeight="1" x14ac:dyDescent="0.2">
      <c r="A6" s="36" t="s">
        <v>639</v>
      </c>
    </row>
    <row r="7" spans="1:25" ht="24.95" customHeight="1" x14ac:dyDescent="0.2">
      <c r="A7" s="36" t="s">
        <v>235</v>
      </c>
    </row>
    <row r="8" spans="1:25" ht="24.95" customHeight="1" x14ac:dyDescent="0.2">
      <c r="A8" s="36" t="s">
        <v>640</v>
      </c>
    </row>
    <row r="9" spans="1:25" ht="24.95" customHeight="1" x14ac:dyDescent="0.2">
      <c r="A9" s="36" t="s">
        <v>236</v>
      </c>
    </row>
    <row r="10" spans="1:25" ht="24.95" customHeight="1" x14ac:dyDescent="0.2">
      <c r="A10" s="36" t="s">
        <v>641</v>
      </c>
    </row>
    <row r="11" spans="1:25" ht="24.95" customHeight="1" x14ac:dyDescent="0.2">
      <c r="A11" s="36" t="s">
        <v>642</v>
      </c>
    </row>
    <row r="12" spans="1:25" ht="24.95" customHeight="1" x14ac:dyDescent="0.2">
      <c r="A12" s="36" t="s">
        <v>643</v>
      </c>
    </row>
    <row r="13" spans="1:25" ht="24.95" customHeight="1" x14ac:dyDescent="0.2">
      <c r="A13" s="36" t="s">
        <v>644</v>
      </c>
    </row>
    <row r="14" spans="1:25" ht="24.95" customHeight="1" x14ac:dyDescent="0.2">
      <c r="A14" s="36" t="s">
        <v>645</v>
      </c>
    </row>
    <row r="15" spans="1:25" ht="24.95" customHeight="1" x14ac:dyDescent="0.2">
      <c r="A15" s="36" t="s">
        <v>646</v>
      </c>
    </row>
    <row r="16" spans="1:25" ht="24.95" customHeight="1" x14ac:dyDescent="0.2">
      <c r="A16" s="36" t="s">
        <v>647</v>
      </c>
    </row>
    <row r="17" spans="1:1" ht="24.95" customHeight="1" x14ac:dyDescent="0.2">
      <c r="A17" s="36" t="s">
        <v>648</v>
      </c>
    </row>
    <row r="18" spans="1:1" ht="24.95" customHeight="1" x14ac:dyDescent="0.2">
      <c r="A18" s="36" t="s">
        <v>649</v>
      </c>
    </row>
    <row r="19" spans="1:1" ht="24.95" customHeight="1" x14ac:dyDescent="0.2">
      <c r="A19" s="36" t="s">
        <v>650</v>
      </c>
    </row>
    <row r="20" spans="1:1" ht="24.95" customHeight="1" x14ac:dyDescent="0.2">
      <c r="A20" s="36" t="s">
        <v>651</v>
      </c>
    </row>
    <row r="21" spans="1:1" ht="24.95" customHeight="1" x14ac:dyDescent="0.2">
      <c r="A21" s="36" t="s">
        <v>652</v>
      </c>
    </row>
    <row r="22" spans="1:1" ht="24.95" customHeight="1" x14ac:dyDescent="0.2">
      <c r="A22" s="36" t="s">
        <v>653</v>
      </c>
    </row>
    <row r="23" spans="1:1" ht="24.95" customHeight="1" x14ac:dyDescent="0.2">
      <c r="A23" s="36" t="s">
        <v>654</v>
      </c>
    </row>
    <row r="24" spans="1:1" ht="24.95" customHeight="1" x14ac:dyDescent="0.2">
      <c r="A24" s="36" t="s">
        <v>655</v>
      </c>
    </row>
    <row r="25" spans="1:1" ht="24.95" customHeight="1" x14ac:dyDescent="0.2">
      <c r="A25" s="36" t="s">
        <v>656</v>
      </c>
    </row>
    <row r="26" spans="1:1" ht="24.95" customHeight="1" x14ac:dyDescent="0.2">
      <c r="A26" s="36" t="s">
        <v>657</v>
      </c>
    </row>
    <row r="27" spans="1:1" ht="24.95" customHeight="1" x14ac:dyDescent="0.2">
      <c r="A27" s="36" t="s">
        <v>658</v>
      </c>
    </row>
    <row r="28" spans="1:1" ht="24.95" customHeight="1" x14ac:dyDescent="0.2">
      <c r="A28" s="36" t="s">
        <v>659</v>
      </c>
    </row>
    <row r="29" spans="1:1" ht="24.95" customHeight="1" x14ac:dyDescent="0.2">
      <c r="A29" s="36" t="s">
        <v>660</v>
      </c>
    </row>
    <row r="30" spans="1:1" ht="24.95" customHeight="1" x14ac:dyDescent="0.2">
      <c r="A30" s="36" t="s">
        <v>661</v>
      </c>
    </row>
    <row r="31" spans="1:1" ht="24.95" customHeight="1" x14ac:dyDescent="0.2">
      <c r="A31" s="36" t="s">
        <v>662</v>
      </c>
    </row>
    <row r="32" spans="1:1" ht="24.95" customHeight="1" x14ac:dyDescent="0.2">
      <c r="A32" s="36" t="s">
        <v>663</v>
      </c>
    </row>
    <row r="33" spans="1:1" ht="24.95" customHeight="1" x14ac:dyDescent="0.2">
      <c r="A33" s="36" t="s">
        <v>664</v>
      </c>
    </row>
    <row r="34" spans="1:1" ht="24.95" customHeight="1" x14ac:dyDescent="0.2">
      <c r="A34" s="36" t="s">
        <v>665</v>
      </c>
    </row>
    <row r="35" spans="1:1" ht="24.95" customHeight="1" x14ac:dyDescent="0.2">
      <c r="A35" s="36" t="s">
        <v>666</v>
      </c>
    </row>
    <row r="36" spans="1:1" ht="24.95" customHeight="1" x14ac:dyDescent="0.2">
      <c r="A36" s="36" t="s">
        <v>667</v>
      </c>
    </row>
    <row r="37" spans="1:1" ht="24.95" customHeight="1" x14ac:dyDescent="0.2">
      <c r="A37" s="36" t="s">
        <v>668</v>
      </c>
    </row>
    <row r="38" spans="1:1" ht="24.95" customHeight="1" x14ac:dyDescent="0.2">
      <c r="A38" s="36" t="s">
        <v>669</v>
      </c>
    </row>
    <row r="39" spans="1:1" ht="24.95" customHeight="1" x14ac:dyDescent="0.2">
      <c r="A39" s="36" t="s">
        <v>670</v>
      </c>
    </row>
    <row r="40" spans="1:1" ht="24.95" customHeight="1" x14ac:dyDescent="0.2">
      <c r="A40" s="36" t="s">
        <v>671</v>
      </c>
    </row>
    <row r="41" spans="1:1" ht="24.95" customHeight="1" x14ac:dyDescent="0.2">
      <c r="A41" s="36" t="s">
        <v>672</v>
      </c>
    </row>
    <row r="42" spans="1:1" ht="24.95" customHeight="1" x14ac:dyDescent="0.2">
      <c r="A42" s="36" t="s">
        <v>673</v>
      </c>
    </row>
    <row r="43" spans="1:1" ht="24.95" customHeight="1" x14ac:dyDescent="0.2">
      <c r="A43" s="36" t="s">
        <v>674</v>
      </c>
    </row>
    <row r="44" spans="1:1" ht="24.95" customHeight="1" x14ac:dyDescent="0.2">
      <c r="A44" s="36" t="s">
        <v>675</v>
      </c>
    </row>
    <row r="45" spans="1:1" ht="24.95" customHeight="1" x14ac:dyDescent="0.2">
      <c r="A45" s="36" t="s">
        <v>676</v>
      </c>
    </row>
    <row r="46" spans="1:1" ht="24.95" customHeight="1" x14ac:dyDescent="0.2">
      <c r="A46" s="36" t="s">
        <v>677</v>
      </c>
    </row>
    <row r="47" spans="1:1" ht="24.95" customHeight="1" x14ac:dyDescent="0.2">
      <c r="A47" s="36" t="s">
        <v>678</v>
      </c>
    </row>
    <row r="48" spans="1:1" ht="24.95" customHeight="1" x14ac:dyDescent="0.2">
      <c r="A48" s="36" t="s">
        <v>679</v>
      </c>
    </row>
    <row r="49" spans="1:1" ht="24.95" customHeight="1" x14ac:dyDescent="0.2">
      <c r="A49" s="36" t="s">
        <v>680</v>
      </c>
    </row>
    <row r="50" spans="1:1" ht="24.95" customHeight="1" x14ac:dyDescent="0.2">
      <c r="A50" s="36" t="s">
        <v>681</v>
      </c>
    </row>
    <row r="51" spans="1:1" ht="24.95" customHeight="1" x14ac:dyDescent="0.2">
      <c r="A51" s="36" t="s">
        <v>682</v>
      </c>
    </row>
    <row r="52" spans="1:1" ht="24.95" customHeight="1" x14ac:dyDescent="0.2">
      <c r="A52" s="36" t="s">
        <v>683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472" id="{5936D2BF-AE12-43E4-A4E4-5D7300A367C5}">
            <xm:f>VALUE(MID($A2,1,SEARCH(" мм",$A2)))&lt;=Габариты!$E$91</xm:f>
            <x14:dxf>
              <border>
                <right style="thin">
                  <color auto="1"/>
                </right>
                <vertical/>
                <horizontal/>
              </border>
            </x14:dxf>
          </x14:cfRule>
          <xm:sqref>A2:A52</xm:sqref>
        </x14:conditionalFormatting>
        <x14:conditionalFormatting xmlns:xm="http://schemas.microsoft.com/office/excel/2006/main">
          <x14:cfRule type="expression" priority="9473" stopIfTrue="1" id="{3F93F79D-109A-4086-90E6-50C8D00E24F5}">
            <xm:f>VALUE(MID(B$1,1,SEARCH(" мм",B$1)))&lt;=Габариты!$A$99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m:sqref>B1:Y1</xm:sqref>
        </x14:conditionalFormatting>
        <x14:conditionalFormatting xmlns:xm="http://schemas.microsoft.com/office/excel/2006/main">
          <x14:cfRule type="expression" priority="9474" id="{C5434FBA-63D3-4832-A2E4-0E2A6DE4CE9D}">
            <xm:f>AND(VALUE(MID(B$1,1,SEARCH(" мм",B$1)))=Габариты!$A$99,VALUE(MID($A2,1,SEARCH(" мм",$A2)))=Габариты!$E$91)</xm:f>
            <x14:dxf>
              <border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9475" id="{908307C0-370A-430A-BAC3-D07AE090CFD6}">
            <xm:f>AND(VALUE(MID(B$1,1,SEARCH(" мм",B$1)))=Габариты!$A$99,VALUE(MID($A2,1,SEARCH(" мм",$A2)))&lt;=Габариты!$E$91)</xm:f>
            <x14:dxf>
              <border>
                <right style="thin">
                  <color auto="1"/>
                </right>
                <vertical/>
                <horizontal/>
              </border>
            </x14:dxf>
          </x14:cfRule>
          <x14:cfRule type="expression" priority="9476" id="{40C3A640-49A1-4A10-BC86-DEA48551DB92}">
            <xm:f>AND(VALUE(MID(B$1,1,SEARCH(" мм",B$1)))&lt;=Габариты!$A$99,VALUE(MID($A2,1,SEARCH(" мм",$A2)))=Габариты!$E$91)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9477" id="{9AED2965-6285-4E3B-862A-6DB763989201}">
            <xm:f>AND(VALUE(MID(B$1,1,SEARCH(" мм",B$1)))&lt;=Габариты!$A$99,VALUE(MID($A2,1,SEARCH(" мм",$A2)))=ROUND(Габариты!$A$33/50,0)*50)</xm:f>
            <x14:dxf>
              <border>
                <bottom style="thin">
                  <color auto="1"/>
                </bottom>
                <vertical/>
                <horizontal/>
              </border>
            </x14:dxf>
          </x14:cfRule>
          <xm:sqref>B2:Y52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workbookViewId="0">
      <selection activeCell="F10" sqref="F10"/>
    </sheetView>
  </sheetViews>
  <sheetFormatPr defaultRowHeight="12.75" x14ac:dyDescent="0.2"/>
  <cols>
    <col min="1" max="1" width="25.42578125" customWidth="1"/>
    <col min="2" max="2" width="13.42578125" customWidth="1"/>
    <col min="3" max="3" width="14.140625" customWidth="1"/>
    <col min="4" max="4" width="11" customWidth="1"/>
  </cols>
  <sheetData>
    <row r="1" spans="1:4" ht="25.5" x14ac:dyDescent="0.2">
      <c r="A1" s="901" t="s">
        <v>1127</v>
      </c>
      <c r="B1" s="901" t="s">
        <v>1128</v>
      </c>
      <c r="C1" s="901" t="s">
        <v>1129</v>
      </c>
      <c r="D1" s="901" t="s">
        <v>1130</v>
      </c>
    </row>
    <row r="2" spans="1:4" x14ac:dyDescent="0.2">
      <c r="A2" s="915" t="s">
        <v>1131</v>
      </c>
      <c r="B2" s="916">
        <v>1</v>
      </c>
      <c r="C2" s="916">
        <v>35</v>
      </c>
      <c r="D2" s="916" t="s">
        <v>1132</v>
      </c>
    </row>
    <row r="3" spans="1:4" x14ac:dyDescent="0.2">
      <c r="A3" s="915" t="s">
        <v>1133</v>
      </c>
      <c r="B3" s="916">
        <v>-10</v>
      </c>
      <c r="C3" s="916">
        <v>40</v>
      </c>
      <c r="D3" s="916" t="s">
        <v>1134</v>
      </c>
    </row>
    <row r="4" spans="1:4" x14ac:dyDescent="0.2">
      <c r="A4" s="21" t="s">
        <v>271</v>
      </c>
      <c r="B4" s="916">
        <v>-60</v>
      </c>
      <c r="C4" s="916">
        <v>40</v>
      </c>
      <c r="D4" s="916" t="s">
        <v>1134</v>
      </c>
    </row>
    <row r="5" spans="1:4" x14ac:dyDescent="0.2">
      <c r="A5" s="915" t="s">
        <v>152</v>
      </c>
      <c r="B5" s="916">
        <v>-60</v>
      </c>
      <c r="C5" s="916">
        <v>40</v>
      </c>
      <c r="D5" s="916" t="s">
        <v>1134</v>
      </c>
    </row>
    <row r="6" spans="1:4" x14ac:dyDescent="0.2">
      <c r="A6" s="915" t="s">
        <v>154</v>
      </c>
      <c r="B6" s="916">
        <v>-60</v>
      </c>
      <c r="C6" s="916">
        <v>40</v>
      </c>
      <c r="D6" s="916" t="s">
        <v>1134</v>
      </c>
    </row>
    <row r="7" spans="1:4" x14ac:dyDescent="0.2">
      <c r="A7" s="21" t="s">
        <v>1135</v>
      </c>
      <c r="B7" s="916">
        <v>-10</v>
      </c>
      <c r="C7" s="916">
        <v>40</v>
      </c>
      <c r="D7" s="916" t="s">
        <v>1134</v>
      </c>
    </row>
    <row r="8" spans="1:4" x14ac:dyDescent="0.2">
      <c r="A8" s="915" t="s">
        <v>1136</v>
      </c>
      <c r="B8" s="916">
        <v>-45</v>
      </c>
      <c r="C8" s="916">
        <v>40</v>
      </c>
      <c r="D8" s="916" t="s">
        <v>1134</v>
      </c>
    </row>
    <row r="9" spans="1:4" x14ac:dyDescent="0.2">
      <c r="A9" s="915" t="s">
        <v>153</v>
      </c>
      <c r="B9" s="916">
        <v>-45</v>
      </c>
      <c r="C9" s="916">
        <v>40</v>
      </c>
      <c r="D9" s="916" t="s">
        <v>1134</v>
      </c>
    </row>
    <row r="10" spans="1:4" x14ac:dyDescent="0.2">
      <c r="A10" s="917" t="s">
        <v>155</v>
      </c>
      <c r="B10" s="916">
        <v>-45</v>
      </c>
      <c r="C10" s="916">
        <v>40</v>
      </c>
      <c r="D10" s="916" t="s">
        <v>1134</v>
      </c>
    </row>
    <row r="11" spans="1:4" x14ac:dyDescent="0.2">
      <c r="A11" s="915" t="s">
        <v>46</v>
      </c>
      <c r="B11" s="916">
        <v>-10</v>
      </c>
      <c r="C11" s="916">
        <v>50</v>
      </c>
      <c r="D11" s="916" t="s">
        <v>1137</v>
      </c>
    </row>
    <row r="12" spans="1:4" x14ac:dyDescent="0.2">
      <c r="A12" s="915" t="s">
        <v>156</v>
      </c>
      <c r="B12" s="916">
        <v>-10</v>
      </c>
      <c r="C12" s="916">
        <v>50</v>
      </c>
      <c r="D12" s="916" t="s">
        <v>1138</v>
      </c>
    </row>
    <row r="13" spans="1:4" x14ac:dyDescent="0.2">
      <c r="A13" s="915" t="s">
        <v>157</v>
      </c>
      <c r="B13" s="916">
        <v>-10</v>
      </c>
      <c r="C13" s="916">
        <v>50</v>
      </c>
      <c r="D13" s="916" t="s">
        <v>1138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J400"/>
  <sheetViews>
    <sheetView workbookViewId="0"/>
  </sheetViews>
  <sheetFormatPr defaultColWidth="2.7109375" defaultRowHeight="12.75" x14ac:dyDescent="0.2"/>
  <sheetData>
    <row r="1" spans="1:400" x14ac:dyDescent="0.2">
      <c r="A1" s="572"/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  <c r="AB1" s="573"/>
      <c r="AC1" s="573"/>
      <c r="AD1" s="573"/>
      <c r="AE1" s="573"/>
      <c r="AF1" s="573"/>
      <c r="AG1" s="573"/>
      <c r="AH1" s="573"/>
      <c r="AI1" s="573"/>
      <c r="AJ1" s="573"/>
      <c r="AK1" s="573"/>
      <c r="AL1" s="573"/>
      <c r="AM1" s="573"/>
      <c r="AN1" s="573"/>
      <c r="AO1" s="573"/>
      <c r="AP1" s="573"/>
      <c r="AQ1" s="573"/>
      <c r="AR1" s="573"/>
      <c r="AS1" s="573"/>
      <c r="AT1" s="573"/>
      <c r="AU1" s="573"/>
      <c r="AV1" s="573"/>
      <c r="AW1" s="573"/>
      <c r="AX1" s="573"/>
      <c r="AY1" s="573"/>
      <c r="AZ1" s="573"/>
      <c r="BA1" s="573"/>
      <c r="BB1" s="573"/>
      <c r="BC1" s="573"/>
      <c r="BD1" s="573"/>
      <c r="BE1" s="573"/>
      <c r="BF1" s="573"/>
      <c r="BG1" s="573"/>
      <c r="BH1" s="573"/>
      <c r="BI1" s="573"/>
      <c r="BJ1" s="573"/>
      <c r="BK1" s="573"/>
      <c r="BL1" s="573"/>
      <c r="BM1" s="573"/>
      <c r="BN1" s="573"/>
      <c r="BO1" s="573"/>
      <c r="BP1" s="573"/>
      <c r="BQ1" s="573"/>
      <c r="BR1" s="573"/>
      <c r="BS1" s="573"/>
      <c r="BT1" s="573"/>
      <c r="BU1" s="573"/>
      <c r="BV1" s="573"/>
      <c r="BW1" s="573"/>
      <c r="BX1" s="573"/>
      <c r="BY1" s="573"/>
      <c r="BZ1" s="573"/>
      <c r="CA1" s="573"/>
      <c r="CB1" s="573"/>
      <c r="CC1" s="573"/>
      <c r="CD1" s="573"/>
      <c r="CE1" s="573"/>
      <c r="CF1" s="573"/>
      <c r="CG1" s="573"/>
      <c r="CH1" s="573"/>
      <c r="CI1" s="573"/>
      <c r="CJ1" s="573"/>
      <c r="CK1" s="573"/>
      <c r="CL1" s="573"/>
      <c r="CM1" s="573"/>
      <c r="CN1" s="573"/>
      <c r="CO1" s="573"/>
      <c r="CP1" s="573"/>
      <c r="CQ1" s="573"/>
      <c r="CR1" s="573"/>
      <c r="CS1" s="573"/>
      <c r="CT1" s="573"/>
      <c r="CU1" s="573"/>
      <c r="CV1" s="573"/>
      <c r="CW1" s="573"/>
      <c r="CX1" s="573"/>
      <c r="CY1" s="573"/>
      <c r="CZ1" s="573"/>
      <c r="DA1" s="573"/>
      <c r="DB1" s="573"/>
      <c r="DC1" s="573"/>
      <c r="DD1" s="573"/>
      <c r="DE1" s="573"/>
      <c r="DF1" s="573"/>
      <c r="DG1" s="573"/>
      <c r="DH1" s="573"/>
      <c r="DI1" s="573"/>
      <c r="DJ1" s="573"/>
      <c r="DK1" s="573"/>
      <c r="DL1" s="573"/>
      <c r="DM1" s="573"/>
      <c r="DN1" s="573"/>
      <c r="DO1" s="573"/>
      <c r="DP1" s="573"/>
      <c r="DQ1" s="573"/>
      <c r="DR1" s="573"/>
      <c r="DS1" s="573"/>
      <c r="DT1" s="573"/>
      <c r="DU1" s="573"/>
      <c r="DV1" s="573"/>
      <c r="DW1" s="573"/>
      <c r="DX1" s="573"/>
      <c r="DY1" s="573"/>
      <c r="DZ1" s="573"/>
      <c r="EA1" s="573"/>
      <c r="EB1" s="573"/>
      <c r="EC1" s="573"/>
      <c r="ED1" s="573"/>
      <c r="EE1" s="573"/>
      <c r="EF1" s="573"/>
      <c r="EG1" s="573"/>
      <c r="EH1" s="573"/>
      <c r="EI1" s="573"/>
      <c r="EJ1" s="573"/>
      <c r="EK1" s="573"/>
      <c r="EL1" s="573"/>
      <c r="EM1" s="573"/>
      <c r="EN1" s="573"/>
      <c r="EO1" s="573"/>
      <c r="EP1" s="573"/>
      <c r="EQ1" s="573"/>
      <c r="ER1" s="573"/>
      <c r="ES1" s="573"/>
      <c r="ET1" s="573"/>
      <c r="EU1" s="573"/>
      <c r="EV1" s="573"/>
      <c r="EW1" s="573"/>
      <c r="EX1" s="573"/>
      <c r="EY1" s="573"/>
      <c r="EZ1" s="573"/>
      <c r="FA1" s="573"/>
      <c r="FB1" s="573"/>
      <c r="FC1" s="573"/>
      <c r="FD1" s="573"/>
      <c r="FE1" s="573"/>
      <c r="FF1" s="573"/>
      <c r="FG1" s="573"/>
      <c r="FH1" s="573"/>
      <c r="FI1" s="573"/>
      <c r="FJ1" s="573"/>
      <c r="FK1" s="573"/>
      <c r="FL1" s="573"/>
      <c r="FM1" s="573"/>
      <c r="FN1" s="573"/>
      <c r="FO1" s="573"/>
      <c r="FP1" s="573"/>
      <c r="FQ1" s="573"/>
      <c r="FR1" s="573"/>
      <c r="FS1" s="573"/>
      <c r="FT1" s="573"/>
      <c r="FU1" s="573"/>
      <c r="FV1" s="573"/>
      <c r="FW1" s="573"/>
      <c r="FX1" s="573"/>
      <c r="FY1" s="573"/>
      <c r="FZ1" s="573"/>
      <c r="GA1" s="573"/>
      <c r="GB1" s="573"/>
      <c r="GC1" s="573"/>
      <c r="GD1" s="573"/>
      <c r="GE1" s="573"/>
      <c r="GF1" s="573"/>
      <c r="GG1" s="573"/>
      <c r="GH1" s="573"/>
      <c r="GI1" s="573"/>
      <c r="GJ1" s="573"/>
      <c r="GK1" s="573"/>
      <c r="GL1" s="573"/>
      <c r="GM1" s="573"/>
      <c r="GN1" s="573"/>
      <c r="GO1" s="573"/>
      <c r="GP1" s="573"/>
      <c r="GQ1" s="573"/>
      <c r="GR1" s="573"/>
      <c r="GS1" s="573"/>
      <c r="GT1" s="573"/>
      <c r="GU1" s="573"/>
      <c r="GV1" s="573"/>
      <c r="GW1" s="573"/>
      <c r="GX1" s="573"/>
      <c r="GY1" s="573"/>
      <c r="GZ1" s="573"/>
      <c r="HA1" s="573"/>
      <c r="HB1" s="573"/>
      <c r="HC1" s="573"/>
      <c r="HD1" s="573"/>
      <c r="HE1" s="573"/>
      <c r="HF1" s="573"/>
      <c r="HG1" s="573"/>
      <c r="HH1" s="573"/>
      <c r="HI1" s="573"/>
      <c r="HJ1" s="573"/>
      <c r="HK1" s="573"/>
      <c r="HL1" s="573"/>
      <c r="HM1" s="573"/>
      <c r="HN1" s="573"/>
      <c r="HO1" s="573"/>
      <c r="HP1" s="573"/>
      <c r="HQ1" s="573"/>
      <c r="HR1" s="573"/>
      <c r="HS1" s="573"/>
      <c r="HT1" s="573"/>
      <c r="HU1" s="573"/>
      <c r="HV1" s="573"/>
      <c r="HW1" s="573"/>
      <c r="HX1" s="573"/>
      <c r="HY1" s="573"/>
      <c r="HZ1" s="573"/>
      <c r="IA1" s="573"/>
      <c r="IB1" s="573"/>
      <c r="IC1" s="573"/>
      <c r="ID1" s="573"/>
      <c r="IE1" s="573"/>
      <c r="IF1" s="573"/>
      <c r="IG1" s="573"/>
      <c r="IH1" s="573"/>
      <c r="II1" s="573"/>
      <c r="IJ1" s="573"/>
      <c r="IK1" s="573"/>
      <c r="IL1" s="573"/>
      <c r="IM1" s="573"/>
      <c r="IN1" s="573"/>
      <c r="IO1" s="573"/>
      <c r="IP1" s="573"/>
      <c r="IQ1" s="573"/>
      <c r="IR1" s="573"/>
      <c r="IS1" s="573"/>
      <c r="IT1" s="573"/>
      <c r="IU1" s="573"/>
      <c r="IV1" s="573"/>
      <c r="IW1" s="573"/>
      <c r="IX1" s="573"/>
      <c r="IY1" s="573"/>
      <c r="IZ1" s="573"/>
      <c r="JA1" s="573"/>
      <c r="JB1" s="573"/>
      <c r="JC1" s="573"/>
      <c r="JD1" s="573"/>
      <c r="JE1" s="573"/>
      <c r="JF1" s="573"/>
      <c r="JG1" s="573"/>
      <c r="JH1" s="573"/>
      <c r="JI1" s="573"/>
      <c r="JJ1" s="573"/>
      <c r="JK1" s="573"/>
      <c r="JL1" s="573"/>
      <c r="JM1" s="573"/>
      <c r="JN1" s="573"/>
      <c r="JO1" s="573"/>
      <c r="JP1" s="573"/>
      <c r="JQ1" s="573"/>
      <c r="JR1" s="573"/>
      <c r="JS1" s="573"/>
      <c r="JT1" s="573"/>
      <c r="JU1" s="573"/>
      <c r="JV1" s="573"/>
      <c r="JW1" s="573"/>
      <c r="JX1" s="573"/>
      <c r="JY1" s="573"/>
      <c r="JZ1" s="573"/>
      <c r="KA1" s="573"/>
      <c r="KB1" s="573"/>
      <c r="KC1" s="573"/>
      <c r="KD1" s="573"/>
      <c r="KE1" s="573"/>
      <c r="KF1" s="573"/>
      <c r="KG1" s="573"/>
      <c r="KH1" s="573"/>
      <c r="KI1" s="573"/>
      <c r="KJ1" s="573"/>
      <c r="KK1" s="573"/>
      <c r="KL1" s="573"/>
      <c r="KM1" s="573"/>
      <c r="KN1" s="573"/>
      <c r="KO1" s="573"/>
      <c r="KP1" s="573"/>
      <c r="KQ1" s="573"/>
      <c r="KR1" s="573"/>
      <c r="KS1" s="573"/>
      <c r="KT1" s="573"/>
      <c r="KU1" s="573"/>
      <c r="KV1" s="573"/>
      <c r="KW1" s="573"/>
      <c r="KX1" s="573"/>
      <c r="KY1" s="573"/>
      <c r="KZ1" s="573"/>
      <c r="LA1" s="573"/>
      <c r="LB1" s="573"/>
      <c r="LC1" s="573"/>
      <c r="LD1" s="573"/>
      <c r="LE1" s="573"/>
      <c r="LF1" s="573"/>
      <c r="LG1" s="573"/>
      <c r="LH1" s="573"/>
      <c r="LI1" s="573"/>
      <c r="LJ1" s="573"/>
      <c r="LK1" s="573"/>
      <c r="LL1" s="573"/>
      <c r="LM1" s="573"/>
      <c r="LN1" s="573"/>
      <c r="LO1" s="573"/>
      <c r="LP1" s="573"/>
      <c r="LQ1" s="573"/>
      <c r="LR1" s="573"/>
      <c r="LS1" s="573"/>
      <c r="LT1" s="573"/>
      <c r="LU1" s="573"/>
      <c r="LV1" s="573"/>
      <c r="LW1" s="573"/>
      <c r="LX1" s="573"/>
      <c r="LY1" s="573"/>
      <c r="LZ1" s="573"/>
      <c r="MA1" s="573"/>
      <c r="MB1" s="573"/>
      <c r="MC1" s="573"/>
      <c r="MD1" s="573"/>
      <c r="ME1" s="573"/>
      <c r="MF1" s="573"/>
      <c r="MG1" s="573"/>
      <c r="MH1" s="573"/>
      <c r="MI1" s="573"/>
      <c r="MJ1" s="573"/>
      <c r="MK1" s="573"/>
      <c r="ML1" s="573"/>
      <c r="MM1" s="573"/>
      <c r="MN1" s="573"/>
      <c r="MO1" s="573"/>
      <c r="MP1" s="573"/>
      <c r="MQ1" s="573"/>
      <c r="MR1" s="573"/>
      <c r="MS1" s="573"/>
      <c r="MT1" s="573"/>
      <c r="MU1" s="573"/>
      <c r="MV1" s="573"/>
      <c r="MW1" s="573"/>
      <c r="MX1" s="573"/>
      <c r="MY1" s="573"/>
      <c r="MZ1" s="573"/>
      <c r="NA1" s="573"/>
      <c r="NB1" s="573"/>
      <c r="NC1" s="573"/>
      <c r="ND1" s="573"/>
      <c r="NE1" s="573"/>
      <c r="NF1" s="573"/>
      <c r="NG1" s="573"/>
      <c r="NH1" s="573"/>
      <c r="NI1" s="573"/>
      <c r="NJ1" s="573"/>
      <c r="NK1" s="573"/>
      <c r="NL1" s="573"/>
      <c r="NM1" s="573"/>
      <c r="NN1" s="573"/>
      <c r="NO1" s="573"/>
      <c r="NP1" s="573"/>
      <c r="NQ1" s="573"/>
      <c r="NR1" s="573"/>
      <c r="NS1" s="573"/>
      <c r="NT1" s="573"/>
      <c r="NU1" s="573"/>
      <c r="NV1" s="573"/>
      <c r="NW1" s="573"/>
      <c r="NX1" s="573"/>
      <c r="NY1" s="573"/>
      <c r="NZ1" s="573"/>
      <c r="OA1" s="573"/>
      <c r="OB1" s="573"/>
      <c r="OC1" s="573"/>
      <c r="OD1" s="573"/>
      <c r="OE1" s="573"/>
      <c r="OF1" s="573"/>
      <c r="OG1" s="573"/>
      <c r="OH1" s="573"/>
      <c r="OI1" s="573"/>
      <c r="OJ1" s="574"/>
    </row>
    <row r="2" spans="1:400" x14ac:dyDescent="0.2">
      <c r="A2" s="50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10"/>
    </row>
    <row r="3" spans="1:400" x14ac:dyDescent="0.2">
      <c r="A3" s="50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10"/>
    </row>
    <row r="4" spans="1:400" x14ac:dyDescent="0.2">
      <c r="A4" s="50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10"/>
    </row>
    <row r="5" spans="1:400" x14ac:dyDescent="0.2">
      <c r="A5" s="50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10"/>
    </row>
    <row r="6" spans="1:400" x14ac:dyDescent="0.2">
      <c r="A6" s="50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10"/>
    </row>
    <row r="7" spans="1:400" x14ac:dyDescent="0.2">
      <c r="A7" s="5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10"/>
    </row>
    <row r="8" spans="1:400" x14ac:dyDescent="0.2">
      <c r="A8" s="50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10"/>
    </row>
    <row r="9" spans="1:400" x14ac:dyDescent="0.2">
      <c r="A9" s="50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10"/>
    </row>
    <row r="10" spans="1:400" x14ac:dyDescent="0.2">
      <c r="A10" s="50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10"/>
    </row>
    <row r="11" spans="1:400" x14ac:dyDescent="0.2">
      <c r="A11" s="50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10"/>
    </row>
    <row r="12" spans="1:400" x14ac:dyDescent="0.2">
      <c r="A12" s="50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10"/>
    </row>
    <row r="13" spans="1:400" x14ac:dyDescent="0.2">
      <c r="A13" s="50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10"/>
    </row>
    <row r="14" spans="1:400" x14ac:dyDescent="0.2">
      <c r="A14" s="50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10"/>
    </row>
    <row r="15" spans="1:400" x14ac:dyDescent="0.2">
      <c r="A15" s="50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10"/>
    </row>
    <row r="16" spans="1:400" x14ac:dyDescent="0.2">
      <c r="A16" s="50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10"/>
    </row>
    <row r="17" spans="1:400" x14ac:dyDescent="0.2">
      <c r="A17" s="50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10"/>
    </row>
    <row r="18" spans="1:400" x14ac:dyDescent="0.2">
      <c r="A18" s="50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10"/>
    </row>
    <row r="19" spans="1:400" x14ac:dyDescent="0.2">
      <c r="A19" s="50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10"/>
    </row>
    <row r="20" spans="1:400" x14ac:dyDescent="0.2">
      <c r="A20" s="50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10"/>
    </row>
    <row r="21" spans="1:400" x14ac:dyDescent="0.2">
      <c r="A21" s="5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10"/>
    </row>
    <row r="22" spans="1:400" x14ac:dyDescent="0.2">
      <c r="A22" s="50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10"/>
    </row>
    <row r="23" spans="1:400" x14ac:dyDescent="0.2">
      <c r="A23" s="5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10"/>
    </row>
    <row r="24" spans="1:400" x14ac:dyDescent="0.2">
      <c r="A24" s="5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10"/>
    </row>
    <row r="25" spans="1:400" x14ac:dyDescent="0.2">
      <c r="A25" s="5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10"/>
    </row>
    <row r="26" spans="1:400" x14ac:dyDescent="0.2">
      <c r="A26" s="50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10"/>
    </row>
    <row r="27" spans="1:400" x14ac:dyDescent="0.2">
      <c r="A27" s="50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10"/>
    </row>
    <row r="28" spans="1:400" x14ac:dyDescent="0.2">
      <c r="A28" s="50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10"/>
    </row>
    <row r="29" spans="1:400" x14ac:dyDescent="0.2">
      <c r="A29" s="50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10"/>
    </row>
    <row r="30" spans="1:400" x14ac:dyDescent="0.2">
      <c r="A30" s="50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10"/>
    </row>
    <row r="31" spans="1:400" x14ac:dyDescent="0.2">
      <c r="A31" s="50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10"/>
    </row>
    <row r="32" spans="1:400" x14ac:dyDescent="0.2">
      <c r="A32" s="50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10"/>
    </row>
    <row r="33" spans="1:400" x14ac:dyDescent="0.2">
      <c r="A33" s="50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10"/>
    </row>
    <row r="34" spans="1:400" x14ac:dyDescent="0.2">
      <c r="A34" s="50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10"/>
    </row>
    <row r="35" spans="1:400" x14ac:dyDescent="0.2">
      <c r="A35" s="50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10"/>
    </row>
    <row r="36" spans="1:400" x14ac:dyDescent="0.2">
      <c r="A36" s="50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10"/>
    </row>
    <row r="37" spans="1:400" x14ac:dyDescent="0.2">
      <c r="A37" s="50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10"/>
    </row>
    <row r="38" spans="1:400" x14ac:dyDescent="0.2">
      <c r="A38" s="50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10"/>
    </row>
    <row r="39" spans="1:400" x14ac:dyDescent="0.2">
      <c r="A39" s="50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10"/>
    </row>
    <row r="40" spans="1:400" x14ac:dyDescent="0.2">
      <c r="A40" s="50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10"/>
    </row>
    <row r="41" spans="1:400" x14ac:dyDescent="0.2">
      <c r="A41" s="50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10"/>
    </row>
    <row r="42" spans="1:400" x14ac:dyDescent="0.2">
      <c r="A42" s="50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10"/>
    </row>
    <row r="43" spans="1:400" x14ac:dyDescent="0.2">
      <c r="A43" s="50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10"/>
    </row>
    <row r="44" spans="1:400" x14ac:dyDescent="0.2">
      <c r="A44" s="50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10"/>
    </row>
    <row r="45" spans="1:400" x14ac:dyDescent="0.2">
      <c r="A45" s="50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10"/>
    </row>
    <row r="46" spans="1:400" x14ac:dyDescent="0.2">
      <c r="A46" s="50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10"/>
    </row>
    <row r="47" spans="1:400" x14ac:dyDescent="0.2">
      <c r="A47" s="5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10"/>
    </row>
    <row r="48" spans="1:400" x14ac:dyDescent="0.2">
      <c r="A48" s="5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10"/>
    </row>
    <row r="49" spans="1:400" x14ac:dyDescent="0.2">
      <c r="A49" s="50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10"/>
    </row>
    <row r="50" spans="1:400" x14ac:dyDescent="0.2">
      <c r="A50" s="5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10"/>
    </row>
    <row r="51" spans="1:400" x14ac:dyDescent="0.2">
      <c r="A51" s="5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10"/>
    </row>
    <row r="52" spans="1:400" x14ac:dyDescent="0.2">
      <c r="A52" s="5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10"/>
    </row>
    <row r="53" spans="1:400" x14ac:dyDescent="0.2">
      <c r="A53" s="5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10"/>
    </row>
    <row r="54" spans="1:400" x14ac:dyDescent="0.2">
      <c r="A54" s="5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10"/>
    </row>
    <row r="55" spans="1:400" x14ac:dyDescent="0.2">
      <c r="A55" s="5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10"/>
    </row>
    <row r="56" spans="1:400" x14ac:dyDescent="0.2">
      <c r="A56" s="5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10"/>
    </row>
    <row r="57" spans="1:400" x14ac:dyDescent="0.2">
      <c r="A57" s="5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10"/>
    </row>
    <row r="58" spans="1:400" x14ac:dyDescent="0.2">
      <c r="A58" s="5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10"/>
    </row>
    <row r="59" spans="1:400" x14ac:dyDescent="0.2">
      <c r="A59" s="5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10"/>
    </row>
    <row r="60" spans="1:400" x14ac:dyDescent="0.2">
      <c r="A60" s="5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10"/>
    </row>
    <row r="61" spans="1:400" x14ac:dyDescent="0.2">
      <c r="A61" s="5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10"/>
    </row>
    <row r="62" spans="1:400" x14ac:dyDescent="0.2">
      <c r="A62" s="5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10"/>
    </row>
    <row r="63" spans="1:400" x14ac:dyDescent="0.2">
      <c r="A63" s="5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10"/>
    </row>
    <row r="64" spans="1:400" x14ac:dyDescent="0.2">
      <c r="A64" s="5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10"/>
    </row>
    <row r="65" spans="1:400" x14ac:dyDescent="0.2">
      <c r="A65" s="5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10"/>
    </row>
    <row r="66" spans="1:400" x14ac:dyDescent="0.2">
      <c r="A66" s="5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10"/>
    </row>
    <row r="67" spans="1:400" x14ac:dyDescent="0.2">
      <c r="A67" s="5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10"/>
    </row>
    <row r="68" spans="1:400" x14ac:dyDescent="0.2">
      <c r="A68" s="5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10"/>
    </row>
    <row r="69" spans="1:400" x14ac:dyDescent="0.2">
      <c r="A69" s="5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10"/>
    </row>
    <row r="70" spans="1:400" x14ac:dyDescent="0.2">
      <c r="A70" s="5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10"/>
    </row>
    <row r="71" spans="1:400" x14ac:dyDescent="0.2">
      <c r="A71" s="5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10"/>
    </row>
    <row r="72" spans="1:400" x14ac:dyDescent="0.2">
      <c r="A72" s="5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10"/>
    </row>
    <row r="73" spans="1:400" x14ac:dyDescent="0.2">
      <c r="A73" s="5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10"/>
    </row>
    <row r="74" spans="1:400" x14ac:dyDescent="0.2">
      <c r="A74" s="5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10"/>
    </row>
    <row r="75" spans="1:400" x14ac:dyDescent="0.2">
      <c r="A75" s="5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10"/>
    </row>
    <row r="76" spans="1:400" x14ac:dyDescent="0.2">
      <c r="A76" s="5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10"/>
    </row>
    <row r="77" spans="1:400" x14ac:dyDescent="0.2">
      <c r="A77" s="50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10"/>
    </row>
    <row r="78" spans="1:400" x14ac:dyDescent="0.2">
      <c r="A78" s="50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10"/>
    </row>
    <row r="79" spans="1:400" x14ac:dyDescent="0.2">
      <c r="A79" s="5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10"/>
    </row>
    <row r="80" spans="1:400" x14ac:dyDescent="0.2">
      <c r="A80" s="5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10"/>
    </row>
    <row r="81" spans="1:400" x14ac:dyDescent="0.2">
      <c r="A81" s="50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10"/>
    </row>
    <row r="82" spans="1:400" x14ac:dyDescent="0.2">
      <c r="A82" s="50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10"/>
    </row>
    <row r="83" spans="1:400" x14ac:dyDescent="0.2">
      <c r="A83" s="50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10"/>
    </row>
    <row r="84" spans="1:400" x14ac:dyDescent="0.2">
      <c r="A84" s="50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10"/>
    </row>
    <row r="85" spans="1:400" x14ac:dyDescent="0.2">
      <c r="A85" s="50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10"/>
    </row>
    <row r="86" spans="1:400" x14ac:dyDescent="0.2">
      <c r="A86" s="50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10"/>
    </row>
    <row r="87" spans="1:400" x14ac:dyDescent="0.2">
      <c r="A87" s="5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10"/>
    </row>
    <row r="88" spans="1:400" x14ac:dyDescent="0.2">
      <c r="A88" s="5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10"/>
    </row>
    <row r="89" spans="1:400" x14ac:dyDescent="0.2">
      <c r="A89" s="5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10"/>
    </row>
    <row r="90" spans="1:400" x14ac:dyDescent="0.2">
      <c r="A90" s="5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10"/>
    </row>
    <row r="91" spans="1:400" x14ac:dyDescent="0.2">
      <c r="A91" s="5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10"/>
    </row>
    <row r="92" spans="1:400" x14ac:dyDescent="0.2">
      <c r="A92" s="50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10"/>
    </row>
    <row r="93" spans="1:400" x14ac:dyDescent="0.2">
      <c r="A93" s="5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10"/>
    </row>
    <row r="94" spans="1:400" x14ac:dyDescent="0.2">
      <c r="A94" s="5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10"/>
    </row>
    <row r="95" spans="1:400" x14ac:dyDescent="0.2">
      <c r="A95" s="50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10"/>
    </row>
    <row r="96" spans="1:400" x14ac:dyDescent="0.2">
      <c r="A96" s="50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10"/>
    </row>
    <row r="97" spans="1:400" x14ac:dyDescent="0.2">
      <c r="A97" s="5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10"/>
    </row>
    <row r="98" spans="1:400" x14ac:dyDescent="0.2">
      <c r="A98" s="50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10"/>
    </row>
    <row r="99" spans="1:400" x14ac:dyDescent="0.2">
      <c r="A99" s="50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10"/>
    </row>
    <row r="100" spans="1:400" x14ac:dyDescent="0.2">
      <c r="A100" s="5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10"/>
    </row>
    <row r="101" spans="1:400" x14ac:dyDescent="0.2">
      <c r="A101" s="50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10"/>
    </row>
    <row r="102" spans="1:400" x14ac:dyDescent="0.2">
      <c r="A102" s="50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10"/>
    </row>
    <row r="103" spans="1:400" x14ac:dyDescent="0.2">
      <c r="A103" s="50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10"/>
    </row>
    <row r="104" spans="1:400" x14ac:dyDescent="0.2">
      <c r="A104" s="5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10"/>
    </row>
    <row r="105" spans="1:400" x14ac:dyDescent="0.2">
      <c r="A105" s="50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10"/>
    </row>
    <row r="106" spans="1:400" x14ac:dyDescent="0.2">
      <c r="A106" s="50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10"/>
    </row>
    <row r="107" spans="1:400" x14ac:dyDescent="0.2">
      <c r="A107" s="50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10"/>
    </row>
    <row r="108" spans="1:400" x14ac:dyDescent="0.2">
      <c r="A108" s="50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10"/>
    </row>
    <row r="109" spans="1:400" x14ac:dyDescent="0.2">
      <c r="A109" s="50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10"/>
    </row>
    <row r="110" spans="1:400" x14ac:dyDescent="0.2">
      <c r="A110" s="5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10"/>
    </row>
    <row r="111" spans="1:400" x14ac:dyDescent="0.2">
      <c r="A111" s="50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10"/>
    </row>
    <row r="112" spans="1:400" x14ac:dyDescent="0.2">
      <c r="A112" s="50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10"/>
    </row>
    <row r="113" spans="1:400" x14ac:dyDescent="0.2">
      <c r="A113" s="50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10"/>
    </row>
    <row r="114" spans="1:400" x14ac:dyDescent="0.2">
      <c r="A114" s="50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10"/>
    </row>
    <row r="115" spans="1:400" x14ac:dyDescent="0.2">
      <c r="A115" s="50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10"/>
    </row>
    <row r="116" spans="1:400" x14ac:dyDescent="0.2">
      <c r="A116" s="50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10"/>
    </row>
    <row r="117" spans="1:400" x14ac:dyDescent="0.2">
      <c r="A117" s="5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10"/>
    </row>
    <row r="118" spans="1:400" x14ac:dyDescent="0.2">
      <c r="A118" s="50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10"/>
    </row>
    <row r="119" spans="1:400" x14ac:dyDescent="0.2">
      <c r="A119" s="50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10"/>
    </row>
    <row r="120" spans="1:400" x14ac:dyDescent="0.2">
      <c r="A120" s="5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10"/>
    </row>
    <row r="121" spans="1:400" x14ac:dyDescent="0.2">
      <c r="A121" s="50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10"/>
    </row>
    <row r="122" spans="1:400" x14ac:dyDescent="0.2">
      <c r="A122" s="50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10"/>
    </row>
    <row r="123" spans="1:400" x14ac:dyDescent="0.2">
      <c r="A123" s="50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10"/>
    </row>
    <row r="124" spans="1:400" x14ac:dyDescent="0.2">
      <c r="A124" s="50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10"/>
    </row>
    <row r="125" spans="1:400" x14ac:dyDescent="0.2">
      <c r="A125" s="50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10"/>
    </row>
    <row r="126" spans="1:400" x14ac:dyDescent="0.2">
      <c r="A126" s="50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10"/>
    </row>
    <row r="127" spans="1:400" x14ac:dyDescent="0.2">
      <c r="A127" s="50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10"/>
    </row>
    <row r="128" spans="1:400" x14ac:dyDescent="0.2">
      <c r="A128" s="50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10"/>
    </row>
    <row r="129" spans="1:400" x14ac:dyDescent="0.2">
      <c r="A129" s="50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10"/>
    </row>
    <row r="130" spans="1:400" x14ac:dyDescent="0.2">
      <c r="A130" s="5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10"/>
    </row>
    <row r="131" spans="1:400" x14ac:dyDescent="0.2">
      <c r="A131" s="50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10"/>
    </row>
    <row r="132" spans="1:400" x14ac:dyDescent="0.2">
      <c r="A132" s="50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10"/>
    </row>
    <row r="133" spans="1:400" x14ac:dyDescent="0.2">
      <c r="A133" s="50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10"/>
    </row>
    <row r="134" spans="1:400" x14ac:dyDescent="0.2">
      <c r="A134" s="50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10"/>
    </row>
    <row r="135" spans="1:400" x14ac:dyDescent="0.2">
      <c r="A135" s="50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10"/>
    </row>
    <row r="136" spans="1:400" x14ac:dyDescent="0.2">
      <c r="A136" s="5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10"/>
    </row>
    <row r="137" spans="1:400" x14ac:dyDescent="0.2">
      <c r="A137" s="50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10"/>
    </row>
    <row r="138" spans="1:400" x14ac:dyDescent="0.2">
      <c r="A138" s="50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10"/>
    </row>
    <row r="139" spans="1:400" x14ac:dyDescent="0.2">
      <c r="A139" s="50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10"/>
    </row>
    <row r="140" spans="1:400" x14ac:dyDescent="0.2">
      <c r="A140" s="5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10"/>
    </row>
    <row r="141" spans="1:400" x14ac:dyDescent="0.2">
      <c r="A141" s="50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10"/>
    </row>
    <row r="142" spans="1:400" x14ac:dyDescent="0.2">
      <c r="A142" s="50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10"/>
    </row>
    <row r="143" spans="1:400" x14ac:dyDescent="0.2">
      <c r="A143" s="50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10"/>
    </row>
    <row r="144" spans="1:400" x14ac:dyDescent="0.2">
      <c r="A144" s="50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10"/>
    </row>
    <row r="145" spans="1:400" x14ac:dyDescent="0.2">
      <c r="A145" s="50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10"/>
    </row>
    <row r="146" spans="1:400" x14ac:dyDescent="0.2">
      <c r="A146" s="5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10"/>
    </row>
    <row r="147" spans="1:400" x14ac:dyDescent="0.2">
      <c r="A147" s="5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10"/>
    </row>
    <row r="148" spans="1:400" x14ac:dyDescent="0.2">
      <c r="A148" s="50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10"/>
    </row>
    <row r="149" spans="1:400" x14ac:dyDescent="0.2">
      <c r="A149" s="50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10"/>
    </row>
    <row r="150" spans="1:400" x14ac:dyDescent="0.2">
      <c r="A150" s="5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10"/>
    </row>
    <row r="151" spans="1:400" x14ac:dyDescent="0.2">
      <c r="A151" s="5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10"/>
    </row>
    <row r="152" spans="1:400" x14ac:dyDescent="0.2">
      <c r="A152" s="50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10"/>
    </row>
    <row r="153" spans="1:400" x14ac:dyDescent="0.2">
      <c r="A153" s="5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10"/>
    </row>
    <row r="154" spans="1:400" x14ac:dyDescent="0.2">
      <c r="A154" s="5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10"/>
    </row>
    <row r="155" spans="1:400" x14ac:dyDescent="0.2">
      <c r="A155" s="5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10"/>
    </row>
    <row r="156" spans="1:400" x14ac:dyDescent="0.2">
      <c r="A156" s="5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10"/>
    </row>
    <row r="157" spans="1:400" x14ac:dyDescent="0.2">
      <c r="A157" s="5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10"/>
    </row>
    <row r="158" spans="1:400" x14ac:dyDescent="0.2">
      <c r="A158" s="5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10"/>
    </row>
    <row r="159" spans="1:400" x14ac:dyDescent="0.2">
      <c r="A159" s="5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10"/>
    </row>
    <row r="160" spans="1:400" x14ac:dyDescent="0.2">
      <c r="A160" s="5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10"/>
    </row>
    <row r="161" spans="1:400" x14ac:dyDescent="0.2">
      <c r="A161" s="5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10"/>
    </row>
    <row r="162" spans="1:400" x14ac:dyDescent="0.2">
      <c r="A162" s="50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10"/>
    </row>
    <row r="163" spans="1:400" x14ac:dyDescent="0.2">
      <c r="A163" s="50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10"/>
    </row>
    <row r="164" spans="1:400" x14ac:dyDescent="0.2">
      <c r="A164" s="50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10"/>
    </row>
    <row r="165" spans="1:400" x14ac:dyDescent="0.2">
      <c r="A165" s="50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10"/>
    </row>
    <row r="166" spans="1:400" x14ac:dyDescent="0.2">
      <c r="A166" s="5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10"/>
    </row>
    <row r="167" spans="1:400" x14ac:dyDescent="0.2">
      <c r="A167" s="50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10"/>
    </row>
    <row r="168" spans="1:400" x14ac:dyDescent="0.2">
      <c r="A168" s="50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10"/>
    </row>
    <row r="169" spans="1:400" x14ac:dyDescent="0.2">
      <c r="A169" s="50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10"/>
    </row>
    <row r="170" spans="1:400" x14ac:dyDescent="0.2">
      <c r="A170" s="5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10"/>
    </row>
    <row r="171" spans="1:400" x14ac:dyDescent="0.2">
      <c r="A171" s="50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10"/>
    </row>
    <row r="172" spans="1:400" x14ac:dyDescent="0.2">
      <c r="A172" s="50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10"/>
    </row>
    <row r="173" spans="1:400" x14ac:dyDescent="0.2">
      <c r="A173" s="50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10"/>
    </row>
    <row r="174" spans="1:400" x14ac:dyDescent="0.2">
      <c r="A174" s="50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10"/>
    </row>
    <row r="175" spans="1:400" x14ac:dyDescent="0.2">
      <c r="A175" s="50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10"/>
    </row>
    <row r="176" spans="1:400" x14ac:dyDescent="0.2">
      <c r="A176" s="50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10"/>
    </row>
    <row r="177" spans="1:400" x14ac:dyDescent="0.2">
      <c r="A177" s="50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10"/>
    </row>
    <row r="178" spans="1:400" x14ac:dyDescent="0.2">
      <c r="A178" s="50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10"/>
    </row>
    <row r="179" spans="1:400" x14ac:dyDescent="0.2">
      <c r="A179" s="50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10"/>
    </row>
    <row r="180" spans="1:400" x14ac:dyDescent="0.2">
      <c r="A180" s="5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10"/>
    </row>
    <row r="181" spans="1:400" x14ac:dyDescent="0.2">
      <c r="A181" s="50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10"/>
    </row>
    <row r="182" spans="1:400" x14ac:dyDescent="0.2">
      <c r="A182" s="50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10"/>
    </row>
    <row r="183" spans="1:400" x14ac:dyDescent="0.2">
      <c r="A183" s="50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10"/>
    </row>
    <row r="184" spans="1:400" x14ac:dyDescent="0.2">
      <c r="A184" s="50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10"/>
    </row>
    <row r="185" spans="1:400" x14ac:dyDescent="0.2">
      <c r="A185" s="50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10"/>
    </row>
    <row r="186" spans="1:400" x14ac:dyDescent="0.2">
      <c r="A186" s="50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10"/>
    </row>
    <row r="187" spans="1:400" x14ac:dyDescent="0.2">
      <c r="A187" s="50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10"/>
    </row>
    <row r="188" spans="1:400" x14ac:dyDescent="0.2">
      <c r="A188" s="50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10"/>
    </row>
    <row r="189" spans="1:400" x14ac:dyDescent="0.2">
      <c r="A189" s="50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10"/>
    </row>
    <row r="190" spans="1:400" x14ac:dyDescent="0.2">
      <c r="A190" s="5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10"/>
    </row>
    <row r="191" spans="1:400" x14ac:dyDescent="0.2">
      <c r="A191" s="50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10"/>
    </row>
    <row r="192" spans="1:400" x14ac:dyDescent="0.2">
      <c r="A192" s="50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10"/>
    </row>
    <row r="193" spans="1:400" x14ac:dyDescent="0.2">
      <c r="A193" s="50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10"/>
    </row>
    <row r="194" spans="1:400" x14ac:dyDescent="0.2">
      <c r="A194" s="50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10"/>
    </row>
    <row r="195" spans="1:400" x14ac:dyDescent="0.2">
      <c r="A195" s="50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10"/>
    </row>
    <row r="196" spans="1:400" x14ac:dyDescent="0.2">
      <c r="A196" s="50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10"/>
    </row>
    <row r="197" spans="1:400" x14ac:dyDescent="0.2">
      <c r="A197" s="50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10"/>
    </row>
    <row r="198" spans="1:400" x14ac:dyDescent="0.2">
      <c r="A198" s="50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10"/>
    </row>
    <row r="199" spans="1:400" x14ac:dyDescent="0.2">
      <c r="A199" s="50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10"/>
    </row>
    <row r="200" spans="1:400" x14ac:dyDescent="0.2">
      <c r="A200" s="5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10"/>
    </row>
    <row r="201" spans="1:400" x14ac:dyDescent="0.2">
      <c r="A201" s="50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10"/>
    </row>
    <row r="202" spans="1:400" x14ac:dyDescent="0.2">
      <c r="A202" s="50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10"/>
    </row>
    <row r="203" spans="1:400" x14ac:dyDescent="0.2">
      <c r="A203" s="50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10"/>
    </row>
    <row r="204" spans="1:400" x14ac:dyDescent="0.2">
      <c r="A204" s="50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10"/>
    </row>
    <row r="205" spans="1:400" x14ac:dyDescent="0.2">
      <c r="A205" s="5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10"/>
    </row>
    <row r="206" spans="1:400" x14ac:dyDescent="0.2">
      <c r="A206" s="5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10"/>
    </row>
    <row r="207" spans="1:400" x14ac:dyDescent="0.2">
      <c r="A207" s="50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10"/>
    </row>
    <row r="208" spans="1:400" x14ac:dyDescent="0.2">
      <c r="A208" s="5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10"/>
    </row>
    <row r="209" spans="1:400" x14ac:dyDescent="0.2">
      <c r="A209" s="50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10"/>
    </row>
    <row r="210" spans="1:400" x14ac:dyDescent="0.2">
      <c r="A210" s="5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10"/>
    </row>
    <row r="211" spans="1:400" x14ac:dyDescent="0.2">
      <c r="A211" s="50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10"/>
    </row>
    <row r="212" spans="1:400" x14ac:dyDescent="0.2">
      <c r="A212" s="50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10"/>
    </row>
    <row r="213" spans="1:400" x14ac:dyDescent="0.2">
      <c r="A213" s="50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10"/>
    </row>
    <row r="214" spans="1:400" x14ac:dyDescent="0.2">
      <c r="A214" s="50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10"/>
    </row>
    <row r="215" spans="1:400" x14ac:dyDescent="0.2">
      <c r="A215" s="50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10"/>
    </row>
    <row r="216" spans="1:400" x14ac:dyDescent="0.2">
      <c r="A216" s="50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10"/>
    </row>
    <row r="217" spans="1:400" x14ac:dyDescent="0.2">
      <c r="A217" s="50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10"/>
    </row>
    <row r="218" spans="1:400" x14ac:dyDescent="0.2">
      <c r="A218" s="50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10"/>
    </row>
    <row r="219" spans="1:400" x14ac:dyDescent="0.2">
      <c r="A219" s="50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10"/>
    </row>
    <row r="220" spans="1:400" x14ac:dyDescent="0.2">
      <c r="A220" s="5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10"/>
    </row>
    <row r="221" spans="1:400" x14ac:dyDescent="0.2">
      <c r="A221" s="50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10"/>
    </row>
    <row r="222" spans="1:400" x14ac:dyDescent="0.2">
      <c r="A222" s="50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10"/>
    </row>
    <row r="223" spans="1:400" x14ac:dyDescent="0.2">
      <c r="A223" s="50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10"/>
    </row>
    <row r="224" spans="1:400" x14ac:dyDescent="0.2">
      <c r="A224" s="50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10"/>
    </row>
    <row r="225" spans="1:400" x14ac:dyDescent="0.2">
      <c r="A225" s="50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10"/>
    </row>
    <row r="226" spans="1:400" x14ac:dyDescent="0.2">
      <c r="A226" s="50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10"/>
    </row>
    <row r="227" spans="1:400" x14ac:dyDescent="0.2">
      <c r="A227" s="50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10"/>
    </row>
    <row r="228" spans="1:400" x14ac:dyDescent="0.2">
      <c r="A228" s="50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10"/>
    </row>
    <row r="229" spans="1:400" x14ac:dyDescent="0.2">
      <c r="A229" s="50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10"/>
    </row>
    <row r="230" spans="1:400" x14ac:dyDescent="0.2">
      <c r="A230" s="5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10"/>
    </row>
    <row r="231" spans="1:400" x14ac:dyDescent="0.2">
      <c r="A231" s="50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10"/>
    </row>
    <row r="232" spans="1:400" x14ac:dyDescent="0.2">
      <c r="A232" s="50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10"/>
    </row>
    <row r="233" spans="1:400" x14ac:dyDescent="0.2">
      <c r="A233" s="50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10"/>
    </row>
    <row r="234" spans="1:400" x14ac:dyDescent="0.2">
      <c r="A234" s="50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10"/>
    </row>
    <row r="235" spans="1:400" x14ac:dyDescent="0.2">
      <c r="A235" s="50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10"/>
    </row>
    <row r="236" spans="1:400" x14ac:dyDescent="0.2">
      <c r="A236" s="50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10"/>
    </row>
    <row r="237" spans="1:400" x14ac:dyDescent="0.2">
      <c r="A237" s="50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10"/>
    </row>
    <row r="238" spans="1:400" x14ac:dyDescent="0.2">
      <c r="A238" s="50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10"/>
    </row>
    <row r="239" spans="1:400" x14ac:dyDescent="0.2">
      <c r="A239" s="50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10"/>
    </row>
    <row r="240" spans="1:400" x14ac:dyDescent="0.2">
      <c r="A240" s="5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10"/>
    </row>
    <row r="241" spans="1:400" x14ac:dyDescent="0.2">
      <c r="A241" s="50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10"/>
    </row>
    <row r="242" spans="1:400" x14ac:dyDescent="0.2">
      <c r="A242" s="50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10"/>
    </row>
    <row r="243" spans="1:400" x14ac:dyDescent="0.2">
      <c r="A243" s="50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10"/>
    </row>
    <row r="244" spans="1:400" x14ac:dyDescent="0.2">
      <c r="A244" s="50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10"/>
    </row>
    <row r="245" spans="1:400" x14ac:dyDescent="0.2">
      <c r="A245" s="50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10"/>
    </row>
    <row r="246" spans="1:400" x14ac:dyDescent="0.2">
      <c r="A246" s="50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10"/>
    </row>
    <row r="247" spans="1:400" x14ac:dyDescent="0.2">
      <c r="A247" s="50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10"/>
    </row>
    <row r="248" spans="1:400" x14ac:dyDescent="0.2">
      <c r="A248" s="50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10"/>
    </row>
    <row r="249" spans="1:400" x14ac:dyDescent="0.2">
      <c r="A249" s="50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10"/>
    </row>
    <row r="250" spans="1:400" x14ac:dyDescent="0.2">
      <c r="A250" s="5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10"/>
    </row>
    <row r="251" spans="1:400" x14ac:dyDescent="0.2">
      <c r="A251" s="50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10"/>
    </row>
    <row r="252" spans="1:400" x14ac:dyDescent="0.2">
      <c r="A252" s="50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10"/>
    </row>
    <row r="253" spans="1:400" x14ac:dyDescent="0.2">
      <c r="A253" s="50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10"/>
    </row>
    <row r="254" spans="1:400" x14ac:dyDescent="0.2">
      <c r="A254" s="50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10"/>
    </row>
    <row r="255" spans="1:400" x14ac:dyDescent="0.2">
      <c r="A255" s="50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10"/>
    </row>
    <row r="256" spans="1:400" x14ac:dyDescent="0.2">
      <c r="A256" s="50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10"/>
    </row>
    <row r="257" spans="1:400" x14ac:dyDescent="0.2">
      <c r="A257" s="50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10"/>
    </row>
    <row r="258" spans="1:400" x14ac:dyDescent="0.2">
      <c r="A258" s="50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10"/>
    </row>
    <row r="259" spans="1:400" x14ac:dyDescent="0.2">
      <c r="A259" s="50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10"/>
    </row>
    <row r="260" spans="1:400" x14ac:dyDescent="0.2">
      <c r="A260" s="5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10"/>
    </row>
    <row r="261" spans="1:400" x14ac:dyDescent="0.2">
      <c r="A261" s="50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10"/>
    </row>
    <row r="262" spans="1:400" x14ac:dyDescent="0.2">
      <c r="A262" s="50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10"/>
    </row>
    <row r="263" spans="1:400" x14ac:dyDescent="0.2">
      <c r="A263" s="50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10"/>
    </row>
    <row r="264" spans="1:400" x14ac:dyDescent="0.2">
      <c r="A264" s="50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10"/>
    </row>
    <row r="265" spans="1:400" x14ac:dyDescent="0.2">
      <c r="A265" s="50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10"/>
    </row>
    <row r="266" spans="1:400" x14ac:dyDescent="0.2">
      <c r="A266" s="50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10"/>
    </row>
    <row r="267" spans="1:400" x14ac:dyDescent="0.2">
      <c r="A267" s="50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10"/>
    </row>
    <row r="268" spans="1:400" x14ac:dyDescent="0.2">
      <c r="A268" s="50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10"/>
    </row>
    <row r="269" spans="1:400" x14ac:dyDescent="0.2">
      <c r="A269" s="50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10"/>
    </row>
    <row r="270" spans="1:400" x14ac:dyDescent="0.2">
      <c r="A270" s="5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10"/>
    </row>
    <row r="271" spans="1:400" x14ac:dyDescent="0.2">
      <c r="A271" s="50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10"/>
    </row>
    <row r="272" spans="1:400" x14ac:dyDescent="0.2">
      <c r="A272" s="50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10"/>
    </row>
    <row r="273" spans="1:400" x14ac:dyDescent="0.2">
      <c r="A273" s="50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10"/>
    </row>
    <row r="274" spans="1:400" x14ac:dyDescent="0.2">
      <c r="A274" s="50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10"/>
    </row>
    <row r="275" spans="1:400" x14ac:dyDescent="0.2">
      <c r="A275" s="50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10"/>
    </row>
    <row r="276" spans="1:400" x14ac:dyDescent="0.2">
      <c r="A276" s="50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10"/>
    </row>
    <row r="277" spans="1:400" x14ac:dyDescent="0.2">
      <c r="A277" s="50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10"/>
    </row>
    <row r="278" spans="1:400" x14ac:dyDescent="0.2">
      <c r="A278" s="50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10"/>
    </row>
    <row r="279" spans="1:400" x14ac:dyDescent="0.2">
      <c r="A279" s="50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10"/>
    </row>
    <row r="280" spans="1:400" x14ac:dyDescent="0.2">
      <c r="A280" s="5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10"/>
    </row>
    <row r="281" spans="1:400" x14ac:dyDescent="0.2">
      <c r="A281" s="50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10"/>
    </row>
    <row r="282" spans="1:400" x14ac:dyDescent="0.2">
      <c r="A282" s="50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10"/>
    </row>
    <row r="283" spans="1:400" x14ac:dyDescent="0.2">
      <c r="A283" s="50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10"/>
    </row>
    <row r="284" spans="1:400" x14ac:dyDescent="0.2">
      <c r="A284" s="50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10"/>
    </row>
    <row r="285" spans="1:400" x14ac:dyDescent="0.2">
      <c r="A285" s="50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10"/>
    </row>
    <row r="286" spans="1:400" x14ac:dyDescent="0.2">
      <c r="A286" s="50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10"/>
    </row>
    <row r="287" spans="1:400" x14ac:dyDescent="0.2">
      <c r="A287" s="50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10"/>
    </row>
    <row r="288" spans="1:400" x14ac:dyDescent="0.2">
      <c r="A288" s="50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10"/>
    </row>
    <row r="289" spans="1:400" x14ac:dyDescent="0.2">
      <c r="A289" s="50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10"/>
    </row>
    <row r="290" spans="1:400" x14ac:dyDescent="0.2">
      <c r="A290" s="5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10"/>
    </row>
    <row r="291" spans="1:400" x14ac:dyDescent="0.2">
      <c r="A291" s="50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10"/>
    </row>
    <row r="292" spans="1:400" x14ac:dyDescent="0.2">
      <c r="A292" s="50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10"/>
    </row>
    <row r="293" spans="1:400" x14ac:dyDescent="0.2">
      <c r="A293" s="50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10"/>
    </row>
    <row r="294" spans="1:400" x14ac:dyDescent="0.2">
      <c r="A294" s="50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10"/>
    </row>
    <row r="295" spans="1:400" x14ac:dyDescent="0.2">
      <c r="A295" s="50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10"/>
    </row>
    <row r="296" spans="1:400" x14ac:dyDescent="0.2">
      <c r="A296" s="50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10"/>
    </row>
    <row r="297" spans="1:400" x14ac:dyDescent="0.2">
      <c r="A297" s="50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10"/>
    </row>
    <row r="298" spans="1:400" x14ac:dyDescent="0.2">
      <c r="A298" s="5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10"/>
    </row>
    <row r="299" spans="1:400" x14ac:dyDescent="0.2">
      <c r="A299" s="5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10"/>
    </row>
    <row r="300" spans="1:400" x14ac:dyDescent="0.2">
      <c r="A300" s="5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10"/>
    </row>
    <row r="301" spans="1:400" x14ac:dyDescent="0.2">
      <c r="A301" s="5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10"/>
    </row>
    <row r="302" spans="1:400" x14ac:dyDescent="0.2">
      <c r="A302" s="5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10"/>
    </row>
    <row r="303" spans="1:400" x14ac:dyDescent="0.2">
      <c r="A303" s="5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10"/>
    </row>
    <row r="304" spans="1:400" x14ac:dyDescent="0.2">
      <c r="A304" s="5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10"/>
    </row>
    <row r="305" spans="1:400" x14ac:dyDescent="0.2">
      <c r="A305" s="5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10"/>
    </row>
    <row r="306" spans="1:400" x14ac:dyDescent="0.2">
      <c r="A306" s="5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10"/>
    </row>
    <row r="307" spans="1:400" x14ac:dyDescent="0.2">
      <c r="A307" s="5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10"/>
    </row>
    <row r="308" spans="1:400" x14ac:dyDescent="0.2">
      <c r="A308" s="5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10"/>
    </row>
    <row r="309" spans="1:400" x14ac:dyDescent="0.2">
      <c r="A309" s="5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10"/>
    </row>
    <row r="310" spans="1:400" x14ac:dyDescent="0.2">
      <c r="A310" s="5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10"/>
    </row>
    <row r="311" spans="1:400" x14ac:dyDescent="0.2">
      <c r="A311" s="5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10"/>
    </row>
    <row r="312" spans="1:400" x14ac:dyDescent="0.2">
      <c r="A312" s="5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10"/>
    </row>
    <row r="313" spans="1:400" x14ac:dyDescent="0.2">
      <c r="A313" s="5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10"/>
    </row>
    <row r="314" spans="1:400" x14ac:dyDescent="0.2">
      <c r="A314" s="5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10"/>
    </row>
    <row r="315" spans="1:400" x14ac:dyDescent="0.2">
      <c r="A315" s="5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10"/>
    </row>
    <row r="316" spans="1:400" x14ac:dyDescent="0.2">
      <c r="A316" s="5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10"/>
    </row>
    <row r="317" spans="1:400" x14ac:dyDescent="0.2">
      <c r="A317" s="5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10"/>
    </row>
    <row r="318" spans="1:400" x14ac:dyDescent="0.2">
      <c r="A318" s="5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10"/>
    </row>
    <row r="319" spans="1:400" x14ac:dyDescent="0.2">
      <c r="A319" s="5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10"/>
    </row>
    <row r="320" spans="1:400" x14ac:dyDescent="0.2">
      <c r="A320" s="5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10"/>
    </row>
    <row r="321" spans="1:400" x14ac:dyDescent="0.2">
      <c r="A321" s="5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10"/>
    </row>
    <row r="322" spans="1:400" x14ac:dyDescent="0.2">
      <c r="A322" s="5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10"/>
    </row>
    <row r="323" spans="1:400" x14ac:dyDescent="0.2">
      <c r="A323" s="5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10"/>
    </row>
    <row r="324" spans="1:400" x14ac:dyDescent="0.2">
      <c r="A324" s="5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10"/>
    </row>
    <row r="325" spans="1:400" x14ac:dyDescent="0.2">
      <c r="A325" s="5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10"/>
    </row>
    <row r="326" spans="1:400" x14ac:dyDescent="0.2">
      <c r="A326" s="5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10"/>
    </row>
    <row r="327" spans="1:400" x14ac:dyDescent="0.2">
      <c r="A327" s="5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10"/>
    </row>
    <row r="328" spans="1:400" x14ac:dyDescent="0.2">
      <c r="A328" s="5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10"/>
    </row>
    <row r="329" spans="1:400" x14ac:dyDescent="0.2">
      <c r="A329" s="5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10"/>
    </row>
    <row r="330" spans="1:400" x14ac:dyDescent="0.2">
      <c r="A330" s="5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10"/>
    </row>
    <row r="331" spans="1:400" x14ac:dyDescent="0.2">
      <c r="A331" s="5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10"/>
    </row>
    <row r="332" spans="1:400" x14ac:dyDescent="0.2">
      <c r="A332" s="5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10"/>
    </row>
    <row r="333" spans="1:400" x14ac:dyDescent="0.2">
      <c r="A333" s="5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10"/>
    </row>
    <row r="334" spans="1:400" x14ac:dyDescent="0.2">
      <c r="A334" s="5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10"/>
    </row>
    <row r="335" spans="1:400" x14ac:dyDescent="0.2">
      <c r="A335" s="5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10"/>
    </row>
    <row r="336" spans="1:400" x14ac:dyDescent="0.2">
      <c r="A336" s="5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10"/>
    </row>
    <row r="337" spans="1:400" x14ac:dyDescent="0.2">
      <c r="A337" s="5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10"/>
    </row>
    <row r="338" spans="1:400" x14ac:dyDescent="0.2">
      <c r="A338" s="5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10"/>
    </row>
    <row r="339" spans="1:400" x14ac:dyDescent="0.2">
      <c r="A339" s="5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10"/>
    </row>
    <row r="340" spans="1:400" x14ac:dyDescent="0.2">
      <c r="A340" s="5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10"/>
    </row>
    <row r="341" spans="1:400" x14ac:dyDescent="0.2">
      <c r="A341" s="5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10"/>
    </row>
    <row r="342" spans="1:400" x14ac:dyDescent="0.2">
      <c r="A342" s="5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10"/>
    </row>
    <row r="343" spans="1:400" x14ac:dyDescent="0.2">
      <c r="A343" s="5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10"/>
    </row>
    <row r="344" spans="1:400" x14ac:dyDescent="0.2">
      <c r="A344" s="5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10"/>
    </row>
    <row r="345" spans="1:400" x14ac:dyDescent="0.2">
      <c r="A345" s="5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10"/>
    </row>
    <row r="346" spans="1:400" x14ac:dyDescent="0.2">
      <c r="A346" s="5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10"/>
    </row>
    <row r="347" spans="1:400" x14ac:dyDescent="0.2">
      <c r="A347" s="5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10"/>
    </row>
    <row r="348" spans="1:400" x14ac:dyDescent="0.2">
      <c r="A348" s="5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10"/>
    </row>
    <row r="349" spans="1:400" x14ac:dyDescent="0.2">
      <c r="A349" s="5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10"/>
    </row>
    <row r="350" spans="1:400" x14ac:dyDescent="0.2">
      <c r="A350" s="5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10"/>
    </row>
    <row r="351" spans="1:400" x14ac:dyDescent="0.2">
      <c r="A351" s="5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10"/>
    </row>
    <row r="352" spans="1:400" x14ac:dyDescent="0.2">
      <c r="A352" s="5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10"/>
    </row>
    <row r="353" spans="1:400" x14ac:dyDescent="0.2">
      <c r="A353" s="5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  <c r="IS353" s="9"/>
      <c r="IT353" s="9"/>
      <c r="IU353" s="9"/>
      <c r="IV353" s="9"/>
      <c r="IW353" s="9"/>
      <c r="IX353" s="9"/>
      <c r="IY353" s="9"/>
      <c r="IZ353" s="9"/>
      <c r="JA353" s="9"/>
      <c r="JB353" s="9"/>
      <c r="JC353" s="9"/>
      <c r="JD353" s="9"/>
      <c r="JE353" s="9"/>
      <c r="JF353" s="9"/>
      <c r="JG353" s="9"/>
      <c r="JH353" s="9"/>
      <c r="JI353" s="9"/>
      <c r="JJ353" s="9"/>
      <c r="JK353" s="9"/>
      <c r="JL353" s="9"/>
      <c r="JM353" s="9"/>
      <c r="JN353" s="9"/>
      <c r="JO353" s="9"/>
      <c r="JP353" s="9"/>
      <c r="JQ353" s="9"/>
      <c r="JR353" s="9"/>
      <c r="JS353" s="9"/>
      <c r="JT353" s="9"/>
      <c r="JU353" s="9"/>
      <c r="JV353" s="9"/>
      <c r="JW353" s="9"/>
      <c r="JX353" s="9"/>
      <c r="JY353" s="9"/>
      <c r="JZ353" s="9"/>
      <c r="KA353" s="9"/>
      <c r="KB353" s="9"/>
      <c r="KC353" s="9"/>
      <c r="KD353" s="9"/>
      <c r="KE353" s="9"/>
      <c r="KF353" s="9"/>
      <c r="KG353" s="9"/>
      <c r="KH353" s="9"/>
      <c r="KI353" s="9"/>
      <c r="KJ353" s="9"/>
      <c r="KK353" s="9"/>
      <c r="KL353" s="9"/>
      <c r="KM353" s="9"/>
      <c r="KN353" s="9"/>
      <c r="KO353" s="9"/>
      <c r="KP353" s="9"/>
      <c r="KQ353" s="9"/>
      <c r="KR353" s="9"/>
      <c r="KS353" s="9"/>
      <c r="KT353" s="9"/>
      <c r="KU353" s="9"/>
      <c r="KV353" s="9"/>
      <c r="KW353" s="9"/>
      <c r="KX353" s="9"/>
      <c r="KY353" s="9"/>
      <c r="KZ353" s="9"/>
      <c r="LA353" s="9"/>
      <c r="LB353" s="9"/>
      <c r="LC353" s="9"/>
      <c r="LD353" s="9"/>
      <c r="LE353" s="9"/>
      <c r="LF353" s="9"/>
      <c r="LG353" s="9"/>
      <c r="LH353" s="9"/>
      <c r="LI353" s="9"/>
      <c r="LJ353" s="9"/>
      <c r="LK353" s="9"/>
      <c r="LL353" s="9"/>
      <c r="LM353" s="9"/>
      <c r="LN353" s="9"/>
      <c r="LO353" s="9"/>
      <c r="LP353" s="9"/>
      <c r="LQ353" s="9"/>
      <c r="LR353" s="9"/>
      <c r="LS353" s="9"/>
      <c r="LT353" s="9"/>
      <c r="LU353" s="9"/>
      <c r="LV353" s="9"/>
      <c r="LW353" s="9"/>
      <c r="LX353" s="9"/>
      <c r="LY353" s="9"/>
      <c r="LZ353" s="9"/>
      <c r="MA353" s="9"/>
      <c r="MB353" s="9"/>
      <c r="MC353" s="9"/>
      <c r="MD353" s="9"/>
      <c r="ME353" s="9"/>
      <c r="MF353" s="9"/>
      <c r="MG353" s="9"/>
      <c r="MH353" s="9"/>
      <c r="MI353" s="9"/>
      <c r="MJ353" s="9"/>
      <c r="MK353" s="9"/>
      <c r="ML353" s="9"/>
      <c r="MM353" s="9"/>
      <c r="MN353" s="9"/>
      <c r="MO353" s="9"/>
      <c r="MP353" s="9"/>
      <c r="MQ353" s="9"/>
      <c r="MR353" s="9"/>
      <c r="MS353" s="9"/>
      <c r="MT353" s="9"/>
      <c r="MU353" s="9"/>
      <c r="MV353" s="9"/>
      <c r="MW353" s="9"/>
      <c r="MX353" s="9"/>
      <c r="MY353" s="9"/>
      <c r="MZ353" s="9"/>
      <c r="NA353" s="9"/>
      <c r="NB353" s="9"/>
      <c r="NC353" s="9"/>
      <c r="ND353" s="9"/>
      <c r="NE353" s="9"/>
      <c r="NF353" s="9"/>
      <c r="NG353" s="9"/>
      <c r="NH353" s="9"/>
      <c r="NI353" s="9"/>
      <c r="NJ353" s="9"/>
      <c r="NK353" s="9"/>
      <c r="NL353" s="9"/>
      <c r="NM353" s="9"/>
      <c r="NN353" s="9"/>
      <c r="NO353" s="9"/>
      <c r="NP353" s="9"/>
      <c r="NQ353" s="9"/>
      <c r="NR353" s="9"/>
      <c r="NS353" s="9"/>
      <c r="NT353" s="9"/>
      <c r="NU353" s="9"/>
      <c r="NV353" s="9"/>
      <c r="NW353" s="9"/>
      <c r="NX353" s="9"/>
      <c r="NY353" s="9"/>
      <c r="NZ353" s="9"/>
      <c r="OA353" s="9"/>
      <c r="OB353" s="9"/>
      <c r="OC353" s="9"/>
      <c r="OD353" s="9"/>
      <c r="OE353" s="9"/>
      <c r="OF353" s="9"/>
      <c r="OG353" s="9"/>
      <c r="OH353" s="9"/>
      <c r="OI353" s="9"/>
      <c r="OJ353" s="10"/>
    </row>
    <row r="354" spans="1:400" x14ac:dyDescent="0.2">
      <c r="A354" s="5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  <c r="IS354" s="9"/>
      <c r="IT354" s="9"/>
      <c r="IU354" s="9"/>
      <c r="IV354" s="9"/>
      <c r="IW354" s="9"/>
      <c r="IX354" s="9"/>
      <c r="IY354" s="9"/>
      <c r="IZ354" s="9"/>
      <c r="JA354" s="9"/>
      <c r="JB354" s="9"/>
      <c r="JC354" s="9"/>
      <c r="JD354" s="9"/>
      <c r="JE354" s="9"/>
      <c r="JF354" s="9"/>
      <c r="JG354" s="9"/>
      <c r="JH354" s="9"/>
      <c r="JI354" s="9"/>
      <c r="JJ354" s="9"/>
      <c r="JK354" s="9"/>
      <c r="JL354" s="9"/>
      <c r="JM354" s="9"/>
      <c r="JN354" s="9"/>
      <c r="JO354" s="9"/>
      <c r="JP354" s="9"/>
      <c r="JQ354" s="9"/>
      <c r="JR354" s="9"/>
      <c r="JS354" s="9"/>
      <c r="JT354" s="9"/>
      <c r="JU354" s="9"/>
      <c r="JV354" s="9"/>
      <c r="JW354" s="9"/>
      <c r="JX354" s="9"/>
      <c r="JY354" s="9"/>
      <c r="JZ354" s="9"/>
      <c r="KA354" s="9"/>
      <c r="KB354" s="9"/>
      <c r="KC354" s="9"/>
      <c r="KD354" s="9"/>
      <c r="KE354" s="9"/>
      <c r="KF354" s="9"/>
      <c r="KG354" s="9"/>
      <c r="KH354" s="9"/>
      <c r="KI354" s="9"/>
      <c r="KJ354" s="9"/>
      <c r="KK354" s="9"/>
      <c r="KL354" s="9"/>
      <c r="KM354" s="9"/>
      <c r="KN354" s="9"/>
      <c r="KO354" s="9"/>
      <c r="KP354" s="9"/>
      <c r="KQ354" s="9"/>
      <c r="KR354" s="9"/>
      <c r="KS354" s="9"/>
      <c r="KT354" s="9"/>
      <c r="KU354" s="9"/>
      <c r="KV354" s="9"/>
      <c r="KW354" s="9"/>
      <c r="KX354" s="9"/>
      <c r="KY354" s="9"/>
      <c r="KZ354" s="9"/>
      <c r="LA354" s="9"/>
      <c r="LB354" s="9"/>
      <c r="LC354" s="9"/>
      <c r="LD354" s="9"/>
      <c r="LE354" s="9"/>
      <c r="LF354" s="9"/>
      <c r="LG354" s="9"/>
      <c r="LH354" s="9"/>
      <c r="LI354" s="9"/>
      <c r="LJ354" s="9"/>
      <c r="LK354" s="9"/>
      <c r="LL354" s="9"/>
      <c r="LM354" s="9"/>
      <c r="LN354" s="9"/>
      <c r="LO354" s="9"/>
      <c r="LP354" s="9"/>
      <c r="LQ354" s="9"/>
      <c r="LR354" s="9"/>
      <c r="LS354" s="9"/>
      <c r="LT354" s="9"/>
      <c r="LU354" s="9"/>
      <c r="LV354" s="9"/>
      <c r="LW354" s="9"/>
      <c r="LX354" s="9"/>
      <c r="LY354" s="9"/>
      <c r="LZ354" s="9"/>
      <c r="MA354" s="9"/>
      <c r="MB354" s="9"/>
      <c r="MC354" s="9"/>
      <c r="MD354" s="9"/>
      <c r="ME354" s="9"/>
      <c r="MF354" s="9"/>
      <c r="MG354" s="9"/>
      <c r="MH354" s="9"/>
      <c r="MI354" s="9"/>
      <c r="MJ354" s="9"/>
      <c r="MK354" s="9"/>
      <c r="ML354" s="9"/>
      <c r="MM354" s="9"/>
      <c r="MN354" s="9"/>
      <c r="MO354" s="9"/>
      <c r="MP354" s="9"/>
      <c r="MQ354" s="9"/>
      <c r="MR354" s="9"/>
      <c r="MS354" s="9"/>
      <c r="MT354" s="9"/>
      <c r="MU354" s="9"/>
      <c r="MV354" s="9"/>
      <c r="MW354" s="9"/>
      <c r="MX354" s="9"/>
      <c r="MY354" s="9"/>
      <c r="MZ354" s="9"/>
      <c r="NA354" s="9"/>
      <c r="NB354" s="9"/>
      <c r="NC354" s="9"/>
      <c r="ND354" s="9"/>
      <c r="NE354" s="9"/>
      <c r="NF354" s="9"/>
      <c r="NG354" s="9"/>
      <c r="NH354" s="9"/>
      <c r="NI354" s="9"/>
      <c r="NJ354" s="9"/>
      <c r="NK354" s="9"/>
      <c r="NL354" s="9"/>
      <c r="NM354" s="9"/>
      <c r="NN354" s="9"/>
      <c r="NO354" s="9"/>
      <c r="NP354" s="9"/>
      <c r="NQ354" s="9"/>
      <c r="NR354" s="9"/>
      <c r="NS354" s="9"/>
      <c r="NT354" s="9"/>
      <c r="NU354" s="9"/>
      <c r="NV354" s="9"/>
      <c r="NW354" s="9"/>
      <c r="NX354" s="9"/>
      <c r="NY354" s="9"/>
      <c r="NZ354" s="9"/>
      <c r="OA354" s="9"/>
      <c r="OB354" s="9"/>
      <c r="OC354" s="9"/>
      <c r="OD354" s="9"/>
      <c r="OE354" s="9"/>
      <c r="OF354" s="9"/>
      <c r="OG354" s="9"/>
      <c r="OH354" s="9"/>
      <c r="OI354" s="9"/>
      <c r="OJ354" s="10"/>
    </row>
    <row r="355" spans="1:400" x14ac:dyDescent="0.2">
      <c r="A355" s="5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  <c r="IS355" s="9"/>
      <c r="IT355" s="9"/>
      <c r="IU355" s="9"/>
      <c r="IV355" s="9"/>
      <c r="IW355" s="9"/>
      <c r="IX355" s="9"/>
      <c r="IY355" s="9"/>
      <c r="IZ355" s="9"/>
      <c r="JA355" s="9"/>
      <c r="JB355" s="9"/>
      <c r="JC355" s="9"/>
      <c r="JD355" s="9"/>
      <c r="JE355" s="9"/>
      <c r="JF355" s="9"/>
      <c r="JG355" s="9"/>
      <c r="JH355" s="9"/>
      <c r="JI355" s="9"/>
      <c r="JJ355" s="9"/>
      <c r="JK355" s="9"/>
      <c r="JL355" s="9"/>
      <c r="JM355" s="9"/>
      <c r="JN355" s="9"/>
      <c r="JO355" s="9"/>
      <c r="JP355" s="9"/>
      <c r="JQ355" s="9"/>
      <c r="JR355" s="9"/>
      <c r="JS355" s="9"/>
      <c r="JT355" s="9"/>
      <c r="JU355" s="9"/>
      <c r="JV355" s="9"/>
      <c r="JW355" s="9"/>
      <c r="JX355" s="9"/>
      <c r="JY355" s="9"/>
      <c r="JZ355" s="9"/>
      <c r="KA355" s="9"/>
      <c r="KB355" s="9"/>
      <c r="KC355" s="9"/>
      <c r="KD355" s="9"/>
      <c r="KE355" s="9"/>
      <c r="KF355" s="9"/>
      <c r="KG355" s="9"/>
      <c r="KH355" s="9"/>
      <c r="KI355" s="9"/>
      <c r="KJ355" s="9"/>
      <c r="KK355" s="9"/>
      <c r="KL355" s="9"/>
      <c r="KM355" s="9"/>
      <c r="KN355" s="9"/>
      <c r="KO355" s="9"/>
      <c r="KP355" s="9"/>
      <c r="KQ355" s="9"/>
      <c r="KR355" s="9"/>
      <c r="KS355" s="9"/>
      <c r="KT355" s="9"/>
      <c r="KU355" s="9"/>
      <c r="KV355" s="9"/>
      <c r="KW355" s="9"/>
      <c r="KX355" s="9"/>
      <c r="KY355" s="9"/>
      <c r="KZ355" s="9"/>
      <c r="LA355" s="9"/>
      <c r="LB355" s="9"/>
      <c r="LC355" s="9"/>
      <c r="LD355" s="9"/>
      <c r="LE355" s="9"/>
      <c r="LF355" s="9"/>
      <c r="LG355" s="9"/>
      <c r="LH355" s="9"/>
      <c r="LI355" s="9"/>
      <c r="LJ355" s="9"/>
      <c r="LK355" s="9"/>
      <c r="LL355" s="9"/>
      <c r="LM355" s="9"/>
      <c r="LN355" s="9"/>
      <c r="LO355" s="9"/>
      <c r="LP355" s="9"/>
      <c r="LQ355" s="9"/>
      <c r="LR355" s="9"/>
      <c r="LS355" s="9"/>
      <c r="LT355" s="9"/>
      <c r="LU355" s="9"/>
      <c r="LV355" s="9"/>
      <c r="LW355" s="9"/>
      <c r="LX355" s="9"/>
      <c r="LY355" s="9"/>
      <c r="LZ355" s="9"/>
      <c r="MA355" s="9"/>
      <c r="MB355" s="9"/>
      <c r="MC355" s="9"/>
      <c r="MD355" s="9"/>
      <c r="ME355" s="9"/>
      <c r="MF355" s="9"/>
      <c r="MG355" s="9"/>
      <c r="MH355" s="9"/>
      <c r="MI355" s="9"/>
      <c r="MJ355" s="9"/>
      <c r="MK355" s="9"/>
      <c r="ML355" s="9"/>
      <c r="MM355" s="9"/>
      <c r="MN355" s="9"/>
      <c r="MO355" s="9"/>
      <c r="MP355" s="9"/>
      <c r="MQ355" s="9"/>
      <c r="MR355" s="9"/>
      <c r="MS355" s="9"/>
      <c r="MT355" s="9"/>
      <c r="MU355" s="9"/>
      <c r="MV355" s="9"/>
      <c r="MW355" s="9"/>
      <c r="MX355" s="9"/>
      <c r="MY355" s="9"/>
      <c r="MZ355" s="9"/>
      <c r="NA355" s="9"/>
      <c r="NB355" s="9"/>
      <c r="NC355" s="9"/>
      <c r="ND355" s="9"/>
      <c r="NE355" s="9"/>
      <c r="NF355" s="9"/>
      <c r="NG355" s="9"/>
      <c r="NH355" s="9"/>
      <c r="NI355" s="9"/>
      <c r="NJ355" s="9"/>
      <c r="NK355" s="9"/>
      <c r="NL355" s="9"/>
      <c r="NM355" s="9"/>
      <c r="NN355" s="9"/>
      <c r="NO355" s="9"/>
      <c r="NP355" s="9"/>
      <c r="NQ355" s="9"/>
      <c r="NR355" s="9"/>
      <c r="NS355" s="9"/>
      <c r="NT355" s="9"/>
      <c r="NU355" s="9"/>
      <c r="NV355" s="9"/>
      <c r="NW355" s="9"/>
      <c r="NX355" s="9"/>
      <c r="NY355" s="9"/>
      <c r="NZ355" s="9"/>
      <c r="OA355" s="9"/>
      <c r="OB355" s="9"/>
      <c r="OC355" s="9"/>
      <c r="OD355" s="9"/>
      <c r="OE355" s="9"/>
      <c r="OF355" s="9"/>
      <c r="OG355" s="9"/>
      <c r="OH355" s="9"/>
      <c r="OI355" s="9"/>
      <c r="OJ355" s="10"/>
    </row>
    <row r="356" spans="1:400" x14ac:dyDescent="0.2">
      <c r="A356" s="5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  <c r="GM356" s="9"/>
      <c r="GN356" s="9"/>
      <c r="GO356" s="9"/>
      <c r="GP356" s="9"/>
      <c r="GQ356" s="9"/>
      <c r="GR356" s="9"/>
      <c r="GS356" s="9"/>
      <c r="GT356" s="9"/>
      <c r="GU356" s="9"/>
      <c r="GV356" s="9"/>
      <c r="GW356" s="9"/>
      <c r="GX356" s="9"/>
      <c r="GY356" s="9"/>
      <c r="GZ356" s="9"/>
      <c r="HA356" s="9"/>
      <c r="HB356" s="9"/>
      <c r="HC356" s="9"/>
      <c r="HD356" s="9"/>
      <c r="HE356" s="9"/>
      <c r="HF356" s="9"/>
      <c r="HG356" s="9"/>
      <c r="HH356" s="9"/>
      <c r="HI356" s="9"/>
      <c r="HJ356" s="9"/>
      <c r="HK356" s="9"/>
      <c r="HL356" s="9"/>
      <c r="HM356" s="9"/>
      <c r="HN356" s="9"/>
      <c r="HO356" s="9"/>
      <c r="HP356" s="9"/>
      <c r="HQ356" s="9"/>
      <c r="HR356" s="9"/>
      <c r="HS356" s="9"/>
      <c r="HT356" s="9"/>
      <c r="HU356" s="9"/>
      <c r="HV356" s="9"/>
      <c r="HW356" s="9"/>
      <c r="HX356" s="9"/>
      <c r="HY356" s="9"/>
      <c r="HZ356" s="9"/>
      <c r="IA356" s="9"/>
      <c r="IB356" s="9"/>
      <c r="IC356" s="9"/>
      <c r="ID356" s="9"/>
      <c r="IE356" s="9"/>
      <c r="IF356" s="9"/>
      <c r="IG356" s="9"/>
      <c r="IH356" s="9"/>
      <c r="II356" s="9"/>
      <c r="IJ356" s="9"/>
      <c r="IK356" s="9"/>
      <c r="IL356" s="9"/>
      <c r="IM356" s="9"/>
      <c r="IN356" s="9"/>
      <c r="IO356" s="9"/>
      <c r="IP356" s="9"/>
      <c r="IQ356" s="9"/>
      <c r="IR356" s="9"/>
      <c r="IS356" s="9"/>
      <c r="IT356" s="9"/>
      <c r="IU356" s="9"/>
      <c r="IV356" s="9"/>
      <c r="IW356" s="9"/>
      <c r="IX356" s="9"/>
      <c r="IY356" s="9"/>
      <c r="IZ356" s="9"/>
      <c r="JA356" s="9"/>
      <c r="JB356" s="9"/>
      <c r="JC356" s="9"/>
      <c r="JD356" s="9"/>
      <c r="JE356" s="9"/>
      <c r="JF356" s="9"/>
      <c r="JG356" s="9"/>
      <c r="JH356" s="9"/>
      <c r="JI356" s="9"/>
      <c r="JJ356" s="9"/>
      <c r="JK356" s="9"/>
      <c r="JL356" s="9"/>
      <c r="JM356" s="9"/>
      <c r="JN356" s="9"/>
      <c r="JO356" s="9"/>
      <c r="JP356" s="9"/>
      <c r="JQ356" s="9"/>
      <c r="JR356" s="9"/>
      <c r="JS356" s="9"/>
      <c r="JT356" s="9"/>
      <c r="JU356" s="9"/>
      <c r="JV356" s="9"/>
      <c r="JW356" s="9"/>
      <c r="JX356" s="9"/>
      <c r="JY356" s="9"/>
      <c r="JZ356" s="9"/>
      <c r="KA356" s="9"/>
      <c r="KB356" s="9"/>
      <c r="KC356" s="9"/>
      <c r="KD356" s="9"/>
      <c r="KE356" s="9"/>
      <c r="KF356" s="9"/>
      <c r="KG356" s="9"/>
      <c r="KH356" s="9"/>
      <c r="KI356" s="9"/>
      <c r="KJ356" s="9"/>
      <c r="KK356" s="9"/>
      <c r="KL356" s="9"/>
      <c r="KM356" s="9"/>
      <c r="KN356" s="9"/>
      <c r="KO356" s="9"/>
      <c r="KP356" s="9"/>
      <c r="KQ356" s="9"/>
      <c r="KR356" s="9"/>
      <c r="KS356" s="9"/>
      <c r="KT356" s="9"/>
      <c r="KU356" s="9"/>
      <c r="KV356" s="9"/>
      <c r="KW356" s="9"/>
      <c r="KX356" s="9"/>
      <c r="KY356" s="9"/>
      <c r="KZ356" s="9"/>
      <c r="LA356" s="9"/>
      <c r="LB356" s="9"/>
      <c r="LC356" s="9"/>
      <c r="LD356" s="9"/>
      <c r="LE356" s="9"/>
      <c r="LF356" s="9"/>
      <c r="LG356" s="9"/>
      <c r="LH356" s="9"/>
      <c r="LI356" s="9"/>
      <c r="LJ356" s="9"/>
      <c r="LK356" s="9"/>
      <c r="LL356" s="9"/>
      <c r="LM356" s="9"/>
      <c r="LN356" s="9"/>
      <c r="LO356" s="9"/>
      <c r="LP356" s="9"/>
      <c r="LQ356" s="9"/>
      <c r="LR356" s="9"/>
      <c r="LS356" s="9"/>
      <c r="LT356" s="9"/>
      <c r="LU356" s="9"/>
      <c r="LV356" s="9"/>
      <c r="LW356" s="9"/>
      <c r="LX356" s="9"/>
      <c r="LY356" s="9"/>
      <c r="LZ356" s="9"/>
      <c r="MA356" s="9"/>
      <c r="MB356" s="9"/>
      <c r="MC356" s="9"/>
      <c r="MD356" s="9"/>
      <c r="ME356" s="9"/>
      <c r="MF356" s="9"/>
      <c r="MG356" s="9"/>
      <c r="MH356" s="9"/>
      <c r="MI356" s="9"/>
      <c r="MJ356" s="9"/>
      <c r="MK356" s="9"/>
      <c r="ML356" s="9"/>
      <c r="MM356" s="9"/>
      <c r="MN356" s="9"/>
      <c r="MO356" s="9"/>
      <c r="MP356" s="9"/>
      <c r="MQ356" s="9"/>
      <c r="MR356" s="9"/>
      <c r="MS356" s="9"/>
      <c r="MT356" s="9"/>
      <c r="MU356" s="9"/>
      <c r="MV356" s="9"/>
      <c r="MW356" s="9"/>
      <c r="MX356" s="9"/>
      <c r="MY356" s="9"/>
      <c r="MZ356" s="9"/>
      <c r="NA356" s="9"/>
      <c r="NB356" s="9"/>
      <c r="NC356" s="9"/>
      <c r="ND356" s="9"/>
      <c r="NE356" s="9"/>
      <c r="NF356" s="9"/>
      <c r="NG356" s="9"/>
      <c r="NH356" s="9"/>
      <c r="NI356" s="9"/>
      <c r="NJ356" s="9"/>
      <c r="NK356" s="9"/>
      <c r="NL356" s="9"/>
      <c r="NM356" s="9"/>
      <c r="NN356" s="9"/>
      <c r="NO356" s="9"/>
      <c r="NP356" s="9"/>
      <c r="NQ356" s="9"/>
      <c r="NR356" s="9"/>
      <c r="NS356" s="9"/>
      <c r="NT356" s="9"/>
      <c r="NU356" s="9"/>
      <c r="NV356" s="9"/>
      <c r="NW356" s="9"/>
      <c r="NX356" s="9"/>
      <c r="NY356" s="9"/>
      <c r="NZ356" s="9"/>
      <c r="OA356" s="9"/>
      <c r="OB356" s="9"/>
      <c r="OC356" s="9"/>
      <c r="OD356" s="9"/>
      <c r="OE356" s="9"/>
      <c r="OF356" s="9"/>
      <c r="OG356" s="9"/>
      <c r="OH356" s="9"/>
      <c r="OI356" s="9"/>
      <c r="OJ356" s="10"/>
    </row>
    <row r="357" spans="1:400" x14ac:dyDescent="0.2">
      <c r="A357" s="5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  <c r="GM357" s="9"/>
      <c r="GN357" s="9"/>
      <c r="GO357" s="9"/>
      <c r="GP357" s="9"/>
      <c r="GQ357" s="9"/>
      <c r="GR357" s="9"/>
      <c r="GS357" s="9"/>
      <c r="GT357" s="9"/>
      <c r="GU357" s="9"/>
      <c r="GV357" s="9"/>
      <c r="GW357" s="9"/>
      <c r="GX357" s="9"/>
      <c r="GY357" s="9"/>
      <c r="GZ357" s="9"/>
      <c r="HA357" s="9"/>
      <c r="HB357" s="9"/>
      <c r="HC357" s="9"/>
      <c r="HD357" s="9"/>
      <c r="HE357" s="9"/>
      <c r="HF357" s="9"/>
      <c r="HG357" s="9"/>
      <c r="HH357" s="9"/>
      <c r="HI357" s="9"/>
      <c r="HJ357" s="9"/>
      <c r="HK357" s="9"/>
      <c r="HL357" s="9"/>
      <c r="HM357" s="9"/>
      <c r="HN357" s="9"/>
      <c r="HO357" s="9"/>
      <c r="HP357" s="9"/>
      <c r="HQ357" s="9"/>
      <c r="HR357" s="9"/>
      <c r="HS357" s="9"/>
      <c r="HT357" s="9"/>
      <c r="HU357" s="9"/>
      <c r="HV357" s="9"/>
      <c r="HW357" s="9"/>
      <c r="HX357" s="9"/>
      <c r="HY357" s="9"/>
      <c r="HZ357" s="9"/>
      <c r="IA357" s="9"/>
      <c r="IB357" s="9"/>
      <c r="IC357" s="9"/>
      <c r="ID357" s="9"/>
      <c r="IE357" s="9"/>
      <c r="IF357" s="9"/>
      <c r="IG357" s="9"/>
      <c r="IH357" s="9"/>
      <c r="II357" s="9"/>
      <c r="IJ357" s="9"/>
      <c r="IK357" s="9"/>
      <c r="IL357" s="9"/>
      <c r="IM357" s="9"/>
      <c r="IN357" s="9"/>
      <c r="IO357" s="9"/>
      <c r="IP357" s="9"/>
      <c r="IQ357" s="9"/>
      <c r="IR357" s="9"/>
      <c r="IS357" s="9"/>
      <c r="IT357" s="9"/>
      <c r="IU357" s="9"/>
      <c r="IV357" s="9"/>
      <c r="IW357" s="9"/>
      <c r="IX357" s="9"/>
      <c r="IY357" s="9"/>
      <c r="IZ357" s="9"/>
      <c r="JA357" s="9"/>
      <c r="JB357" s="9"/>
      <c r="JC357" s="9"/>
      <c r="JD357" s="9"/>
      <c r="JE357" s="9"/>
      <c r="JF357" s="9"/>
      <c r="JG357" s="9"/>
      <c r="JH357" s="9"/>
      <c r="JI357" s="9"/>
      <c r="JJ357" s="9"/>
      <c r="JK357" s="9"/>
      <c r="JL357" s="9"/>
      <c r="JM357" s="9"/>
      <c r="JN357" s="9"/>
      <c r="JO357" s="9"/>
      <c r="JP357" s="9"/>
      <c r="JQ357" s="9"/>
      <c r="JR357" s="9"/>
      <c r="JS357" s="9"/>
      <c r="JT357" s="9"/>
      <c r="JU357" s="9"/>
      <c r="JV357" s="9"/>
      <c r="JW357" s="9"/>
      <c r="JX357" s="9"/>
      <c r="JY357" s="9"/>
      <c r="JZ357" s="9"/>
      <c r="KA357" s="9"/>
      <c r="KB357" s="9"/>
      <c r="KC357" s="9"/>
      <c r="KD357" s="9"/>
      <c r="KE357" s="9"/>
      <c r="KF357" s="9"/>
      <c r="KG357" s="9"/>
      <c r="KH357" s="9"/>
      <c r="KI357" s="9"/>
      <c r="KJ357" s="9"/>
      <c r="KK357" s="9"/>
      <c r="KL357" s="9"/>
      <c r="KM357" s="9"/>
      <c r="KN357" s="9"/>
      <c r="KO357" s="9"/>
      <c r="KP357" s="9"/>
      <c r="KQ357" s="9"/>
      <c r="KR357" s="9"/>
      <c r="KS357" s="9"/>
      <c r="KT357" s="9"/>
      <c r="KU357" s="9"/>
      <c r="KV357" s="9"/>
      <c r="KW357" s="9"/>
      <c r="KX357" s="9"/>
      <c r="KY357" s="9"/>
      <c r="KZ357" s="9"/>
      <c r="LA357" s="9"/>
      <c r="LB357" s="9"/>
      <c r="LC357" s="9"/>
      <c r="LD357" s="9"/>
      <c r="LE357" s="9"/>
      <c r="LF357" s="9"/>
      <c r="LG357" s="9"/>
      <c r="LH357" s="9"/>
      <c r="LI357" s="9"/>
      <c r="LJ357" s="9"/>
      <c r="LK357" s="9"/>
      <c r="LL357" s="9"/>
      <c r="LM357" s="9"/>
      <c r="LN357" s="9"/>
      <c r="LO357" s="9"/>
      <c r="LP357" s="9"/>
      <c r="LQ357" s="9"/>
      <c r="LR357" s="9"/>
      <c r="LS357" s="9"/>
      <c r="LT357" s="9"/>
      <c r="LU357" s="9"/>
      <c r="LV357" s="9"/>
      <c r="LW357" s="9"/>
      <c r="LX357" s="9"/>
      <c r="LY357" s="9"/>
      <c r="LZ357" s="9"/>
      <c r="MA357" s="9"/>
      <c r="MB357" s="9"/>
      <c r="MC357" s="9"/>
      <c r="MD357" s="9"/>
      <c r="ME357" s="9"/>
      <c r="MF357" s="9"/>
      <c r="MG357" s="9"/>
      <c r="MH357" s="9"/>
      <c r="MI357" s="9"/>
      <c r="MJ357" s="9"/>
      <c r="MK357" s="9"/>
      <c r="ML357" s="9"/>
      <c r="MM357" s="9"/>
      <c r="MN357" s="9"/>
      <c r="MO357" s="9"/>
      <c r="MP357" s="9"/>
      <c r="MQ357" s="9"/>
      <c r="MR357" s="9"/>
      <c r="MS357" s="9"/>
      <c r="MT357" s="9"/>
      <c r="MU357" s="9"/>
      <c r="MV357" s="9"/>
      <c r="MW357" s="9"/>
      <c r="MX357" s="9"/>
      <c r="MY357" s="9"/>
      <c r="MZ357" s="9"/>
      <c r="NA357" s="9"/>
      <c r="NB357" s="9"/>
      <c r="NC357" s="9"/>
      <c r="ND357" s="9"/>
      <c r="NE357" s="9"/>
      <c r="NF357" s="9"/>
      <c r="NG357" s="9"/>
      <c r="NH357" s="9"/>
      <c r="NI357" s="9"/>
      <c r="NJ357" s="9"/>
      <c r="NK357" s="9"/>
      <c r="NL357" s="9"/>
      <c r="NM357" s="9"/>
      <c r="NN357" s="9"/>
      <c r="NO357" s="9"/>
      <c r="NP357" s="9"/>
      <c r="NQ357" s="9"/>
      <c r="NR357" s="9"/>
      <c r="NS357" s="9"/>
      <c r="NT357" s="9"/>
      <c r="NU357" s="9"/>
      <c r="NV357" s="9"/>
      <c r="NW357" s="9"/>
      <c r="NX357" s="9"/>
      <c r="NY357" s="9"/>
      <c r="NZ357" s="9"/>
      <c r="OA357" s="9"/>
      <c r="OB357" s="9"/>
      <c r="OC357" s="9"/>
      <c r="OD357" s="9"/>
      <c r="OE357" s="9"/>
      <c r="OF357" s="9"/>
      <c r="OG357" s="9"/>
      <c r="OH357" s="9"/>
      <c r="OI357" s="9"/>
      <c r="OJ357" s="10"/>
    </row>
    <row r="358" spans="1:400" x14ac:dyDescent="0.2">
      <c r="A358" s="5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  <c r="GM358" s="9"/>
      <c r="GN358" s="9"/>
      <c r="GO358" s="9"/>
      <c r="GP358" s="9"/>
      <c r="GQ358" s="9"/>
      <c r="GR358" s="9"/>
      <c r="GS358" s="9"/>
      <c r="GT358" s="9"/>
      <c r="GU358" s="9"/>
      <c r="GV358" s="9"/>
      <c r="GW358" s="9"/>
      <c r="GX358" s="9"/>
      <c r="GY358" s="9"/>
      <c r="GZ358" s="9"/>
      <c r="HA358" s="9"/>
      <c r="HB358" s="9"/>
      <c r="HC358" s="9"/>
      <c r="HD358" s="9"/>
      <c r="HE358" s="9"/>
      <c r="HF358" s="9"/>
      <c r="HG358" s="9"/>
      <c r="HH358" s="9"/>
      <c r="HI358" s="9"/>
      <c r="HJ358" s="9"/>
      <c r="HK358" s="9"/>
      <c r="HL358" s="9"/>
      <c r="HM358" s="9"/>
      <c r="HN358" s="9"/>
      <c r="HO358" s="9"/>
      <c r="HP358" s="9"/>
      <c r="HQ358" s="9"/>
      <c r="HR358" s="9"/>
      <c r="HS358" s="9"/>
      <c r="HT358" s="9"/>
      <c r="HU358" s="9"/>
      <c r="HV358" s="9"/>
      <c r="HW358" s="9"/>
      <c r="HX358" s="9"/>
      <c r="HY358" s="9"/>
      <c r="HZ358" s="9"/>
      <c r="IA358" s="9"/>
      <c r="IB358" s="9"/>
      <c r="IC358" s="9"/>
      <c r="ID358" s="9"/>
      <c r="IE358" s="9"/>
      <c r="IF358" s="9"/>
      <c r="IG358" s="9"/>
      <c r="IH358" s="9"/>
      <c r="II358" s="9"/>
      <c r="IJ358" s="9"/>
      <c r="IK358" s="9"/>
      <c r="IL358" s="9"/>
      <c r="IM358" s="9"/>
      <c r="IN358" s="9"/>
      <c r="IO358" s="9"/>
      <c r="IP358" s="9"/>
      <c r="IQ358" s="9"/>
      <c r="IR358" s="9"/>
      <c r="IS358" s="9"/>
      <c r="IT358" s="9"/>
      <c r="IU358" s="9"/>
      <c r="IV358" s="9"/>
      <c r="IW358" s="9"/>
      <c r="IX358" s="9"/>
      <c r="IY358" s="9"/>
      <c r="IZ358" s="9"/>
      <c r="JA358" s="9"/>
      <c r="JB358" s="9"/>
      <c r="JC358" s="9"/>
      <c r="JD358" s="9"/>
      <c r="JE358" s="9"/>
      <c r="JF358" s="9"/>
      <c r="JG358" s="9"/>
      <c r="JH358" s="9"/>
      <c r="JI358" s="9"/>
      <c r="JJ358" s="9"/>
      <c r="JK358" s="9"/>
      <c r="JL358" s="9"/>
      <c r="JM358" s="9"/>
      <c r="JN358" s="9"/>
      <c r="JO358" s="9"/>
      <c r="JP358" s="9"/>
      <c r="JQ358" s="9"/>
      <c r="JR358" s="9"/>
      <c r="JS358" s="9"/>
      <c r="JT358" s="9"/>
      <c r="JU358" s="9"/>
      <c r="JV358" s="9"/>
      <c r="JW358" s="9"/>
      <c r="JX358" s="9"/>
      <c r="JY358" s="9"/>
      <c r="JZ358" s="9"/>
      <c r="KA358" s="9"/>
      <c r="KB358" s="9"/>
      <c r="KC358" s="9"/>
      <c r="KD358" s="9"/>
      <c r="KE358" s="9"/>
      <c r="KF358" s="9"/>
      <c r="KG358" s="9"/>
      <c r="KH358" s="9"/>
      <c r="KI358" s="9"/>
      <c r="KJ358" s="9"/>
      <c r="KK358" s="9"/>
      <c r="KL358" s="9"/>
      <c r="KM358" s="9"/>
      <c r="KN358" s="9"/>
      <c r="KO358" s="9"/>
      <c r="KP358" s="9"/>
      <c r="KQ358" s="9"/>
      <c r="KR358" s="9"/>
      <c r="KS358" s="9"/>
      <c r="KT358" s="9"/>
      <c r="KU358" s="9"/>
      <c r="KV358" s="9"/>
      <c r="KW358" s="9"/>
      <c r="KX358" s="9"/>
      <c r="KY358" s="9"/>
      <c r="KZ358" s="9"/>
      <c r="LA358" s="9"/>
      <c r="LB358" s="9"/>
      <c r="LC358" s="9"/>
      <c r="LD358" s="9"/>
      <c r="LE358" s="9"/>
      <c r="LF358" s="9"/>
      <c r="LG358" s="9"/>
      <c r="LH358" s="9"/>
      <c r="LI358" s="9"/>
      <c r="LJ358" s="9"/>
      <c r="LK358" s="9"/>
      <c r="LL358" s="9"/>
      <c r="LM358" s="9"/>
      <c r="LN358" s="9"/>
      <c r="LO358" s="9"/>
      <c r="LP358" s="9"/>
      <c r="LQ358" s="9"/>
      <c r="LR358" s="9"/>
      <c r="LS358" s="9"/>
      <c r="LT358" s="9"/>
      <c r="LU358" s="9"/>
      <c r="LV358" s="9"/>
      <c r="LW358" s="9"/>
      <c r="LX358" s="9"/>
      <c r="LY358" s="9"/>
      <c r="LZ358" s="9"/>
      <c r="MA358" s="9"/>
      <c r="MB358" s="9"/>
      <c r="MC358" s="9"/>
      <c r="MD358" s="9"/>
      <c r="ME358" s="9"/>
      <c r="MF358" s="9"/>
      <c r="MG358" s="9"/>
      <c r="MH358" s="9"/>
      <c r="MI358" s="9"/>
      <c r="MJ358" s="9"/>
      <c r="MK358" s="9"/>
      <c r="ML358" s="9"/>
      <c r="MM358" s="9"/>
      <c r="MN358" s="9"/>
      <c r="MO358" s="9"/>
      <c r="MP358" s="9"/>
      <c r="MQ358" s="9"/>
      <c r="MR358" s="9"/>
      <c r="MS358" s="9"/>
      <c r="MT358" s="9"/>
      <c r="MU358" s="9"/>
      <c r="MV358" s="9"/>
      <c r="MW358" s="9"/>
      <c r="MX358" s="9"/>
      <c r="MY358" s="9"/>
      <c r="MZ358" s="9"/>
      <c r="NA358" s="9"/>
      <c r="NB358" s="9"/>
      <c r="NC358" s="9"/>
      <c r="ND358" s="9"/>
      <c r="NE358" s="9"/>
      <c r="NF358" s="9"/>
      <c r="NG358" s="9"/>
      <c r="NH358" s="9"/>
      <c r="NI358" s="9"/>
      <c r="NJ358" s="9"/>
      <c r="NK358" s="9"/>
      <c r="NL358" s="9"/>
      <c r="NM358" s="9"/>
      <c r="NN358" s="9"/>
      <c r="NO358" s="9"/>
      <c r="NP358" s="9"/>
      <c r="NQ358" s="9"/>
      <c r="NR358" s="9"/>
      <c r="NS358" s="9"/>
      <c r="NT358" s="9"/>
      <c r="NU358" s="9"/>
      <c r="NV358" s="9"/>
      <c r="NW358" s="9"/>
      <c r="NX358" s="9"/>
      <c r="NY358" s="9"/>
      <c r="NZ358" s="9"/>
      <c r="OA358" s="9"/>
      <c r="OB358" s="9"/>
      <c r="OC358" s="9"/>
      <c r="OD358" s="9"/>
      <c r="OE358" s="9"/>
      <c r="OF358" s="9"/>
      <c r="OG358" s="9"/>
      <c r="OH358" s="9"/>
      <c r="OI358" s="9"/>
      <c r="OJ358" s="10"/>
    </row>
    <row r="359" spans="1:400" x14ac:dyDescent="0.2">
      <c r="A359" s="5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  <c r="GM359" s="9"/>
      <c r="GN359" s="9"/>
      <c r="GO359" s="9"/>
      <c r="GP359" s="9"/>
      <c r="GQ359" s="9"/>
      <c r="GR359" s="9"/>
      <c r="GS359" s="9"/>
      <c r="GT359" s="9"/>
      <c r="GU359" s="9"/>
      <c r="GV359" s="9"/>
      <c r="GW359" s="9"/>
      <c r="GX359" s="9"/>
      <c r="GY359" s="9"/>
      <c r="GZ359" s="9"/>
      <c r="HA359" s="9"/>
      <c r="HB359" s="9"/>
      <c r="HC359" s="9"/>
      <c r="HD359" s="9"/>
      <c r="HE359" s="9"/>
      <c r="HF359" s="9"/>
      <c r="HG359" s="9"/>
      <c r="HH359" s="9"/>
      <c r="HI359" s="9"/>
      <c r="HJ359" s="9"/>
      <c r="HK359" s="9"/>
      <c r="HL359" s="9"/>
      <c r="HM359" s="9"/>
      <c r="HN359" s="9"/>
      <c r="HO359" s="9"/>
      <c r="HP359" s="9"/>
      <c r="HQ359" s="9"/>
      <c r="HR359" s="9"/>
      <c r="HS359" s="9"/>
      <c r="HT359" s="9"/>
      <c r="HU359" s="9"/>
      <c r="HV359" s="9"/>
      <c r="HW359" s="9"/>
      <c r="HX359" s="9"/>
      <c r="HY359" s="9"/>
      <c r="HZ359" s="9"/>
      <c r="IA359" s="9"/>
      <c r="IB359" s="9"/>
      <c r="IC359" s="9"/>
      <c r="ID359" s="9"/>
      <c r="IE359" s="9"/>
      <c r="IF359" s="9"/>
      <c r="IG359" s="9"/>
      <c r="IH359" s="9"/>
      <c r="II359" s="9"/>
      <c r="IJ359" s="9"/>
      <c r="IK359" s="9"/>
      <c r="IL359" s="9"/>
      <c r="IM359" s="9"/>
      <c r="IN359" s="9"/>
      <c r="IO359" s="9"/>
      <c r="IP359" s="9"/>
      <c r="IQ359" s="9"/>
      <c r="IR359" s="9"/>
      <c r="IS359" s="9"/>
      <c r="IT359" s="9"/>
      <c r="IU359" s="9"/>
      <c r="IV359" s="9"/>
      <c r="IW359" s="9"/>
      <c r="IX359" s="9"/>
      <c r="IY359" s="9"/>
      <c r="IZ359" s="9"/>
      <c r="JA359" s="9"/>
      <c r="JB359" s="9"/>
      <c r="JC359" s="9"/>
      <c r="JD359" s="9"/>
      <c r="JE359" s="9"/>
      <c r="JF359" s="9"/>
      <c r="JG359" s="9"/>
      <c r="JH359" s="9"/>
      <c r="JI359" s="9"/>
      <c r="JJ359" s="9"/>
      <c r="JK359" s="9"/>
      <c r="JL359" s="9"/>
      <c r="JM359" s="9"/>
      <c r="JN359" s="9"/>
      <c r="JO359" s="9"/>
      <c r="JP359" s="9"/>
      <c r="JQ359" s="9"/>
      <c r="JR359" s="9"/>
      <c r="JS359" s="9"/>
      <c r="JT359" s="9"/>
      <c r="JU359" s="9"/>
      <c r="JV359" s="9"/>
      <c r="JW359" s="9"/>
      <c r="JX359" s="9"/>
      <c r="JY359" s="9"/>
      <c r="JZ359" s="9"/>
      <c r="KA359" s="9"/>
      <c r="KB359" s="9"/>
      <c r="KC359" s="9"/>
      <c r="KD359" s="9"/>
      <c r="KE359" s="9"/>
      <c r="KF359" s="9"/>
      <c r="KG359" s="9"/>
      <c r="KH359" s="9"/>
      <c r="KI359" s="9"/>
      <c r="KJ359" s="9"/>
      <c r="KK359" s="9"/>
      <c r="KL359" s="9"/>
      <c r="KM359" s="9"/>
      <c r="KN359" s="9"/>
      <c r="KO359" s="9"/>
      <c r="KP359" s="9"/>
      <c r="KQ359" s="9"/>
      <c r="KR359" s="9"/>
      <c r="KS359" s="9"/>
      <c r="KT359" s="9"/>
      <c r="KU359" s="9"/>
      <c r="KV359" s="9"/>
      <c r="KW359" s="9"/>
      <c r="KX359" s="9"/>
      <c r="KY359" s="9"/>
      <c r="KZ359" s="9"/>
      <c r="LA359" s="9"/>
      <c r="LB359" s="9"/>
      <c r="LC359" s="9"/>
      <c r="LD359" s="9"/>
      <c r="LE359" s="9"/>
      <c r="LF359" s="9"/>
      <c r="LG359" s="9"/>
      <c r="LH359" s="9"/>
      <c r="LI359" s="9"/>
      <c r="LJ359" s="9"/>
      <c r="LK359" s="9"/>
      <c r="LL359" s="9"/>
      <c r="LM359" s="9"/>
      <c r="LN359" s="9"/>
      <c r="LO359" s="9"/>
      <c r="LP359" s="9"/>
      <c r="LQ359" s="9"/>
      <c r="LR359" s="9"/>
      <c r="LS359" s="9"/>
      <c r="LT359" s="9"/>
      <c r="LU359" s="9"/>
      <c r="LV359" s="9"/>
      <c r="LW359" s="9"/>
      <c r="LX359" s="9"/>
      <c r="LY359" s="9"/>
      <c r="LZ359" s="9"/>
      <c r="MA359" s="9"/>
      <c r="MB359" s="9"/>
      <c r="MC359" s="9"/>
      <c r="MD359" s="9"/>
      <c r="ME359" s="9"/>
      <c r="MF359" s="9"/>
      <c r="MG359" s="9"/>
      <c r="MH359" s="9"/>
      <c r="MI359" s="9"/>
      <c r="MJ359" s="9"/>
      <c r="MK359" s="9"/>
      <c r="ML359" s="9"/>
      <c r="MM359" s="9"/>
      <c r="MN359" s="9"/>
      <c r="MO359" s="9"/>
      <c r="MP359" s="9"/>
      <c r="MQ359" s="9"/>
      <c r="MR359" s="9"/>
      <c r="MS359" s="9"/>
      <c r="MT359" s="9"/>
      <c r="MU359" s="9"/>
      <c r="MV359" s="9"/>
      <c r="MW359" s="9"/>
      <c r="MX359" s="9"/>
      <c r="MY359" s="9"/>
      <c r="MZ359" s="9"/>
      <c r="NA359" s="9"/>
      <c r="NB359" s="9"/>
      <c r="NC359" s="9"/>
      <c r="ND359" s="9"/>
      <c r="NE359" s="9"/>
      <c r="NF359" s="9"/>
      <c r="NG359" s="9"/>
      <c r="NH359" s="9"/>
      <c r="NI359" s="9"/>
      <c r="NJ359" s="9"/>
      <c r="NK359" s="9"/>
      <c r="NL359" s="9"/>
      <c r="NM359" s="9"/>
      <c r="NN359" s="9"/>
      <c r="NO359" s="9"/>
      <c r="NP359" s="9"/>
      <c r="NQ359" s="9"/>
      <c r="NR359" s="9"/>
      <c r="NS359" s="9"/>
      <c r="NT359" s="9"/>
      <c r="NU359" s="9"/>
      <c r="NV359" s="9"/>
      <c r="NW359" s="9"/>
      <c r="NX359" s="9"/>
      <c r="NY359" s="9"/>
      <c r="NZ359" s="9"/>
      <c r="OA359" s="9"/>
      <c r="OB359" s="9"/>
      <c r="OC359" s="9"/>
      <c r="OD359" s="9"/>
      <c r="OE359" s="9"/>
      <c r="OF359" s="9"/>
      <c r="OG359" s="9"/>
      <c r="OH359" s="9"/>
      <c r="OI359" s="9"/>
      <c r="OJ359" s="10"/>
    </row>
    <row r="360" spans="1:400" x14ac:dyDescent="0.2">
      <c r="A360" s="5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  <c r="GM360" s="9"/>
      <c r="GN360" s="9"/>
      <c r="GO360" s="9"/>
      <c r="GP360" s="9"/>
      <c r="GQ360" s="9"/>
      <c r="GR360" s="9"/>
      <c r="GS360" s="9"/>
      <c r="GT360" s="9"/>
      <c r="GU360" s="9"/>
      <c r="GV360" s="9"/>
      <c r="GW360" s="9"/>
      <c r="GX360" s="9"/>
      <c r="GY360" s="9"/>
      <c r="GZ360" s="9"/>
      <c r="HA360" s="9"/>
      <c r="HB360" s="9"/>
      <c r="HC360" s="9"/>
      <c r="HD360" s="9"/>
      <c r="HE360" s="9"/>
      <c r="HF360" s="9"/>
      <c r="HG360" s="9"/>
      <c r="HH360" s="9"/>
      <c r="HI360" s="9"/>
      <c r="HJ360" s="9"/>
      <c r="HK360" s="9"/>
      <c r="HL360" s="9"/>
      <c r="HM360" s="9"/>
      <c r="HN360" s="9"/>
      <c r="HO360" s="9"/>
      <c r="HP360" s="9"/>
      <c r="HQ360" s="9"/>
      <c r="HR360" s="9"/>
      <c r="HS360" s="9"/>
      <c r="HT360" s="9"/>
      <c r="HU360" s="9"/>
      <c r="HV360" s="9"/>
      <c r="HW360" s="9"/>
      <c r="HX360" s="9"/>
      <c r="HY360" s="9"/>
      <c r="HZ360" s="9"/>
      <c r="IA360" s="9"/>
      <c r="IB360" s="9"/>
      <c r="IC360" s="9"/>
      <c r="ID360" s="9"/>
      <c r="IE360" s="9"/>
      <c r="IF360" s="9"/>
      <c r="IG360" s="9"/>
      <c r="IH360" s="9"/>
      <c r="II360" s="9"/>
      <c r="IJ360" s="9"/>
      <c r="IK360" s="9"/>
      <c r="IL360" s="9"/>
      <c r="IM360" s="9"/>
      <c r="IN360" s="9"/>
      <c r="IO360" s="9"/>
      <c r="IP360" s="9"/>
      <c r="IQ360" s="9"/>
      <c r="IR360" s="9"/>
      <c r="IS360" s="9"/>
      <c r="IT360" s="9"/>
      <c r="IU360" s="9"/>
      <c r="IV360" s="9"/>
      <c r="IW360" s="9"/>
      <c r="IX360" s="9"/>
      <c r="IY360" s="9"/>
      <c r="IZ360" s="9"/>
      <c r="JA360" s="9"/>
      <c r="JB360" s="9"/>
      <c r="JC360" s="9"/>
      <c r="JD360" s="9"/>
      <c r="JE360" s="9"/>
      <c r="JF360" s="9"/>
      <c r="JG360" s="9"/>
      <c r="JH360" s="9"/>
      <c r="JI360" s="9"/>
      <c r="JJ360" s="9"/>
      <c r="JK360" s="9"/>
      <c r="JL360" s="9"/>
      <c r="JM360" s="9"/>
      <c r="JN360" s="9"/>
      <c r="JO360" s="9"/>
      <c r="JP360" s="9"/>
      <c r="JQ360" s="9"/>
      <c r="JR360" s="9"/>
      <c r="JS360" s="9"/>
      <c r="JT360" s="9"/>
      <c r="JU360" s="9"/>
      <c r="JV360" s="9"/>
      <c r="JW360" s="9"/>
      <c r="JX360" s="9"/>
      <c r="JY360" s="9"/>
      <c r="JZ360" s="9"/>
      <c r="KA360" s="9"/>
      <c r="KB360" s="9"/>
      <c r="KC360" s="9"/>
      <c r="KD360" s="9"/>
      <c r="KE360" s="9"/>
      <c r="KF360" s="9"/>
      <c r="KG360" s="9"/>
      <c r="KH360" s="9"/>
      <c r="KI360" s="9"/>
      <c r="KJ360" s="9"/>
      <c r="KK360" s="9"/>
      <c r="KL360" s="9"/>
      <c r="KM360" s="9"/>
      <c r="KN360" s="9"/>
      <c r="KO360" s="9"/>
      <c r="KP360" s="9"/>
      <c r="KQ360" s="9"/>
      <c r="KR360" s="9"/>
      <c r="KS360" s="9"/>
      <c r="KT360" s="9"/>
      <c r="KU360" s="9"/>
      <c r="KV360" s="9"/>
      <c r="KW360" s="9"/>
      <c r="KX360" s="9"/>
      <c r="KY360" s="9"/>
      <c r="KZ360" s="9"/>
      <c r="LA360" s="9"/>
      <c r="LB360" s="9"/>
      <c r="LC360" s="9"/>
      <c r="LD360" s="9"/>
      <c r="LE360" s="9"/>
      <c r="LF360" s="9"/>
      <c r="LG360" s="9"/>
      <c r="LH360" s="9"/>
      <c r="LI360" s="9"/>
      <c r="LJ360" s="9"/>
      <c r="LK360" s="9"/>
      <c r="LL360" s="9"/>
      <c r="LM360" s="9"/>
      <c r="LN360" s="9"/>
      <c r="LO360" s="9"/>
      <c r="LP360" s="9"/>
      <c r="LQ360" s="9"/>
      <c r="LR360" s="9"/>
      <c r="LS360" s="9"/>
      <c r="LT360" s="9"/>
      <c r="LU360" s="9"/>
      <c r="LV360" s="9"/>
      <c r="LW360" s="9"/>
      <c r="LX360" s="9"/>
      <c r="LY360" s="9"/>
      <c r="LZ360" s="9"/>
      <c r="MA360" s="9"/>
      <c r="MB360" s="9"/>
      <c r="MC360" s="9"/>
      <c r="MD360" s="9"/>
      <c r="ME360" s="9"/>
      <c r="MF360" s="9"/>
      <c r="MG360" s="9"/>
      <c r="MH360" s="9"/>
      <c r="MI360" s="9"/>
      <c r="MJ360" s="9"/>
      <c r="MK360" s="9"/>
      <c r="ML360" s="9"/>
      <c r="MM360" s="9"/>
      <c r="MN360" s="9"/>
      <c r="MO360" s="9"/>
      <c r="MP360" s="9"/>
      <c r="MQ360" s="9"/>
      <c r="MR360" s="9"/>
      <c r="MS360" s="9"/>
      <c r="MT360" s="9"/>
      <c r="MU360" s="9"/>
      <c r="MV360" s="9"/>
      <c r="MW360" s="9"/>
      <c r="MX360" s="9"/>
      <c r="MY360" s="9"/>
      <c r="MZ360" s="9"/>
      <c r="NA360" s="9"/>
      <c r="NB360" s="9"/>
      <c r="NC360" s="9"/>
      <c r="ND360" s="9"/>
      <c r="NE360" s="9"/>
      <c r="NF360" s="9"/>
      <c r="NG360" s="9"/>
      <c r="NH360" s="9"/>
      <c r="NI360" s="9"/>
      <c r="NJ360" s="9"/>
      <c r="NK360" s="9"/>
      <c r="NL360" s="9"/>
      <c r="NM360" s="9"/>
      <c r="NN360" s="9"/>
      <c r="NO360" s="9"/>
      <c r="NP360" s="9"/>
      <c r="NQ360" s="9"/>
      <c r="NR360" s="9"/>
      <c r="NS360" s="9"/>
      <c r="NT360" s="9"/>
      <c r="NU360" s="9"/>
      <c r="NV360" s="9"/>
      <c r="NW360" s="9"/>
      <c r="NX360" s="9"/>
      <c r="NY360" s="9"/>
      <c r="NZ360" s="9"/>
      <c r="OA360" s="9"/>
      <c r="OB360" s="9"/>
      <c r="OC360" s="9"/>
      <c r="OD360" s="9"/>
      <c r="OE360" s="9"/>
      <c r="OF360" s="9"/>
      <c r="OG360" s="9"/>
      <c r="OH360" s="9"/>
      <c r="OI360" s="9"/>
      <c r="OJ360" s="10"/>
    </row>
    <row r="361" spans="1:400" x14ac:dyDescent="0.2">
      <c r="A361" s="5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  <c r="GM361" s="9"/>
      <c r="GN361" s="9"/>
      <c r="GO361" s="9"/>
      <c r="GP361" s="9"/>
      <c r="GQ361" s="9"/>
      <c r="GR361" s="9"/>
      <c r="GS361" s="9"/>
      <c r="GT361" s="9"/>
      <c r="GU361" s="9"/>
      <c r="GV361" s="9"/>
      <c r="GW361" s="9"/>
      <c r="GX361" s="9"/>
      <c r="GY361" s="9"/>
      <c r="GZ361" s="9"/>
      <c r="HA361" s="9"/>
      <c r="HB361" s="9"/>
      <c r="HC361" s="9"/>
      <c r="HD361" s="9"/>
      <c r="HE361" s="9"/>
      <c r="HF361" s="9"/>
      <c r="HG361" s="9"/>
      <c r="HH361" s="9"/>
      <c r="HI361" s="9"/>
      <c r="HJ361" s="9"/>
      <c r="HK361" s="9"/>
      <c r="HL361" s="9"/>
      <c r="HM361" s="9"/>
      <c r="HN361" s="9"/>
      <c r="HO361" s="9"/>
      <c r="HP361" s="9"/>
      <c r="HQ361" s="9"/>
      <c r="HR361" s="9"/>
      <c r="HS361" s="9"/>
      <c r="HT361" s="9"/>
      <c r="HU361" s="9"/>
      <c r="HV361" s="9"/>
      <c r="HW361" s="9"/>
      <c r="HX361" s="9"/>
      <c r="HY361" s="9"/>
      <c r="HZ361" s="9"/>
      <c r="IA361" s="9"/>
      <c r="IB361" s="9"/>
      <c r="IC361" s="9"/>
      <c r="ID361" s="9"/>
      <c r="IE361" s="9"/>
      <c r="IF361" s="9"/>
      <c r="IG361" s="9"/>
      <c r="IH361" s="9"/>
      <c r="II361" s="9"/>
      <c r="IJ361" s="9"/>
      <c r="IK361" s="9"/>
      <c r="IL361" s="9"/>
      <c r="IM361" s="9"/>
      <c r="IN361" s="9"/>
      <c r="IO361" s="9"/>
      <c r="IP361" s="9"/>
      <c r="IQ361" s="9"/>
      <c r="IR361" s="9"/>
      <c r="IS361" s="9"/>
      <c r="IT361" s="9"/>
      <c r="IU361" s="9"/>
      <c r="IV361" s="9"/>
      <c r="IW361" s="9"/>
      <c r="IX361" s="9"/>
      <c r="IY361" s="9"/>
      <c r="IZ361" s="9"/>
      <c r="JA361" s="9"/>
      <c r="JB361" s="9"/>
      <c r="JC361" s="9"/>
      <c r="JD361" s="9"/>
      <c r="JE361" s="9"/>
      <c r="JF361" s="9"/>
      <c r="JG361" s="9"/>
      <c r="JH361" s="9"/>
      <c r="JI361" s="9"/>
      <c r="JJ361" s="9"/>
      <c r="JK361" s="9"/>
      <c r="JL361" s="9"/>
      <c r="JM361" s="9"/>
      <c r="JN361" s="9"/>
      <c r="JO361" s="9"/>
      <c r="JP361" s="9"/>
      <c r="JQ361" s="9"/>
      <c r="JR361" s="9"/>
      <c r="JS361" s="9"/>
      <c r="JT361" s="9"/>
      <c r="JU361" s="9"/>
      <c r="JV361" s="9"/>
      <c r="JW361" s="9"/>
      <c r="JX361" s="9"/>
      <c r="JY361" s="9"/>
      <c r="JZ361" s="9"/>
      <c r="KA361" s="9"/>
      <c r="KB361" s="9"/>
      <c r="KC361" s="9"/>
      <c r="KD361" s="9"/>
      <c r="KE361" s="9"/>
      <c r="KF361" s="9"/>
      <c r="KG361" s="9"/>
      <c r="KH361" s="9"/>
      <c r="KI361" s="9"/>
      <c r="KJ361" s="9"/>
      <c r="KK361" s="9"/>
      <c r="KL361" s="9"/>
      <c r="KM361" s="9"/>
      <c r="KN361" s="9"/>
      <c r="KO361" s="9"/>
      <c r="KP361" s="9"/>
      <c r="KQ361" s="9"/>
      <c r="KR361" s="9"/>
      <c r="KS361" s="9"/>
      <c r="KT361" s="9"/>
      <c r="KU361" s="9"/>
      <c r="KV361" s="9"/>
      <c r="KW361" s="9"/>
      <c r="KX361" s="9"/>
      <c r="KY361" s="9"/>
      <c r="KZ361" s="9"/>
      <c r="LA361" s="9"/>
      <c r="LB361" s="9"/>
      <c r="LC361" s="9"/>
      <c r="LD361" s="9"/>
      <c r="LE361" s="9"/>
      <c r="LF361" s="9"/>
      <c r="LG361" s="9"/>
      <c r="LH361" s="9"/>
      <c r="LI361" s="9"/>
      <c r="LJ361" s="9"/>
      <c r="LK361" s="9"/>
      <c r="LL361" s="9"/>
      <c r="LM361" s="9"/>
      <c r="LN361" s="9"/>
      <c r="LO361" s="9"/>
      <c r="LP361" s="9"/>
      <c r="LQ361" s="9"/>
      <c r="LR361" s="9"/>
      <c r="LS361" s="9"/>
      <c r="LT361" s="9"/>
      <c r="LU361" s="9"/>
      <c r="LV361" s="9"/>
      <c r="LW361" s="9"/>
      <c r="LX361" s="9"/>
      <c r="LY361" s="9"/>
      <c r="LZ361" s="9"/>
      <c r="MA361" s="9"/>
      <c r="MB361" s="9"/>
      <c r="MC361" s="9"/>
      <c r="MD361" s="9"/>
      <c r="ME361" s="9"/>
      <c r="MF361" s="9"/>
      <c r="MG361" s="9"/>
      <c r="MH361" s="9"/>
      <c r="MI361" s="9"/>
      <c r="MJ361" s="9"/>
      <c r="MK361" s="9"/>
      <c r="ML361" s="9"/>
      <c r="MM361" s="9"/>
      <c r="MN361" s="9"/>
      <c r="MO361" s="9"/>
      <c r="MP361" s="9"/>
      <c r="MQ361" s="9"/>
      <c r="MR361" s="9"/>
      <c r="MS361" s="9"/>
      <c r="MT361" s="9"/>
      <c r="MU361" s="9"/>
      <c r="MV361" s="9"/>
      <c r="MW361" s="9"/>
      <c r="MX361" s="9"/>
      <c r="MY361" s="9"/>
      <c r="MZ361" s="9"/>
      <c r="NA361" s="9"/>
      <c r="NB361" s="9"/>
      <c r="NC361" s="9"/>
      <c r="ND361" s="9"/>
      <c r="NE361" s="9"/>
      <c r="NF361" s="9"/>
      <c r="NG361" s="9"/>
      <c r="NH361" s="9"/>
      <c r="NI361" s="9"/>
      <c r="NJ361" s="9"/>
      <c r="NK361" s="9"/>
      <c r="NL361" s="9"/>
      <c r="NM361" s="9"/>
      <c r="NN361" s="9"/>
      <c r="NO361" s="9"/>
      <c r="NP361" s="9"/>
      <c r="NQ361" s="9"/>
      <c r="NR361" s="9"/>
      <c r="NS361" s="9"/>
      <c r="NT361" s="9"/>
      <c r="NU361" s="9"/>
      <c r="NV361" s="9"/>
      <c r="NW361" s="9"/>
      <c r="NX361" s="9"/>
      <c r="NY361" s="9"/>
      <c r="NZ361" s="9"/>
      <c r="OA361" s="9"/>
      <c r="OB361" s="9"/>
      <c r="OC361" s="9"/>
      <c r="OD361" s="9"/>
      <c r="OE361" s="9"/>
      <c r="OF361" s="9"/>
      <c r="OG361" s="9"/>
      <c r="OH361" s="9"/>
      <c r="OI361" s="9"/>
      <c r="OJ361" s="10"/>
    </row>
    <row r="362" spans="1:400" x14ac:dyDescent="0.2">
      <c r="A362" s="5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  <c r="GM362" s="9"/>
      <c r="GN362" s="9"/>
      <c r="GO362" s="9"/>
      <c r="GP362" s="9"/>
      <c r="GQ362" s="9"/>
      <c r="GR362" s="9"/>
      <c r="GS362" s="9"/>
      <c r="GT362" s="9"/>
      <c r="GU362" s="9"/>
      <c r="GV362" s="9"/>
      <c r="GW362" s="9"/>
      <c r="GX362" s="9"/>
      <c r="GY362" s="9"/>
      <c r="GZ362" s="9"/>
      <c r="HA362" s="9"/>
      <c r="HB362" s="9"/>
      <c r="HC362" s="9"/>
      <c r="HD362" s="9"/>
      <c r="HE362" s="9"/>
      <c r="HF362" s="9"/>
      <c r="HG362" s="9"/>
      <c r="HH362" s="9"/>
      <c r="HI362" s="9"/>
      <c r="HJ362" s="9"/>
      <c r="HK362" s="9"/>
      <c r="HL362" s="9"/>
      <c r="HM362" s="9"/>
      <c r="HN362" s="9"/>
      <c r="HO362" s="9"/>
      <c r="HP362" s="9"/>
      <c r="HQ362" s="9"/>
      <c r="HR362" s="9"/>
      <c r="HS362" s="9"/>
      <c r="HT362" s="9"/>
      <c r="HU362" s="9"/>
      <c r="HV362" s="9"/>
      <c r="HW362" s="9"/>
      <c r="HX362" s="9"/>
      <c r="HY362" s="9"/>
      <c r="HZ362" s="9"/>
      <c r="IA362" s="9"/>
      <c r="IB362" s="9"/>
      <c r="IC362" s="9"/>
      <c r="ID362" s="9"/>
      <c r="IE362" s="9"/>
      <c r="IF362" s="9"/>
      <c r="IG362" s="9"/>
      <c r="IH362" s="9"/>
      <c r="II362" s="9"/>
      <c r="IJ362" s="9"/>
      <c r="IK362" s="9"/>
      <c r="IL362" s="9"/>
      <c r="IM362" s="9"/>
      <c r="IN362" s="9"/>
      <c r="IO362" s="9"/>
      <c r="IP362" s="9"/>
      <c r="IQ362" s="9"/>
      <c r="IR362" s="9"/>
      <c r="IS362" s="9"/>
      <c r="IT362" s="9"/>
      <c r="IU362" s="9"/>
      <c r="IV362" s="9"/>
      <c r="IW362" s="9"/>
      <c r="IX362" s="9"/>
      <c r="IY362" s="9"/>
      <c r="IZ362" s="9"/>
      <c r="JA362" s="9"/>
      <c r="JB362" s="9"/>
      <c r="JC362" s="9"/>
      <c r="JD362" s="9"/>
      <c r="JE362" s="9"/>
      <c r="JF362" s="9"/>
      <c r="JG362" s="9"/>
      <c r="JH362" s="9"/>
      <c r="JI362" s="9"/>
      <c r="JJ362" s="9"/>
      <c r="JK362" s="9"/>
      <c r="JL362" s="9"/>
      <c r="JM362" s="9"/>
      <c r="JN362" s="9"/>
      <c r="JO362" s="9"/>
      <c r="JP362" s="9"/>
      <c r="JQ362" s="9"/>
      <c r="JR362" s="9"/>
      <c r="JS362" s="9"/>
      <c r="JT362" s="9"/>
      <c r="JU362" s="9"/>
      <c r="JV362" s="9"/>
      <c r="JW362" s="9"/>
      <c r="JX362" s="9"/>
      <c r="JY362" s="9"/>
      <c r="JZ362" s="9"/>
      <c r="KA362" s="9"/>
      <c r="KB362" s="9"/>
      <c r="KC362" s="9"/>
      <c r="KD362" s="9"/>
      <c r="KE362" s="9"/>
      <c r="KF362" s="9"/>
      <c r="KG362" s="9"/>
      <c r="KH362" s="9"/>
      <c r="KI362" s="9"/>
      <c r="KJ362" s="9"/>
      <c r="KK362" s="9"/>
      <c r="KL362" s="9"/>
      <c r="KM362" s="9"/>
      <c r="KN362" s="9"/>
      <c r="KO362" s="9"/>
      <c r="KP362" s="9"/>
      <c r="KQ362" s="9"/>
      <c r="KR362" s="9"/>
      <c r="KS362" s="9"/>
      <c r="KT362" s="9"/>
      <c r="KU362" s="9"/>
      <c r="KV362" s="9"/>
      <c r="KW362" s="9"/>
      <c r="KX362" s="9"/>
      <c r="KY362" s="9"/>
      <c r="KZ362" s="9"/>
      <c r="LA362" s="9"/>
      <c r="LB362" s="9"/>
      <c r="LC362" s="9"/>
      <c r="LD362" s="9"/>
      <c r="LE362" s="9"/>
      <c r="LF362" s="9"/>
      <c r="LG362" s="9"/>
      <c r="LH362" s="9"/>
      <c r="LI362" s="9"/>
      <c r="LJ362" s="9"/>
      <c r="LK362" s="9"/>
      <c r="LL362" s="9"/>
      <c r="LM362" s="9"/>
      <c r="LN362" s="9"/>
      <c r="LO362" s="9"/>
      <c r="LP362" s="9"/>
      <c r="LQ362" s="9"/>
      <c r="LR362" s="9"/>
      <c r="LS362" s="9"/>
      <c r="LT362" s="9"/>
      <c r="LU362" s="9"/>
      <c r="LV362" s="9"/>
      <c r="LW362" s="9"/>
      <c r="LX362" s="9"/>
      <c r="LY362" s="9"/>
      <c r="LZ362" s="9"/>
      <c r="MA362" s="9"/>
      <c r="MB362" s="9"/>
      <c r="MC362" s="9"/>
      <c r="MD362" s="9"/>
      <c r="ME362" s="9"/>
      <c r="MF362" s="9"/>
      <c r="MG362" s="9"/>
      <c r="MH362" s="9"/>
      <c r="MI362" s="9"/>
      <c r="MJ362" s="9"/>
      <c r="MK362" s="9"/>
      <c r="ML362" s="9"/>
      <c r="MM362" s="9"/>
      <c r="MN362" s="9"/>
      <c r="MO362" s="9"/>
      <c r="MP362" s="9"/>
      <c r="MQ362" s="9"/>
      <c r="MR362" s="9"/>
      <c r="MS362" s="9"/>
      <c r="MT362" s="9"/>
      <c r="MU362" s="9"/>
      <c r="MV362" s="9"/>
      <c r="MW362" s="9"/>
      <c r="MX362" s="9"/>
      <c r="MY362" s="9"/>
      <c r="MZ362" s="9"/>
      <c r="NA362" s="9"/>
      <c r="NB362" s="9"/>
      <c r="NC362" s="9"/>
      <c r="ND362" s="9"/>
      <c r="NE362" s="9"/>
      <c r="NF362" s="9"/>
      <c r="NG362" s="9"/>
      <c r="NH362" s="9"/>
      <c r="NI362" s="9"/>
      <c r="NJ362" s="9"/>
      <c r="NK362" s="9"/>
      <c r="NL362" s="9"/>
      <c r="NM362" s="9"/>
      <c r="NN362" s="9"/>
      <c r="NO362" s="9"/>
      <c r="NP362" s="9"/>
      <c r="NQ362" s="9"/>
      <c r="NR362" s="9"/>
      <c r="NS362" s="9"/>
      <c r="NT362" s="9"/>
      <c r="NU362" s="9"/>
      <c r="NV362" s="9"/>
      <c r="NW362" s="9"/>
      <c r="NX362" s="9"/>
      <c r="NY362" s="9"/>
      <c r="NZ362" s="9"/>
      <c r="OA362" s="9"/>
      <c r="OB362" s="9"/>
      <c r="OC362" s="9"/>
      <c r="OD362" s="9"/>
      <c r="OE362" s="9"/>
      <c r="OF362" s="9"/>
      <c r="OG362" s="9"/>
      <c r="OH362" s="9"/>
      <c r="OI362" s="9"/>
      <c r="OJ362" s="10"/>
    </row>
    <row r="363" spans="1:400" x14ac:dyDescent="0.2">
      <c r="A363" s="5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  <c r="GM363" s="9"/>
      <c r="GN363" s="9"/>
      <c r="GO363" s="9"/>
      <c r="GP363" s="9"/>
      <c r="GQ363" s="9"/>
      <c r="GR363" s="9"/>
      <c r="GS363" s="9"/>
      <c r="GT363" s="9"/>
      <c r="GU363" s="9"/>
      <c r="GV363" s="9"/>
      <c r="GW363" s="9"/>
      <c r="GX363" s="9"/>
      <c r="GY363" s="9"/>
      <c r="GZ363" s="9"/>
      <c r="HA363" s="9"/>
      <c r="HB363" s="9"/>
      <c r="HC363" s="9"/>
      <c r="HD363" s="9"/>
      <c r="HE363" s="9"/>
      <c r="HF363" s="9"/>
      <c r="HG363" s="9"/>
      <c r="HH363" s="9"/>
      <c r="HI363" s="9"/>
      <c r="HJ363" s="9"/>
      <c r="HK363" s="9"/>
      <c r="HL363" s="9"/>
      <c r="HM363" s="9"/>
      <c r="HN363" s="9"/>
      <c r="HO363" s="9"/>
      <c r="HP363" s="9"/>
      <c r="HQ363" s="9"/>
      <c r="HR363" s="9"/>
      <c r="HS363" s="9"/>
      <c r="HT363" s="9"/>
      <c r="HU363" s="9"/>
      <c r="HV363" s="9"/>
      <c r="HW363" s="9"/>
      <c r="HX363" s="9"/>
      <c r="HY363" s="9"/>
      <c r="HZ363" s="9"/>
      <c r="IA363" s="9"/>
      <c r="IB363" s="9"/>
      <c r="IC363" s="9"/>
      <c r="ID363" s="9"/>
      <c r="IE363" s="9"/>
      <c r="IF363" s="9"/>
      <c r="IG363" s="9"/>
      <c r="IH363" s="9"/>
      <c r="II363" s="9"/>
      <c r="IJ363" s="9"/>
      <c r="IK363" s="9"/>
      <c r="IL363" s="9"/>
      <c r="IM363" s="9"/>
      <c r="IN363" s="9"/>
      <c r="IO363" s="9"/>
      <c r="IP363" s="9"/>
      <c r="IQ363" s="9"/>
      <c r="IR363" s="9"/>
      <c r="IS363" s="9"/>
      <c r="IT363" s="9"/>
      <c r="IU363" s="9"/>
      <c r="IV363" s="9"/>
      <c r="IW363" s="9"/>
      <c r="IX363" s="9"/>
      <c r="IY363" s="9"/>
      <c r="IZ363" s="9"/>
      <c r="JA363" s="9"/>
      <c r="JB363" s="9"/>
      <c r="JC363" s="9"/>
      <c r="JD363" s="9"/>
      <c r="JE363" s="9"/>
      <c r="JF363" s="9"/>
      <c r="JG363" s="9"/>
      <c r="JH363" s="9"/>
      <c r="JI363" s="9"/>
      <c r="JJ363" s="9"/>
      <c r="JK363" s="9"/>
      <c r="JL363" s="9"/>
      <c r="JM363" s="9"/>
      <c r="JN363" s="9"/>
      <c r="JO363" s="9"/>
      <c r="JP363" s="9"/>
      <c r="JQ363" s="9"/>
      <c r="JR363" s="9"/>
      <c r="JS363" s="9"/>
      <c r="JT363" s="9"/>
      <c r="JU363" s="9"/>
      <c r="JV363" s="9"/>
      <c r="JW363" s="9"/>
      <c r="JX363" s="9"/>
      <c r="JY363" s="9"/>
      <c r="JZ363" s="9"/>
      <c r="KA363" s="9"/>
      <c r="KB363" s="9"/>
      <c r="KC363" s="9"/>
      <c r="KD363" s="9"/>
      <c r="KE363" s="9"/>
      <c r="KF363" s="9"/>
      <c r="KG363" s="9"/>
      <c r="KH363" s="9"/>
      <c r="KI363" s="9"/>
      <c r="KJ363" s="9"/>
      <c r="KK363" s="9"/>
      <c r="KL363" s="9"/>
      <c r="KM363" s="9"/>
      <c r="KN363" s="9"/>
      <c r="KO363" s="9"/>
      <c r="KP363" s="9"/>
      <c r="KQ363" s="9"/>
      <c r="KR363" s="9"/>
      <c r="KS363" s="9"/>
      <c r="KT363" s="9"/>
      <c r="KU363" s="9"/>
      <c r="KV363" s="9"/>
      <c r="KW363" s="9"/>
      <c r="KX363" s="9"/>
      <c r="KY363" s="9"/>
      <c r="KZ363" s="9"/>
      <c r="LA363" s="9"/>
      <c r="LB363" s="9"/>
      <c r="LC363" s="9"/>
      <c r="LD363" s="9"/>
      <c r="LE363" s="9"/>
      <c r="LF363" s="9"/>
      <c r="LG363" s="9"/>
      <c r="LH363" s="9"/>
      <c r="LI363" s="9"/>
      <c r="LJ363" s="9"/>
      <c r="LK363" s="9"/>
      <c r="LL363" s="9"/>
      <c r="LM363" s="9"/>
      <c r="LN363" s="9"/>
      <c r="LO363" s="9"/>
      <c r="LP363" s="9"/>
      <c r="LQ363" s="9"/>
      <c r="LR363" s="9"/>
      <c r="LS363" s="9"/>
      <c r="LT363" s="9"/>
      <c r="LU363" s="9"/>
      <c r="LV363" s="9"/>
      <c r="LW363" s="9"/>
      <c r="LX363" s="9"/>
      <c r="LY363" s="9"/>
      <c r="LZ363" s="9"/>
      <c r="MA363" s="9"/>
      <c r="MB363" s="9"/>
      <c r="MC363" s="9"/>
      <c r="MD363" s="9"/>
      <c r="ME363" s="9"/>
      <c r="MF363" s="9"/>
      <c r="MG363" s="9"/>
      <c r="MH363" s="9"/>
      <c r="MI363" s="9"/>
      <c r="MJ363" s="9"/>
      <c r="MK363" s="9"/>
      <c r="ML363" s="9"/>
      <c r="MM363" s="9"/>
      <c r="MN363" s="9"/>
      <c r="MO363" s="9"/>
      <c r="MP363" s="9"/>
      <c r="MQ363" s="9"/>
      <c r="MR363" s="9"/>
      <c r="MS363" s="9"/>
      <c r="MT363" s="9"/>
      <c r="MU363" s="9"/>
      <c r="MV363" s="9"/>
      <c r="MW363" s="9"/>
      <c r="MX363" s="9"/>
      <c r="MY363" s="9"/>
      <c r="MZ363" s="9"/>
      <c r="NA363" s="9"/>
      <c r="NB363" s="9"/>
      <c r="NC363" s="9"/>
      <c r="ND363" s="9"/>
      <c r="NE363" s="9"/>
      <c r="NF363" s="9"/>
      <c r="NG363" s="9"/>
      <c r="NH363" s="9"/>
      <c r="NI363" s="9"/>
      <c r="NJ363" s="9"/>
      <c r="NK363" s="9"/>
      <c r="NL363" s="9"/>
      <c r="NM363" s="9"/>
      <c r="NN363" s="9"/>
      <c r="NO363" s="9"/>
      <c r="NP363" s="9"/>
      <c r="NQ363" s="9"/>
      <c r="NR363" s="9"/>
      <c r="NS363" s="9"/>
      <c r="NT363" s="9"/>
      <c r="NU363" s="9"/>
      <c r="NV363" s="9"/>
      <c r="NW363" s="9"/>
      <c r="NX363" s="9"/>
      <c r="NY363" s="9"/>
      <c r="NZ363" s="9"/>
      <c r="OA363" s="9"/>
      <c r="OB363" s="9"/>
      <c r="OC363" s="9"/>
      <c r="OD363" s="9"/>
      <c r="OE363" s="9"/>
      <c r="OF363" s="9"/>
      <c r="OG363" s="9"/>
      <c r="OH363" s="9"/>
      <c r="OI363" s="9"/>
      <c r="OJ363" s="10"/>
    </row>
    <row r="364" spans="1:400" x14ac:dyDescent="0.2">
      <c r="A364" s="5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  <c r="IS364" s="9"/>
      <c r="IT364" s="9"/>
      <c r="IU364" s="9"/>
      <c r="IV364" s="9"/>
      <c r="IW364" s="9"/>
      <c r="IX364" s="9"/>
      <c r="IY364" s="9"/>
      <c r="IZ364" s="9"/>
      <c r="JA364" s="9"/>
      <c r="JB364" s="9"/>
      <c r="JC364" s="9"/>
      <c r="JD364" s="9"/>
      <c r="JE364" s="9"/>
      <c r="JF364" s="9"/>
      <c r="JG364" s="9"/>
      <c r="JH364" s="9"/>
      <c r="JI364" s="9"/>
      <c r="JJ364" s="9"/>
      <c r="JK364" s="9"/>
      <c r="JL364" s="9"/>
      <c r="JM364" s="9"/>
      <c r="JN364" s="9"/>
      <c r="JO364" s="9"/>
      <c r="JP364" s="9"/>
      <c r="JQ364" s="9"/>
      <c r="JR364" s="9"/>
      <c r="JS364" s="9"/>
      <c r="JT364" s="9"/>
      <c r="JU364" s="9"/>
      <c r="JV364" s="9"/>
      <c r="JW364" s="9"/>
      <c r="JX364" s="9"/>
      <c r="JY364" s="9"/>
      <c r="JZ364" s="9"/>
      <c r="KA364" s="9"/>
      <c r="KB364" s="9"/>
      <c r="KC364" s="9"/>
      <c r="KD364" s="9"/>
      <c r="KE364" s="9"/>
      <c r="KF364" s="9"/>
      <c r="KG364" s="9"/>
      <c r="KH364" s="9"/>
      <c r="KI364" s="9"/>
      <c r="KJ364" s="9"/>
      <c r="KK364" s="9"/>
      <c r="KL364" s="9"/>
      <c r="KM364" s="9"/>
      <c r="KN364" s="9"/>
      <c r="KO364" s="9"/>
      <c r="KP364" s="9"/>
      <c r="KQ364" s="9"/>
      <c r="KR364" s="9"/>
      <c r="KS364" s="9"/>
      <c r="KT364" s="9"/>
      <c r="KU364" s="9"/>
      <c r="KV364" s="9"/>
      <c r="KW364" s="9"/>
      <c r="KX364" s="9"/>
      <c r="KY364" s="9"/>
      <c r="KZ364" s="9"/>
      <c r="LA364" s="9"/>
      <c r="LB364" s="9"/>
      <c r="LC364" s="9"/>
      <c r="LD364" s="9"/>
      <c r="LE364" s="9"/>
      <c r="LF364" s="9"/>
      <c r="LG364" s="9"/>
      <c r="LH364" s="9"/>
      <c r="LI364" s="9"/>
      <c r="LJ364" s="9"/>
      <c r="LK364" s="9"/>
      <c r="LL364" s="9"/>
      <c r="LM364" s="9"/>
      <c r="LN364" s="9"/>
      <c r="LO364" s="9"/>
      <c r="LP364" s="9"/>
      <c r="LQ364" s="9"/>
      <c r="LR364" s="9"/>
      <c r="LS364" s="9"/>
      <c r="LT364" s="9"/>
      <c r="LU364" s="9"/>
      <c r="LV364" s="9"/>
      <c r="LW364" s="9"/>
      <c r="LX364" s="9"/>
      <c r="LY364" s="9"/>
      <c r="LZ364" s="9"/>
      <c r="MA364" s="9"/>
      <c r="MB364" s="9"/>
      <c r="MC364" s="9"/>
      <c r="MD364" s="9"/>
      <c r="ME364" s="9"/>
      <c r="MF364" s="9"/>
      <c r="MG364" s="9"/>
      <c r="MH364" s="9"/>
      <c r="MI364" s="9"/>
      <c r="MJ364" s="9"/>
      <c r="MK364" s="9"/>
      <c r="ML364" s="9"/>
      <c r="MM364" s="9"/>
      <c r="MN364" s="9"/>
      <c r="MO364" s="9"/>
      <c r="MP364" s="9"/>
      <c r="MQ364" s="9"/>
      <c r="MR364" s="9"/>
      <c r="MS364" s="9"/>
      <c r="MT364" s="9"/>
      <c r="MU364" s="9"/>
      <c r="MV364" s="9"/>
      <c r="MW364" s="9"/>
      <c r="MX364" s="9"/>
      <c r="MY364" s="9"/>
      <c r="MZ364" s="9"/>
      <c r="NA364" s="9"/>
      <c r="NB364" s="9"/>
      <c r="NC364" s="9"/>
      <c r="ND364" s="9"/>
      <c r="NE364" s="9"/>
      <c r="NF364" s="9"/>
      <c r="NG364" s="9"/>
      <c r="NH364" s="9"/>
      <c r="NI364" s="9"/>
      <c r="NJ364" s="9"/>
      <c r="NK364" s="9"/>
      <c r="NL364" s="9"/>
      <c r="NM364" s="9"/>
      <c r="NN364" s="9"/>
      <c r="NO364" s="9"/>
      <c r="NP364" s="9"/>
      <c r="NQ364" s="9"/>
      <c r="NR364" s="9"/>
      <c r="NS364" s="9"/>
      <c r="NT364" s="9"/>
      <c r="NU364" s="9"/>
      <c r="NV364" s="9"/>
      <c r="NW364" s="9"/>
      <c r="NX364" s="9"/>
      <c r="NY364" s="9"/>
      <c r="NZ364" s="9"/>
      <c r="OA364" s="9"/>
      <c r="OB364" s="9"/>
      <c r="OC364" s="9"/>
      <c r="OD364" s="9"/>
      <c r="OE364" s="9"/>
      <c r="OF364" s="9"/>
      <c r="OG364" s="9"/>
      <c r="OH364" s="9"/>
      <c r="OI364" s="9"/>
      <c r="OJ364" s="10"/>
    </row>
    <row r="365" spans="1:400" x14ac:dyDescent="0.2">
      <c r="A365" s="5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  <c r="IS365" s="9"/>
      <c r="IT365" s="9"/>
      <c r="IU365" s="9"/>
      <c r="IV365" s="9"/>
      <c r="IW365" s="9"/>
      <c r="IX365" s="9"/>
      <c r="IY365" s="9"/>
      <c r="IZ365" s="9"/>
      <c r="JA365" s="9"/>
      <c r="JB365" s="9"/>
      <c r="JC365" s="9"/>
      <c r="JD365" s="9"/>
      <c r="JE365" s="9"/>
      <c r="JF365" s="9"/>
      <c r="JG365" s="9"/>
      <c r="JH365" s="9"/>
      <c r="JI365" s="9"/>
      <c r="JJ365" s="9"/>
      <c r="JK365" s="9"/>
      <c r="JL365" s="9"/>
      <c r="JM365" s="9"/>
      <c r="JN365" s="9"/>
      <c r="JO365" s="9"/>
      <c r="JP365" s="9"/>
      <c r="JQ365" s="9"/>
      <c r="JR365" s="9"/>
      <c r="JS365" s="9"/>
      <c r="JT365" s="9"/>
      <c r="JU365" s="9"/>
      <c r="JV365" s="9"/>
      <c r="JW365" s="9"/>
      <c r="JX365" s="9"/>
      <c r="JY365" s="9"/>
      <c r="JZ365" s="9"/>
      <c r="KA365" s="9"/>
      <c r="KB365" s="9"/>
      <c r="KC365" s="9"/>
      <c r="KD365" s="9"/>
      <c r="KE365" s="9"/>
      <c r="KF365" s="9"/>
      <c r="KG365" s="9"/>
      <c r="KH365" s="9"/>
      <c r="KI365" s="9"/>
      <c r="KJ365" s="9"/>
      <c r="KK365" s="9"/>
      <c r="KL365" s="9"/>
      <c r="KM365" s="9"/>
      <c r="KN365" s="9"/>
      <c r="KO365" s="9"/>
      <c r="KP365" s="9"/>
      <c r="KQ365" s="9"/>
      <c r="KR365" s="9"/>
      <c r="KS365" s="9"/>
      <c r="KT365" s="9"/>
      <c r="KU365" s="9"/>
      <c r="KV365" s="9"/>
      <c r="KW365" s="9"/>
      <c r="KX365" s="9"/>
      <c r="KY365" s="9"/>
      <c r="KZ365" s="9"/>
      <c r="LA365" s="9"/>
      <c r="LB365" s="9"/>
      <c r="LC365" s="9"/>
      <c r="LD365" s="9"/>
      <c r="LE365" s="9"/>
      <c r="LF365" s="9"/>
      <c r="LG365" s="9"/>
      <c r="LH365" s="9"/>
      <c r="LI365" s="9"/>
      <c r="LJ365" s="9"/>
      <c r="LK365" s="9"/>
      <c r="LL365" s="9"/>
      <c r="LM365" s="9"/>
      <c r="LN365" s="9"/>
      <c r="LO365" s="9"/>
      <c r="LP365" s="9"/>
      <c r="LQ365" s="9"/>
      <c r="LR365" s="9"/>
      <c r="LS365" s="9"/>
      <c r="LT365" s="9"/>
      <c r="LU365" s="9"/>
      <c r="LV365" s="9"/>
      <c r="LW365" s="9"/>
      <c r="LX365" s="9"/>
      <c r="LY365" s="9"/>
      <c r="LZ365" s="9"/>
      <c r="MA365" s="9"/>
      <c r="MB365" s="9"/>
      <c r="MC365" s="9"/>
      <c r="MD365" s="9"/>
      <c r="ME365" s="9"/>
      <c r="MF365" s="9"/>
      <c r="MG365" s="9"/>
      <c r="MH365" s="9"/>
      <c r="MI365" s="9"/>
      <c r="MJ365" s="9"/>
      <c r="MK365" s="9"/>
      <c r="ML365" s="9"/>
      <c r="MM365" s="9"/>
      <c r="MN365" s="9"/>
      <c r="MO365" s="9"/>
      <c r="MP365" s="9"/>
      <c r="MQ365" s="9"/>
      <c r="MR365" s="9"/>
      <c r="MS365" s="9"/>
      <c r="MT365" s="9"/>
      <c r="MU365" s="9"/>
      <c r="MV365" s="9"/>
      <c r="MW365" s="9"/>
      <c r="MX365" s="9"/>
      <c r="MY365" s="9"/>
      <c r="MZ365" s="9"/>
      <c r="NA365" s="9"/>
      <c r="NB365" s="9"/>
      <c r="NC365" s="9"/>
      <c r="ND365" s="9"/>
      <c r="NE365" s="9"/>
      <c r="NF365" s="9"/>
      <c r="NG365" s="9"/>
      <c r="NH365" s="9"/>
      <c r="NI365" s="9"/>
      <c r="NJ365" s="9"/>
      <c r="NK365" s="9"/>
      <c r="NL365" s="9"/>
      <c r="NM365" s="9"/>
      <c r="NN365" s="9"/>
      <c r="NO365" s="9"/>
      <c r="NP365" s="9"/>
      <c r="NQ365" s="9"/>
      <c r="NR365" s="9"/>
      <c r="NS365" s="9"/>
      <c r="NT365" s="9"/>
      <c r="NU365" s="9"/>
      <c r="NV365" s="9"/>
      <c r="NW365" s="9"/>
      <c r="NX365" s="9"/>
      <c r="NY365" s="9"/>
      <c r="NZ365" s="9"/>
      <c r="OA365" s="9"/>
      <c r="OB365" s="9"/>
      <c r="OC365" s="9"/>
      <c r="OD365" s="9"/>
      <c r="OE365" s="9"/>
      <c r="OF365" s="9"/>
      <c r="OG365" s="9"/>
      <c r="OH365" s="9"/>
      <c r="OI365" s="9"/>
      <c r="OJ365" s="10"/>
    </row>
    <row r="366" spans="1:400" x14ac:dyDescent="0.2">
      <c r="A366" s="5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  <c r="GM366" s="9"/>
      <c r="GN366" s="9"/>
      <c r="GO366" s="9"/>
      <c r="GP366" s="9"/>
      <c r="GQ366" s="9"/>
      <c r="GR366" s="9"/>
      <c r="GS366" s="9"/>
      <c r="GT366" s="9"/>
      <c r="GU366" s="9"/>
      <c r="GV366" s="9"/>
      <c r="GW366" s="9"/>
      <c r="GX366" s="9"/>
      <c r="GY366" s="9"/>
      <c r="GZ366" s="9"/>
      <c r="HA366" s="9"/>
      <c r="HB366" s="9"/>
      <c r="HC366" s="9"/>
      <c r="HD366" s="9"/>
      <c r="HE366" s="9"/>
      <c r="HF366" s="9"/>
      <c r="HG366" s="9"/>
      <c r="HH366" s="9"/>
      <c r="HI366" s="9"/>
      <c r="HJ366" s="9"/>
      <c r="HK366" s="9"/>
      <c r="HL366" s="9"/>
      <c r="HM366" s="9"/>
      <c r="HN366" s="9"/>
      <c r="HO366" s="9"/>
      <c r="HP366" s="9"/>
      <c r="HQ366" s="9"/>
      <c r="HR366" s="9"/>
      <c r="HS366" s="9"/>
      <c r="HT366" s="9"/>
      <c r="HU366" s="9"/>
      <c r="HV366" s="9"/>
      <c r="HW366" s="9"/>
      <c r="HX366" s="9"/>
      <c r="HY366" s="9"/>
      <c r="HZ366" s="9"/>
      <c r="IA366" s="9"/>
      <c r="IB366" s="9"/>
      <c r="IC366" s="9"/>
      <c r="ID366" s="9"/>
      <c r="IE366" s="9"/>
      <c r="IF366" s="9"/>
      <c r="IG366" s="9"/>
      <c r="IH366" s="9"/>
      <c r="II366" s="9"/>
      <c r="IJ366" s="9"/>
      <c r="IK366" s="9"/>
      <c r="IL366" s="9"/>
      <c r="IM366" s="9"/>
      <c r="IN366" s="9"/>
      <c r="IO366" s="9"/>
      <c r="IP366" s="9"/>
      <c r="IQ366" s="9"/>
      <c r="IR366" s="9"/>
      <c r="IS366" s="9"/>
      <c r="IT366" s="9"/>
      <c r="IU366" s="9"/>
      <c r="IV366" s="9"/>
      <c r="IW366" s="9"/>
      <c r="IX366" s="9"/>
      <c r="IY366" s="9"/>
      <c r="IZ366" s="9"/>
      <c r="JA366" s="9"/>
      <c r="JB366" s="9"/>
      <c r="JC366" s="9"/>
      <c r="JD366" s="9"/>
      <c r="JE366" s="9"/>
      <c r="JF366" s="9"/>
      <c r="JG366" s="9"/>
      <c r="JH366" s="9"/>
      <c r="JI366" s="9"/>
      <c r="JJ366" s="9"/>
      <c r="JK366" s="9"/>
      <c r="JL366" s="9"/>
      <c r="JM366" s="9"/>
      <c r="JN366" s="9"/>
      <c r="JO366" s="9"/>
      <c r="JP366" s="9"/>
      <c r="JQ366" s="9"/>
      <c r="JR366" s="9"/>
      <c r="JS366" s="9"/>
      <c r="JT366" s="9"/>
      <c r="JU366" s="9"/>
      <c r="JV366" s="9"/>
      <c r="JW366" s="9"/>
      <c r="JX366" s="9"/>
      <c r="JY366" s="9"/>
      <c r="JZ366" s="9"/>
      <c r="KA366" s="9"/>
      <c r="KB366" s="9"/>
      <c r="KC366" s="9"/>
      <c r="KD366" s="9"/>
      <c r="KE366" s="9"/>
      <c r="KF366" s="9"/>
      <c r="KG366" s="9"/>
      <c r="KH366" s="9"/>
      <c r="KI366" s="9"/>
      <c r="KJ366" s="9"/>
      <c r="KK366" s="9"/>
      <c r="KL366" s="9"/>
      <c r="KM366" s="9"/>
      <c r="KN366" s="9"/>
      <c r="KO366" s="9"/>
      <c r="KP366" s="9"/>
      <c r="KQ366" s="9"/>
      <c r="KR366" s="9"/>
      <c r="KS366" s="9"/>
      <c r="KT366" s="9"/>
      <c r="KU366" s="9"/>
      <c r="KV366" s="9"/>
      <c r="KW366" s="9"/>
      <c r="KX366" s="9"/>
      <c r="KY366" s="9"/>
      <c r="KZ366" s="9"/>
      <c r="LA366" s="9"/>
      <c r="LB366" s="9"/>
      <c r="LC366" s="9"/>
      <c r="LD366" s="9"/>
      <c r="LE366" s="9"/>
      <c r="LF366" s="9"/>
      <c r="LG366" s="9"/>
      <c r="LH366" s="9"/>
      <c r="LI366" s="9"/>
      <c r="LJ366" s="9"/>
      <c r="LK366" s="9"/>
      <c r="LL366" s="9"/>
      <c r="LM366" s="9"/>
      <c r="LN366" s="9"/>
      <c r="LO366" s="9"/>
      <c r="LP366" s="9"/>
      <c r="LQ366" s="9"/>
      <c r="LR366" s="9"/>
      <c r="LS366" s="9"/>
      <c r="LT366" s="9"/>
      <c r="LU366" s="9"/>
      <c r="LV366" s="9"/>
      <c r="LW366" s="9"/>
      <c r="LX366" s="9"/>
      <c r="LY366" s="9"/>
      <c r="LZ366" s="9"/>
      <c r="MA366" s="9"/>
      <c r="MB366" s="9"/>
      <c r="MC366" s="9"/>
      <c r="MD366" s="9"/>
      <c r="ME366" s="9"/>
      <c r="MF366" s="9"/>
      <c r="MG366" s="9"/>
      <c r="MH366" s="9"/>
      <c r="MI366" s="9"/>
      <c r="MJ366" s="9"/>
      <c r="MK366" s="9"/>
      <c r="ML366" s="9"/>
      <c r="MM366" s="9"/>
      <c r="MN366" s="9"/>
      <c r="MO366" s="9"/>
      <c r="MP366" s="9"/>
      <c r="MQ366" s="9"/>
      <c r="MR366" s="9"/>
      <c r="MS366" s="9"/>
      <c r="MT366" s="9"/>
      <c r="MU366" s="9"/>
      <c r="MV366" s="9"/>
      <c r="MW366" s="9"/>
      <c r="MX366" s="9"/>
      <c r="MY366" s="9"/>
      <c r="MZ366" s="9"/>
      <c r="NA366" s="9"/>
      <c r="NB366" s="9"/>
      <c r="NC366" s="9"/>
      <c r="ND366" s="9"/>
      <c r="NE366" s="9"/>
      <c r="NF366" s="9"/>
      <c r="NG366" s="9"/>
      <c r="NH366" s="9"/>
      <c r="NI366" s="9"/>
      <c r="NJ366" s="9"/>
      <c r="NK366" s="9"/>
      <c r="NL366" s="9"/>
      <c r="NM366" s="9"/>
      <c r="NN366" s="9"/>
      <c r="NO366" s="9"/>
      <c r="NP366" s="9"/>
      <c r="NQ366" s="9"/>
      <c r="NR366" s="9"/>
      <c r="NS366" s="9"/>
      <c r="NT366" s="9"/>
      <c r="NU366" s="9"/>
      <c r="NV366" s="9"/>
      <c r="NW366" s="9"/>
      <c r="NX366" s="9"/>
      <c r="NY366" s="9"/>
      <c r="NZ366" s="9"/>
      <c r="OA366" s="9"/>
      <c r="OB366" s="9"/>
      <c r="OC366" s="9"/>
      <c r="OD366" s="9"/>
      <c r="OE366" s="9"/>
      <c r="OF366" s="9"/>
      <c r="OG366" s="9"/>
      <c r="OH366" s="9"/>
      <c r="OI366" s="9"/>
      <c r="OJ366" s="10"/>
    </row>
    <row r="367" spans="1:400" x14ac:dyDescent="0.2">
      <c r="A367" s="5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  <c r="GM367" s="9"/>
      <c r="GN367" s="9"/>
      <c r="GO367" s="9"/>
      <c r="GP367" s="9"/>
      <c r="GQ367" s="9"/>
      <c r="GR367" s="9"/>
      <c r="GS367" s="9"/>
      <c r="GT367" s="9"/>
      <c r="GU367" s="9"/>
      <c r="GV367" s="9"/>
      <c r="GW367" s="9"/>
      <c r="GX367" s="9"/>
      <c r="GY367" s="9"/>
      <c r="GZ367" s="9"/>
      <c r="HA367" s="9"/>
      <c r="HB367" s="9"/>
      <c r="HC367" s="9"/>
      <c r="HD367" s="9"/>
      <c r="HE367" s="9"/>
      <c r="HF367" s="9"/>
      <c r="HG367" s="9"/>
      <c r="HH367" s="9"/>
      <c r="HI367" s="9"/>
      <c r="HJ367" s="9"/>
      <c r="HK367" s="9"/>
      <c r="HL367" s="9"/>
      <c r="HM367" s="9"/>
      <c r="HN367" s="9"/>
      <c r="HO367" s="9"/>
      <c r="HP367" s="9"/>
      <c r="HQ367" s="9"/>
      <c r="HR367" s="9"/>
      <c r="HS367" s="9"/>
      <c r="HT367" s="9"/>
      <c r="HU367" s="9"/>
      <c r="HV367" s="9"/>
      <c r="HW367" s="9"/>
      <c r="HX367" s="9"/>
      <c r="HY367" s="9"/>
      <c r="HZ367" s="9"/>
      <c r="IA367" s="9"/>
      <c r="IB367" s="9"/>
      <c r="IC367" s="9"/>
      <c r="ID367" s="9"/>
      <c r="IE367" s="9"/>
      <c r="IF367" s="9"/>
      <c r="IG367" s="9"/>
      <c r="IH367" s="9"/>
      <c r="II367" s="9"/>
      <c r="IJ367" s="9"/>
      <c r="IK367" s="9"/>
      <c r="IL367" s="9"/>
      <c r="IM367" s="9"/>
      <c r="IN367" s="9"/>
      <c r="IO367" s="9"/>
      <c r="IP367" s="9"/>
      <c r="IQ367" s="9"/>
      <c r="IR367" s="9"/>
      <c r="IS367" s="9"/>
      <c r="IT367" s="9"/>
      <c r="IU367" s="9"/>
      <c r="IV367" s="9"/>
      <c r="IW367" s="9"/>
      <c r="IX367" s="9"/>
      <c r="IY367" s="9"/>
      <c r="IZ367" s="9"/>
      <c r="JA367" s="9"/>
      <c r="JB367" s="9"/>
      <c r="JC367" s="9"/>
      <c r="JD367" s="9"/>
      <c r="JE367" s="9"/>
      <c r="JF367" s="9"/>
      <c r="JG367" s="9"/>
      <c r="JH367" s="9"/>
      <c r="JI367" s="9"/>
      <c r="JJ367" s="9"/>
      <c r="JK367" s="9"/>
      <c r="JL367" s="9"/>
      <c r="JM367" s="9"/>
      <c r="JN367" s="9"/>
      <c r="JO367" s="9"/>
      <c r="JP367" s="9"/>
      <c r="JQ367" s="9"/>
      <c r="JR367" s="9"/>
      <c r="JS367" s="9"/>
      <c r="JT367" s="9"/>
      <c r="JU367" s="9"/>
      <c r="JV367" s="9"/>
      <c r="JW367" s="9"/>
      <c r="JX367" s="9"/>
      <c r="JY367" s="9"/>
      <c r="JZ367" s="9"/>
      <c r="KA367" s="9"/>
      <c r="KB367" s="9"/>
      <c r="KC367" s="9"/>
      <c r="KD367" s="9"/>
      <c r="KE367" s="9"/>
      <c r="KF367" s="9"/>
      <c r="KG367" s="9"/>
      <c r="KH367" s="9"/>
      <c r="KI367" s="9"/>
      <c r="KJ367" s="9"/>
      <c r="KK367" s="9"/>
      <c r="KL367" s="9"/>
      <c r="KM367" s="9"/>
      <c r="KN367" s="9"/>
      <c r="KO367" s="9"/>
      <c r="KP367" s="9"/>
      <c r="KQ367" s="9"/>
      <c r="KR367" s="9"/>
      <c r="KS367" s="9"/>
      <c r="KT367" s="9"/>
      <c r="KU367" s="9"/>
      <c r="KV367" s="9"/>
      <c r="KW367" s="9"/>
      <c r="KX367" s="9"/>
      <c r="KY367" s="9"/>
      <c r="KZ367" s="9"/>
      <c r="LA367" s="9"/>
      <c r="LB367" s="9"/>
      <c r="LC367" s="9"/>
      <c r="LD367" s="9"/>
      <c r="LE367" s="9"/>
      <c r="LF367" s="9"/>
      <c r="LG367" s="9"/>
      <c r="LH367" s="9"/>
      <c r="LI367" s="9"/>
      <c r="LJ367" s="9"/>
      <c r="LK367" s="9"/>
      <c r="LL367" s="9"/>
      <c r="LM367" s="9"/>
      <c r="LN367" s="9"/>
      <c r="LO367" s="9"/>
      <c r="LP367" s="9"/>
      <c r="LQ367" s="9"/>
      <c r="LR367" s="9"/>
      <c r="LS367" s="9"/>
      <c r="LT367" s="9"/>
      <c r="LU367" s="9"/>
      <c r="LV367" s="9"/>
      <c r="LW367" s="9"/>
      <c r="LX367" s="9"/>
      <c r="LY367" s="9"/>
      <c r="LZ367" s="9"/>
      <c r="MA367" s="9"/>
      <c r="MB367" s="9"/>
      <c r="MC367" s="9"/>
      <c r="MD367" s="9"/>
      <c r="ME367" s="9"/>
      <c r="MF367" s="9"/>
      <c r="MG367" s="9"/>
      <c r="MH367" s="9"/>
      <c r="MI367" s="9"/>
      <c r="MJ367" s="9"/>
      <c r="MK367" s="9"/>
      <c r="ML367" s="9"/>
      <c r="MM367" s="9"/>
      <c r="MN367" s="9"/>
      <c r="MO367" s="9"/>
      <c r="MP367" s="9"/>
      <c r="MQ367" s="9"/>
      <c r="MR367" s="9"/>
      <c r="MS367" s="9"/>
      <c r="MT367" s="9"/>
      <c r="MU367" s="9"/>
      <c r="MV367" s="9"/>
      <c r="MW367" s="9"/>
      <c r="MX367" s="9"/>
      <c r="MY367" s="9"/>
      <c r="MZ367" s="9"/>
      <c r="NA367" s="9"/>
      <c r="NB367" s="9"/>
      <c r="NC367" s="9"/>
      <c r="ND367" s="9"/>
      <c r="NE367" s="9"/>
      <c r="NF367" s="9"/>
      <c r="NG367" s="9"/>
      <c r="NH367" s="9"/>
      <c r="NI367" s="9"/>
      <c r="NJ367" s="9"/>
      <c r="NK367" s="9"/>
      <c r="NL367" s="9"/>
      <c r="NM367" s="9"/>
      <c r="NN367" s="9"/>
      <c r="NO367" s="9"/>
      <c r="NP367" s="9"/>
      <c r="NQ367" s="9"/>
      <c r="NR367" s="9"/>
      <c r="NS367" s="9"/>
      <c r="NT367" s="9"/>
      <c r="NU367" s="9"/>
      <c r="NV367" s="9"/>
      <c r="NW367" s="9"/>
      <c r="NX367" s="9"/>
      <c r="NY367" s="9"/>
      <c r="NZ367" s="9"/>
      <c r="OA367" s="9"/>
      <c r="OB367" s="9"/>
      <c r="OC367" s="9"/>
      <c r="OD367" s="9"/>
      <c r="OE367" s="9"/>
      <c r="OF367" s="9"/>
      <c r="OG367" s="9"/>
      <c r="OH367" s="9"/>
      <c r="OI367" s="9"/>
      <c r="OJ367" s="10"/>
    </row>
    <row r="368" spans="1:400" x14ac:dyDescent="0.2">
      <c r="A368" s="5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  <c r="GM368" s="9"/>
      <c r="GN368" s="9"/>
      <c r="GO368" s="9"/>
      <c r="GP368" s="9"/>
      <c r="GQ368" s="9"/>
      <c r="GR368" s="9"/>
      <c r="GS368" s="9"/>
      <c r="GT368" s="9"/>
      <c r="GU368" s="9"/>
      <c r="GV368" s="9"/>
      <c r="GW368" s="9"/>
      <c r="GX368" s="9"/>
      <c r="GY368" s="9"/>
      <c r="GZ368" s="9"/>
      <c r="HA368" s="9"/>
      <c r="HB368" s="9"/>
      <c r="HC368" s="9"/>
      <c r="HD368" s="9"/>
      <c r="HE368" s="9"/>
      <c r="HF368" s="9"/>
      <c r="HG368" s="9"/>
      <c r="HH368" s="9"/>
      <c r="HI368" s="9"/>
      <c r="HJ368" s="9"/>
      <c r="HK368" s="9"/>
      <c r="HL368" s="9"/>
      <c r="HM368" s="9"/>
      <c r="HN368" s="9"/>
      <c r="HO368" s="9"/>
      <c r="HP368" s="9"/>
      <c r="HQ368" s="9"/>
      <c r="HR368" s="9"/>
      <c r="HS368" s="9"/>
      <c r="HT368" s="9"/>
      <c r="HU368" s="9"/>
      <c r="HV368" s="9"/>
      <c r="HW368" s="9"/>
      <c r="HX368" s="9"/>
      <c r="HY368" s="9"/>
      <c r="HZ368" s="9"/>
      <c r="IA368" s="9"/>
      <c r="IB368" s="9"/>
      <c r="IC368" s="9"/>
      <c r="ID368" s="9"/>
      <c r="IE368" s="9"/>
      <c r="IF368" s="9"/>
      <c r="IG368" s="9"/>
      <c r="IH368" s="9"/>
      <c r="II368" s="9"/>
      <c r="IJ368" s="9"/>
      <c r="IK368" s="9"/>
      <c r="IL368" s="9"/>
      <c r="IM368" s="9"/>
      <c r="IN368" s="9"/>
      <c r="IO368" s="9"/>
      <c r="IP368" s="9"/>
      <c r="IQ368" s="9"/>
      <c r="IR368" s="9"/>
      <c r="IS368" s="9"/>
      <c r="IT368" s="9"/>
      <c r="IU368" s="9"/>
      <c r="IV368" s="9"/>
      <c r="IW368" s="9"/>
      <c r="IX368" s="9"/>
      <c r="IY368" s="9"/>
      <c r="IZ368" s="9"/>
      <c r="JA368" s="9"/>
      <c r="JB368" s="9"/>
      <c r="JC368" s="9"/>
      <c r="JD368" s="9"/>
      <c r="JE368" s="9"/>
      <c r="JF368" s="9"/>
      <c r="JG368" s="9"/>
      <c r="JH368" s="9"/>
      <c r="JI368" s="9"/>
      <c r="JJ368" s="9"/>
      <c r="JK368" s="9"/>
      <c r="JL368" s="9"/>
      <c r="JM368" s="9"/>
      <c r="JN368" s="9"/>
      <c r="JO368" s="9"/>
      <c r="JP368" s="9"/>
      <c r="JQ368" s="9"/>
      <c r="JR368" s="9"/>
      <c r="JS368" s="9"/>
      <c r="JT368" s="9"/>
      <c r="JU368" s="9"/>
      <c r="JV368" s="9"/>
      <c r="JW368" s="9"/>
      <c r="JX368" s="9"/>
      <c r="JY368" s="9"/>
      <c r="JZ368" s="9"/>
      <c r="KA368" s="9"/>
      <c r="KB368" s="9"/>
      <c r="KC368" s="9"/>
      <c r="KD368" s="9"/>
      <c r="KE368" s="9"/>
      <c r="KF368" s="9"/>
      <c r="KG368" s="9"/>
      <c r="KH368" s="9"/>
      <c r="KI368" s="9"/>
      <c r="KJ368" s="9"/>
      <c r="KK368" s="9"/>
      <c r="KL368" s="9"/>
      <c r="KM368" s="9"/>
      <c r="KN368" s="9"/>
      <c r="KO368" s="9"/>
      <c r="KP368" s="9"/>
      <c r="KQ368" s="9"/>
      <c r="KR368" s="9"/>
      <c r="KS368" s="9"/>
      <c r="KT368" s="9"/>
      <c r="KU368" s="9"/>
      <c r="KV368" s="9"/>
      <c r="KW368" s="9"/>
      <c r="KX368" s="9"/>
      <c r="KY368" s="9"/>
      <c r="KZ368" s="9"/>
      <c r="LA368" s="9"/>
      <c r="LB368" s="9"/>
      <c r="LC368" s="9"/>
      <c r="LD368" s="9"/>
      <c r="LE368" s="9"/>
      <c r="LF368" s="9"/>
      <c r="LG368" s="9"/>
      <c r="LH368" s="9"/>
      <c r="LI368" s="9"/>
      <c r="LJ368" s="9"/>
      <c r="LK368" s="9"/>
      <c r="LL368" s="9"/>
      <c r="LM368" s="9"/>
      <c r="LN368" s="9"/>
      <c r="LO368" s="9"/>
      <c r="LP368" s="9"/>
      <c r="LQ368" s="9"/>
      <c r="LR368" s="9"/>
      <c r="LS368" s="9"/>
      <c r="LT368" s="9"/>
      <c r="LU368" s="9"/>
      <c r="LV368" s="9"/>
      <c r="LW368" s="9"/>
      <c r="LX368" s="9"/>
      <c r="LY368" s="9"/>
      <c r="LZ368" s="9"/>
      <c r="MA368" s="9"/>
      <c r="MB368" s="9"/>
      <c r="MC368" s="9"/>
      <c r="MD368" s="9"/>
      <c r="ME368" s="9"/>
      <c r="MF368" s="9"/>
      <c r="MG368" s="9"/>
      <c r="MH368" s="9"/>
      <c r="MI368" s="9"/>
      <c r="MJ368" s="9"/>
      <c r="MK368" s="9"/>
      <c r="ML368" s="9"/>
      <c r="MM368" s="9"/>
      <c r="MN368" s="9"/>
      <c r="MO368" s="9"/>
      <c r="MP368" s="9"/>
      <c r="MQ368" s="9"/>
      <c r="MR368" s="9"/>
      <c r="MS368" s="9"/>
      <c r="MT368" s="9"/>
      <c r="MU368" s="9"/>
      <c r="MV368" s="9"/>
      <c r="MW368" s="9"/>
      <c r="MX368" s="9"/>
      <c r="MY368" s="9"/>
      <c r="MZ368" s="9"/>
      <c r="NA368" s="9"/>
      <c r="NB368" s="9"/>
      <c r="NC368" s="9"/>
      <c r="ND368" s="9"/>
      <c r="NE368" s="9"/>
      <c r="NF368" s="9"/>
      <c r="NG368" s="9"/>
      <c r="NH368" s="9"/>
      <c r="NI368" s="9"/>
      <c r="NJ368" s="9"/>
      <c r="NK368" s="9"/>
      <c r="NL368" s="9"/>
      <c r="NM368" s="9"/>
      <c r="NN368" s="9"/>
      <c r="NO368" s="9"/>
      <c r="NP368" s="9"/>
      <c r="NQ368" s="9"/>
      <c r="NR368" s="9"/>
      <c r="NS368" s="9"/>
      <c r="NT368" s="9"/>
      <c r="NU368" s="9"/>
      <c r="NV368" s="9"/>
      <c r="NW368" s="9"/>
      <c r="NX368" s="9"/>
      <c r="NY368" s="9"/>
      <c r="NZ368" s="9"/>
      <c r="OA368" s="9"/>
      <c r="OB368" s="9"/>
      <c r="OC368" s="9"/>
      <c r="OD368" s="9"/>
      <c r="OE368" s="9"/>
      <c r="OF368" s="9"/>
      <c r="OG368" s="9"/>
      <c r="OH368" s="9"/>
      <c r="OI368" s="9"/>
      <c r="OJ368" s="10"/>
    </row>
    <row r="369" spans="1:400" x14ac:dyDescent="0.2">
      <c r="A369" s="5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  <c r="GM369" s="9"/>
      <c r="GN369" s="9"/>
      <c r="GO369" s="9"/>
      <c r="GP369" s="9"/>
      <c r="GQ369" s="9"/>
      <c r="GR369" s="9"/>
      <c r="GS369" s="9"/>
      <c r="GT369" s="9"/>
      <c r="GU369" s="9"/>
      <c r="GV369" s="9"/>
      <c r="GW369" s="9"/>
      <c r="GX369" s="9"/>
      <c r="GY369" s="9"/>
      <c r="GZ369" s="9"/>
      <c r="HA369" s="9"/>
      <c r="HB369" s="9"/>
      <c r="HC369" s="9"/>
      <c r="HD369" s="9"/>
      <c r="HE369" s="9"/>
      <c r="HF369" s="9"/>
      <c r="HG369" s="9"/>
      <c r="HH369" s="9"/>
      <c r="HI369" s="9"/>
      <c r="HJ369" s="9"/>
      <c r="HK369" s="9"/>
      <c r="HL369" s="9"/>
      <c r="HM369" s="9"/>
      <c r="HN369" s="9"/>
      <c r="HO369" s="9"/>
      <c r="HP369" s="9"/>
      <c r="HQ369" s="9"/>
      <c r="HR369" s="9"/>
      <c r="HS369" s="9"/>
      <c r="HT369" s="9"/>
      <c r="HU369" s="9"/>
      <c r="HV369" s="9"/>
      <c r="HW369" s="9"/>
      <c r="HX369" s="9"/>
      <c r="HY369" s="9"/>
      <c r="HZ369" s="9"/>
      <c r="IA369" s="9"/>
      <c r="IB369" s="9"/>
      <c r="IC369" s="9"/>
      <c r="ID369" s="9"/>
      <c r="IE369" s="9"/>
      <c r="IF369" s="9"/>
      <c r="IG369" s="9"/>
      <c r="IH369" s="9"/>
      <c r="II369" s="9"/>
      <c r="IJ369" s="9"/>
      <c r="IK369" s="9"/>
      <c r="IL369" s="9"/>
      <c r="IM369" s="9"/>
      <c r="IN369" s="9"/>
      <c r="IO369" s="9"/>
      <c r="IP369" s="9"/>
      <c r="IQ369" s="9"/>
      <c r="IR369" s="9"/>
      <c r="IS369" s="9"/>
      <c r="IT369" s="9"/>
      <c r="IU369" s="9"/>
      <c r="IV369" s="9"/>
      <c r="IW369" s="9"/>
      <c r="IX369" s="9"/>
      <c r="IY369" s="9"/>
      <c r="IZ369" s="9"/>
      <c r="JA369" s="9"/>
      <c r="JB369" s="9"/>
      <c r="JC369" s="9"/>
      <c r="JD369" s="9"/>
      <c r="JE369" s="9"/>
      <c r="JF369" s="9"/>
      <c r="JG369" s="9"/>
      <c r="JH369" s="9"/>
      <c r="JI369" s="9"/>
      <c r="JJ369" s="9"/>
      <c r="JK369" s="9"/>
      <c r="JL369" s="9"/>
      <c r="JM369" s="9"/>
      <c r="JN369" s="9"/>
      <c r="JO369" s="9"/>
      <c r="JP369" s="9"/>
      <c r="JQ369" s="9"/>
      <c r="JR369" s="9"/>
      <c r="JS369" s="9"/>
      <c r="JT369" s="9"/>
      <c r="JU369" s="9"/>
      <c r="JV369" s="9"/>
      <c r="JW369" s="9"/>
      <c r="JX369" s="9"/>
      <c r="JY369" s="9"/>
      <c r="JZ369" s="9"/>
      <c r="KA369" s="9"/>
      <c r="KB369" s="9"/>
      <c r="KC369" s="9"/>
      <c r="KD369" s="9"/>
      <c r="KE369" s="9"/>
      <c r="KF369" s="9"/>
      <c r="KG369" s="9"/>
      <c r="KH369" s="9"/>
      <c r="KI369" s="9"/>
      <c r="KJ369" s="9"/>
      <c r="KK369" s="9"/>
      <c r="KL369" s="9"/>
      <c r="KM369" s="9"/>
      <c r="KN369" s="9"/>
      <c r="KO369" s="9"/>
      <c r="KP369" s="9"/>
      <c r="KQ369" s="9"/>
      <c r="KR369" s="9"/>
      <c r="KS369" s="9"/>
      <c r="KT369" s="9"/>
      <c r="KU369" s="9"/>
      <c r="KV369" s="9"/>
      <c r="KW369" s="9"/>
      <c r="KX369" s="9"/>
      <c r="KY369" s="9"/>
      <c r="KZ369" s="9"/>
      <c r="LA369" s="9"/>
      <c r="LB369" s="9"/>
      <c r="LC369" s="9"/>
      <c r="LD369" s="9"/>
      <c r="LE369" s="9"/>
      <c r="LF369" s="9"/>
      <c r="LG369" s="9"/>
      <c r="LH369" s="9"/>
      <c r="LI369" s="9"/>
      <c r="LJ369" s="9"/>
      <c r="LK369" s="9"/>
      <c r="LL369" s="9"/>
      <c r="LM369" s="9"/>
      <c r="LN369" s="9"/>
      <c r="LO369" s="9"/>
      <c r="LP369" s="9"/>
      <c r="LQ369" s="9"/>
      <c r="LR369" s="9"/>
      <c r="LS369" s="9"/>
      <c r="LT369" s="9"/>
      <c r="LU369" s="9"/>
      <c r="LV369" s="9"/>
      <c r="LW369" s="9"/>
      <c r="LX369" s="9"/>
      <c r="LY369" s="9"/>
      <c r="LZ369" s="9"/>
      <c r="MA369" s="9"/>
      <c r="MB369" s="9"/>
      <c r="MC369" s="9"/>
      <c r="MD369" s="9"/>
      <c r="ME369" s="9"/>
      <c r="MF369" s="9"/>
      <c r="MG369" s="9"/>
      <c r="MH369" s="9"/>
      <c r="MI369" s="9"/>
      <c r="MJ369" s="9"/>
      <c r="MK369" s="9"/>
      <c r="ML369" s="9"/>
      <c r="MM369" s="9"/>
      <c r="MN369" s="9"/>
      <c r="MO369" s="9"/>
      <c r="MP369" s="9"/>
      <c r="MQ369" s="9"/>
      <c r="MR369" s="9"/>
      <c r="MS369" s="9"/>
      <c r="MT369" s="9"/>
      <c r="MU369" s="9"/>
      <c r="MV369" s="9"/>
      <c r="MW369" s="9"/>
      <c r="MX369" s="9"/>
      <c r="MY369" s="9"/>
      <c r="MZ369" s="9"/>
      <c r="NA369" s="9"/>
      <c r="NB369" s="9"/>
      <c r="NC369" s="9"/>
      <c r="ND369" s="9"/>
      <c r="NE369" s="9"/>
      <c r="NF369" s="9"/>
      <c r="NG369" s="9"/>
      <c r="NH369" s="9"/>
      <c r="NI369" s="9"/>
      <c r="NJ369" s="9"/>
      <c r="NK369" s="9"/>
      <c r="NL369" s="9"/>
      <c r="NM369" s="9"/>
      <c r="NN369" s="9"/>
      <c r="NO369" s="9"/>
      <c r="NP369" s="9"/>
      <c r="NQ369" s="9"/>
      <c r="NR369" s="9"/>
      <c r="NS369" s="9"/>
      <c r="NT369" s="9"/>
      <c r="NU369" s="9"/>
      <c r="NV369" s="9"/>
      <c r="NW369" s="9"/>
      <c r="NX369" s="9"/>
      <c r="NY369" s="9"/>
      <c r="NZ369" s="9"/>
      <c r="OA369" s="9"/>
      <c r="OB369" s="9"/>
      <c r="OC369" s="9"/>
      <c r="OD369" s="9"/>
      <c r="OE369" s="9"/>
      <c r="OF369" s="9"/>
      <c r="OG369" s="9"/>
      <c r="OH369" s="9"/>
      <c r="OI369" s="9"/>
      <c r="OJ369" s="10"/>
    </row>
    <row r="370" spans="1:400" x14ac:dyDescent="0.2">
      <c r="A370" s="5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  <c r="GM370" s="9"/>
      <c r="GN370" s="9"/>
      <c r="GO370" s="9"/>
      <c r="GP370" s="9"/>
      <c r="GQ370" s="9"/>
      <c r="GR370" s="9"/>
      <c r="GS370" s="9"/>
      <c r="GT370" s="9"/>
      <c r="GU370" s="9"/>
      <c r="GV370" s="9"/>
      <c r="GW370" s="9"/>
      <c r="GX370" s="9"/>
      <c r="GY370" s="9"/>
      <c r="GZ370" s="9"/>
      <c r="HA370" s="9"/>
      <c r="HB370" s="9"/>
      <c r="HC370" s="9"/>
      <c r="HD370" s="9"/>
      <c r="HE370" s="9"/>
      <c r="HF370" s="9"/>
      <c r="HG370" s="9"/>
      <c r="HH370" s="9"/>
      <c r="HI370" s="9"/>
      <c r="HJ370" s="9"/>
      <c r="HK370" s="9"/>
      <c r="HL370" s="9"/>
      <c r="HM370" s="9"/>
      <c r="HN370" s="9"/>
      <c r="HO370" s="9"/>
      <c r="HP370" s="9"/>
      <c r="HQ370" s="9"/>
      <c r="HR370" s="9"/>
      <c r="HS370" s="9"/>
      <c r="HT370" s="9"/>
      <c r="HU370" s="9"/>
      <c r="HV370" s="9"/>
      <c r="HW370" s="9"/>
      <c r="HX370" s="9"/>
      <c r="HY370" s="9"/>
      <c r="HZ370" s="9"/>
      <c r="IA370" s="9"/>
      <c r="IB370" s="9"/>
      <c r="IC370" s="9"/>
      <c r="ID370" s="9"/>
      <c r="IE370" s="9"/>
      <c r="IF370" s="9"/>
      <c r="IG370" s="9"/>
      <c r="IH370" s="9"/>
      <c r="II370" s="9"/>
      <c r="IJ370" s="9"/>
      <c r="IK370" s="9"/>
      <c r="IL370" s="9"/>
      <c r="IM370" s="9"/>
      <c r="IN370" s="9"/>
      <c r="IO370" s="9"/>
      <c r="IP370" s="9"/>
      <c r="IQ370" s="9"/>
      <c r="IR370" s="9"/>
      <c r="IS370" s="9"/>
      <c r="IT370" s="9"/>
      <c r="IU370" s="9"/>
      <c r="IV370" s="9"/>
      <c r="IW370" s="9"/>
      <c r="IX370" s="9"/>
      <c r="IY370" s="9"/>
      <c r="IZ370" s="9"/>
      <c r="JA370" s="9"/>
      <c r="JB370" s="9"/>
      <c r="JC370" s="9"/>
      <c r="JD370" s="9"/>
      <c r="JE370" s="9"/>
      <c r="JF370" s="9"/>
      <c r="JG370" s="9"/>
      <c r="JH370" s="9"/>
      <c r="JI370" s="9"/>
      <c r="JJ370" s="9"/>
      <c r="JK370" s="9"/>
      <c r="JL370" s="9"/>
      <c r="JM370" s="9"/>
      <c r="JN370" s="9"/>
      <c r="JO370" s="9"/>
      <c r="JP370" s="9"/>
      <c r="JQ370" s="9"/>
      <c r="JR370" s="9"/>
      <c r="JS370" s="9"/>
      <c r="JT370" s="9"/>
      <c r="JU370" s="9"/>
      <c r="JV370" s="9"/>
      <c r="JW370" s="9"/>
      <c r="JX370" s="9"/>
      <c r="JY370" s="9"/>
      <c r="JZ370" s="9"/>
      <c r="KA370" s="9"/>
      <c r="KB370" s="9"/>
      <c r="KC370" s="9"/>
      <c r="KD370" s="9"/>
      <c r="KE370" s="9"/>
      <c r="KF370" s="9"/>
      <c r="KG370" s="9"/>
      <c r="KH370" s="9"/>
      <c r="KI370" s="9"/>
      <c r="KJ370" s="9"/>
      <c r="KK370" s="9"/>
      <c r="KL370" s="9"/>
      <c r="KM370" s="9"/>
      <c r="KN370" s="9"/>
      <c r="KO370" s="9"/>
      <c r="KP370" s="9"/>
      <c r="KQ370" s="9"/>
      <c r="KR370" s="9"/>
      <c r="KS370" s="9"/>
      <c r="KT370" s="9"/>
      <c r="KU370" s="9"/>
      <c r="KV370" s="9"/>
      <c r="KW370" s="9"/>
      <c r="KX370" s="9"/>
      <c r="KY370" s="9"/>
      <c r="KZ370" s="9"/>
      <c r="LA370" s="9"/>
      <c r="LB370" s="9"/>
      <c r="LC370" s="9"/>
      <c r="LD370" s="9"/>
      <c r="LE370" s="9"/>
      <c r="LF370" s="9"/>
      <c r="LG370" s="9"/>
      <c r="LH370" s="9"/>
      <c r="LI370" s="9"/>
      <c r="LJ370" s="9"/>
      <c r="LK370" s="9"/>
      <c r="LL370" s="9"/>
      <c r="LM370" s="9"/>
      <c r="LN370" s="9"/>
      <c r="LO370" s="9"/>
      <c r="LP370" s="9"/>
      <c r="LQ370" s="9"/>
      <c r="LR370" s="9"/>
      <c r="LS370" s="9"/>
      <c r="LT370" s="9"/>
      <c r="LU370" s="9"/>
      <c r="LV370" s="9"/>
      <c r="LW370" s="9"/>
      <c r="LX370" s="9"/>
      <c r="LY370" s="9"/>
      <c r="LZ370" s="9"/>
      <c r="MA370" s="9"/>
      <c r="MB370" s="9"/>
      <c r="MC370" s="9"/>
      <c r="MD370" s="9"/>
      <c r="ME370" s="9"/>
      <c r="MF370" s="9"/>
      <c r="MG370" s="9"/>
      <c r="MH370" s="9"/>
      <c r="MI370" s="9"/>
      <c r="MJ370" s="9"/>
      <c r="MK370" s="9"/>
      <c r="ML370" s="9"/>
      <c r="MM370" s="9"/>
      <c r="MN370" s="9"/>
      <c r="MO370" s="9"/>
      <c r="MP370" s="9"/>
      <c r="MQ370" s="9"/>
      <c r="MR370" s="9"/>
      <c r="MS370" s="9"/>
      <c r="MT370" s="9"/>
      <c r="MU370" s="9"/>
      <c r="MV370" s="9"/>
      <c r="MW370" s="9"/>
      <c r="MX370" s="9"/>
      <c r="MY370" s="9"/>
      <c r="MZ370" s="9"/>
      <c r="NA370" s="9"/>
      <c r="NB370" s="9"/>
      <c r="NC370" s="9"/>
      <c r="ND370" s="9"/>
      <c r="NE370" s="9"/>
      <c r="NF370" s="9"/>
      <c r="NG370" s="9"/>
      <c r="NH370" s="9"/>
      <c r="NI370" s="9"/>
      <c r="NJ370" s="9"/>
      <c r="NK370" s="9"/>
      <c r="NL370" s="9"/>
      <c r="NM370" s="9"/>
      <c r="NN370" s="9"/>
      <c r="NO370" s="9"/>
      <c r="NP370" s="9"/>
      <c r="NQ370" s="9"/>
      <c r="NR370" s="9"/>
      <c r="NS370" s="9"/>
      <c r="NT370" s="9"/>
      <c r="NU370" s="9"/>
      <c r="NV370" s="9"/>
      <c r="NW370" s="9"/>
      <c r="NX370" s="9"/>
      <c r="NY370" s="9"/>
      <c r="NZ370" s="9"/>
      <c r="OA370" s="9"/>
      <c r="OB370" s="9"/>
      <c r="OC370" s="9"/>
      <c r="OD370" s="9"/>
      <c r="OE370" s="9"/>
      <c r="OF370" s="9"/>
      <c r="OG370" s="9"/>
      <c r="OH370" s="9"/>
      <c r="OI370" s="9"/>
      <c r="OJ370" s="10"/>
    </row>
    <row r="371" spans="1:400" x14ac:dyDescent="0.2">
      <c r="A371" s="5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  <c r="GM371" s="9"/>
      <c r="GN371" s="9"/>
      <c r="GO371" s="9"/>
      <c r="GP371" s="9"/>
      <c r="GQ371" s="9"/>
      <c r="GR371" s="9"/>
      <c r="GS371" s="9"/>
      <c r="GT371" s="9"/>
      <c r="GU371" s="9"/>
      <c r="GV371" s="9"/>
      <c r="GW371" s="9"/>
      <c r="GX371" s="9"/>
      <c r="GY371" s="9"/>
      <c r="GZ371" s="9"/>
      <c r="HA371" s="9"/>
      <c r="HB371" s="9"/>
      <c r="HC371" s="9"/>
      <c r="HD371" s="9"/>
      <c r="HE371" s="9"/>
      <c r="HF371" s="9"/>
      <c r="HG371" s="9"/>
      <c r="HH371" s="9"/>
      <c r="HI371" s="9"/>
      <c r="HJ371" s="9"/>
      <c r="HK371" s="9"/>
      <c r="HL371" s="9"/>
      <c r="HM371" s="9"/>
      <c r="HN371" s="9"/>
      <c r="HO371" s="9"/>
      <c r="HP371" s="9"/>
      <c r="HQ371" s="9"/>
      <c r="HR371" s="9"/>
      <c r="HS371" s="9"/>
      <c r="HT371" s="9"/>
      <c r="HU371" s="9"/>
      <c r="HV371" s="9"/>
      <c r="HW371" s="9"/>
      <c r="HX371" s="9"/>
      <c r="HY371" s="9"/>
      <c r="HZ371" s="9"/>
      <c r="IA371" s="9"/>
      <c r="IB371" s="9"/>
      <c r="IC371" s="9"/>
      <c r="ID371" s="9"/>
      <c r="IE371" s="9"/>
      <c r="IF371" s="9"/>
      <c r="IG371" s="9"/>
      <c r="IH371" s="9"/>
      <c r="II371" s="9"/>
      <c r="IJ371" s="9"/>
      <c r="IK371" s="9"/>
      <c r="IL371" s="9"/>
      <c r="IM371" s="9"/>
      <c r="IN371" s="9"/>
      <c r="IO371" s="9"/>
      <c r="IP371" s="9"/>
      <c r="IQ371" s="9"/>
      <c r="IR371" s="9"/>
      <c r="IS371" s="9"/>
      <c r="IT371" s="9"/>
      <c r="IU371" s="9"/>
      <c r="IV371" s="9"/>
      <c r="IW371" s="9"/>
      <c r="IX371" s="9"/>
      <c r="IY371" s="9"/>
      <c r="IZ371" s="9"/>
      <c r="JA371" s="9"/>
      <c r="JB371" s="9"/>
      <c r="JC371" s="9"/>
      <c r="JD371" s="9"/>
      <c r="JE371" s="9"/>
      <c r="JF371" s="9"/>
      <c r="JG371" s="9"/>
      <c r="JH371" s="9"/>
      <c r="JI371" s="9"/>
      <c r="JJ371" s="9"/>
      <c r="JK371" s="9"/>
      <c r="JL371" s="9"/>
      <c r="JM371" s="9"/>
      <c r="JN371" s="9"/>
      <c r="JO371" s="9"/>
      <c r="JP371" s="9"/>
      <c r="JQ371" s="9"/>
      <c r="JR371" s="9"/>
      <c r="JS371" s="9"/>
      <c r="JT371" s="9"/>
      <c r="JU371" s="9"/>
      <c r="JV371" s="9"/>
      <c r="JW371" s="9"/>
      <c r="JX371" s="9"/>
      <c r="JY371" s="9"/>
      <c r="JZ371" s="9"/>
      <c r="KA371" s="9"/>
      <c r="KB371" s="9"/>
      <c r="KC371" s="9"/>
      <c r="KD371" s="9"/>
      <c r="KE371" s="9"/>
      <c r="KF371" s="9"/>
      <c r="KG371" s="9"/>
      <c r="KH371" s="9"/>
      <c r="KI371" s="9"/>
      <c r="KJ371" s="9"/>
      <c r="KK371" s="9"/>
      <c r="KL371" s="9"/>
      <c r="KM371" s="9"/>
      <c r="KN371" s="9"/>
      <c r="KO371" s="9"/>
      <c r="KP371" s="9"/>
      <c r="KQ371" s="9"/>
      <c r="KR371" s="9"/>
      <c r="KS371" s="9"/>
      <c r="KT371" s="9"/>
      <c r="KU371" s="9"/>
      <c r="KV371" s="9"/>
      <c r="KW371" s="9"/>
      <c r="KX371" s="9"/>
      <c r="KY371" s="9"/>
      <c r="KZ371" s="9"/>
      <c r="LA371" s="9"/>
      <c r="LB371" s="9"/>
      <c r="LC371" s="9"/>
      <c r="LD371" s="9"/>
      <c r="LE371" s="9"/>
      <c r="LF371" s="9"/>
      <c r="LG371" s="9"/>
      <c r="LH371" s="9"/>
      <c r="LI371" s="9"/>
      <c r="LJ371" s="9"/>
      <c r="LK371" s="9"/>
      <c r="LL371" s="9"/>
      <c r="LM371" s="9"/>
      <c r="LN371" s="9"/>
      <c r="LO371" s="9"/>
      <c r="LP371" s="9"/>
      <c r="LQ371" s="9"/>
      <c r="LR371" s="9"/>
      <c r="LS371" s="9"/>
      <c r="LT371" s="9"/>
      <c r="LU371" s="9"/>
      <c r="LV371" s="9"/>
      <c r="LW371" s="9"/>
      <c r="LX371" s="9"/>
      <c r="LY371" s="9"/>
      <c r="LZ371" s="9"/>
      <c r="MA371" s="9"/>
      <c r="MB371" s="9"/>
      <c r="MC371" s="9"/>
      <c r="MD371" s="9"/>
      <c r="ME371" s="9"/>
      <c r="MF371" s="9"/>
      <c r="MG371" s="9"/>
      <c r="MH371" s="9"/>
      <c r="MI371" s="9"/>
      <c r="MJ371" s="9"/>
      <c r="MK371" s="9"/>
      <c r="ML371" s="9"/>
      <c r="MM371" s="9"/>
      <c r="MN371" s="9"/>
      <c r="MO371" s="9"/>
      <c r="MP371" s="9"/>
      <c r="MQ371" s="9"/>
      <c r="MR371" s="9"/>
      <c r="MS371" s="9"/>
      <c r="MT371" s="9"/>
      <c r="MU371" s="9"/>
      <c r="MV371" s="9"/>
      <c r="MW371" s="9"/>
      <c r="MX371" s="9"/>
      <c r="MY371" s="9"/>
      <c r="MZ371" s="9"/>
      <c r="NA371" s="9"/>
      <c r="NB371" s="9"/>
      <c r="NC371" s="9"/>
      <c r="ND371" s="9"/>
      <c r="NE371" s="9"/>
      <c r="NF371" s="9"/>
      <c r="NG371" s="9"/>
      <c r="NH371" s="9"/>
      <c r="NI371" s="9"/>
      <c r="NJ371" s="9"/>
      <c r="NK371" s="9"/>
      <c r="NL371" s="9"/>
      <c r="NM371" s="9"/>
      <c r="NN371" s="9"/>
      <c r="NO371" s="9"/>
      <c r="NP371" s="9"/>
      <c r="NQ371" s="9"/>
      <c r="NR371" s="9"/>
      <c r="NS371" s="9"/>
      <c r="NT371" s="9"/>
      <c r="NU371" s="9"/>
      <c r="NV371" s="9"/>
      <c r="NW371" s="9"/>
      <c r="NX371" s="9"/>
      <c r="NY371" s="9"/>
      <c r="NZ371" s="9"/>
      <c r="OA371" s="9"/>
      <c r="OB371" s="9"/>
      <c r="OC371" s="9"/>
      <c r="OD371" s="9"/>
      <c r="OE371" s="9"/>
      <c r="OF371" s="9"/>
      <c r="OG371" s="9"/>
      <c r="OH371" s="9"/>
      <c r="OI371" s="9"/>
      <c r="OJ371" s="10"/>
    </row>
    <row r="372" spans="1:400" x14ac:dyDescent="0.2">
      <c r="A372" s="5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  <c r="GM372" s="9"/>
      <c r="GN372" s="9"/>
      <c r="GO372" s="9"/>
      <c r="GP372" s="9"/>
      <c r="GQ372" s="9"/>
      <c r="GR372" s="9"/>
      <c r="GS372" s="9"/>
      <c r="GT372" s="9"/>
      <c r="GU372" s="9"/>
      <c r="GV372" s="9"/>
      <c r="GW372" s="9"/>
      <c r="GX372" s="9"/>
      <c r="GY372" s="9"/>
      <c r="GZ372" s="9"/>
      <c r="HA372" s="9"/>
      <c r="HB372" s="9"/>
      <c r="HC372" s="9"/>
      <c r="HD372" s="9"/>
      <c r="HE372" s="9"/>
      <c r="HF372" s="9"/>
      <c r="HG372" s="9"/>
      <c r="HH372" s="9"/>
      <c r="HI372" s="9"/>
      <c r="HJ372" s="9"/>
      <c r="HK372" s="9"/>
      <c r="HL372" s="9"/>
      <c r="HM372" s="9"/>
      <c r="HN372" s="9"/>
      <c r="HO372" s="9"/>
      <c r="HP372" s="9"/>
      <c r="HQ372" s="9"/>
      <c r="HR372" s="9"/>
      <c r="HS372" s="9"/>
      <c r="HT372" s="9"/>
      <c r="HU372" s="9"/>
      <c r="HV372" s="9"/>
      <c r="HW372" s="9"/>
      <c r="HX372" s="9"/>
      <c r="HY372" s="9"/>
      <c r="HZ372" s="9"/>
      <c r="IA372" s="9"/>
      <c r="IB372" s="9"/>
      <c r="IC372" s="9"/>
      <c r="ID372" s="9"/>
      <c r="IE372" s="9"/>
      <c r="IF372" s="9"/>
      <c r="IG372" s="9"/>
      <c r="IH372" s="9"/>
      <c r="II372" s="9"/>
      <c r="IJ372" s="9"/>
      <c r="IK372" s="9"/>
      <c r="IL372" s="9"/>
      <c r="IM372" s="9"/>
      <c r="IN372" s="9"/>
      <c r="IO372" s="9"/>
      <c r="IP372" s="9"/>
      <c r="IQ372" s="9"/>
      <c r="IR372" s="9"/>
      <c r="IS372" s="9"/>
      <c r="IT372" s="9"/>
      <c r="IU372" s="9"/>
      <c r="IV372" s="9"/>
      <c r="IW372" s="9"/>
      <c r="IX372" s="9"/>
      <c r="IY372" s="9"/>
      <c r="IZ372" s="9"/>
      <c r="JA372" s="9"/>
      <c r="JB372" s="9"/>
      <c r="JC372" s="9"/>
      <c r="JD372" s="9"/>
      <c r="JE372" s="9"/>
      <c r="JF372" s="9"/>
      <c r="JG372" s="9"/>
      <c r="JH372" s="9"/>
      <c r="JI372" s="9"/>
      <c r="JJ372" s="9"/>
      <c r="JK372" s="9"/>
      <c r="JL372" s="9"/>
      <c r="JM372" s="9"/>
      <c r="JN372" s="9"/>
      <c r="JO372" s="9"/>
      <c r="JP372" s="9"/>
      <c r="JQ372" s="9"/>
      <c r="JR372" s="9"/>
      <c r="JS372" s="9"/>
      <c r="JT372" s="9"/>
      <c r="JU372" s="9"/>
      <c r="JV372" s="9"/>
      <c r="JW372" s="9"/>
      <c r="JX372" s="9"/>
      <c r="JY372" s="9"/>
      <c r="JZ372" s="9"/>
      <c r="KA372" s="9"/>
      <c r="KB372" s="9"/>
      <c r="KC372" s="9"/>
      <c r="KD372" s="9"/>
      <c r="KE372" s="9"/>
      <c r="KF372" s="9"/>
      <c r="KG372" s="9"/>
      <c r="KH372" s="9"/>
      <c r="KI372" s="9"/>
      <c r="KJ372" s="9"/>
      <c r="KK372" s="9"/>
      <c r="KL372" s="9"/>
      <c r="KM372" s="9"/>
      <c r="KN372" s="9"/>
      <c r="KO372" s="9"/>
      <c r="KP372" s="9"/>
      <c r="KQ372" s="9"/>
      <c r="KR372" s="9"/>
      <c r="KS372" s="9"/>
      <c r="KT372" s="9"/>
      <c r="KU372" s="9"/>
      <c r="KV372" s="9"/>
      <c r="KW372" s="9"/>
      <c r="KX372" s="9"/>
      <c r="KY372" s="9"/>
      <c r="KZ372" s="9"/>
      <c r="LA372" s="9"/>
      <c r="LB372" s="9"/>
      <c r="LC372" s="9"/>
      <c r="LD372" s="9"/>
      <c r="LE372" s="9"/>
      <c r="LF372" s="9"/>
      <c r="LG372" s="9"/>
      <c r="LH372" s="9"/>
      <c r="LI372" s="9"/>
      <c r="LJ372" s="9"/>
      <c r="LK372" s="9"/>
      <c r="LL372" s="9"/>
      <c r="LM372" s="9"/>
      <c r="LN372" s="9"/>
      <c r="LO372" s="9"/>
      <c r="LP372" s="9"/>
      <c r="LQ372" s="9"/>
      <c r="LR372" s="9"/>
      <c r="LS372" s="9"/>
      <c r="LT372" s="9"/>
      <c r="LU372" s="9"/>
      <c r="LV372" s="9"/>
      <c r="LW372" s="9"/>
      <c r="LX372" s="9"/>
      <c r="LY372" s="9"/>
      <c r="LZ372" s="9"/>
      <c r="MA372" s="9"/>
      <c r="MB372" s="9"/>
      <c r="MC372" s="9"/>
      <c r="MD372" s="9"/>
      <c r="ME372" s="9"/>
      <c r="MF372" s="9"/>
      <c r="MG372" s="9"/>
      <c r="MH372" s="9"/>
      <c r="MI372" s="9"/>
      <c r="MJ372" s="9"/>
      <c r="MK372" s="9"/>
      <c r="ML372" s="9"/>
      <c r="MM372" s="9"/>
      <c r="MN372" s="9"/>
      <c r="MO372" s="9"/>
      <c r="MP372" s="9"/>
      <c r="MQ372" s="9"/>
      <c r="MR372" s="9"/>
      <c r="MS372" s="9"/>
      <c r="MT372" s="9"/>
      <c r="MU372" s="9"/>
      <c r="MV372" s="9"/>
      <c r="MW372" s="9"/>
      <c r="MX372" s="9"/>
      <c r="MY372" s="9"/>
      <c r="MZ372" s="9"/>
      <c r="NA372" s="9"/>
      <c r="NB372" s="9"/>
      <c r="NC372" s="9"/>
      <c r="ND372" s="9"/>
      <c r="NE372" s="9"/>
      <c r="NF372" s="9"/>
      <c r="NG372" s="9"/>
      <c r="NH372" s="9"/>
      <c r="NI372" s="9"/>
      <c r="NJ372" s="9"/>
      <c r="NK372" s="9"/>
      <c r="NL372" s="9"/>
      <c r="NM372" s="9"/>
      <c r="NN372" s="9"/>
      <c r="NO372" s="9"/>
      <c r="NP372" s="9"/>
      <c r="NQ372" s="9"/>
      <c r="NR372" s="9"/>
      <c r="NS372" s="9"/>
      <c r="NT372" s="9"/>
      <c r="NU372" s="9"/>
      <c r="NV372" s="9"/>
      <c r="NW372" s="9"/>
      <c r="NX372" s="9"/>
      <c r="NY372" s="9"/>
      <c r="NZ372" s="9"/>
      <c r="OA372" s="9"/>
      <c r="OB372" s="9"/>
      <c r="OC372" s="9"/>
      <c r="OD372" s="9"/>
      <c r="OE372" s="9"/>
      <c r="OF372" s="9"/>
      <c r="OG372" s="9"/>
      <c r="OH372" s="9"/>
      <c r="OI372" s="9"/>
      <c r="OJ372" s="10"/>
    </row>
    <row r="373" spans="1:400" x14ac:dyDescent="0.2">
      <c r="A373" s="5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  <c r="GM373" s="9"/>
      <c r="GN373" s="9"/>
      <c r="GO373" s="9"/>
      <c r="GP373" s="9"/>
      <c r="GQ373" s="9"/>
      <c r="GR373" s="9"/>
      <c r="GS373" s="9"/>
      <c r="GT373" s="9"/>
      <c r="GU373" s="9"/>
      <c r="GV373" s="9"/>
      <c r="GW373" s="9"/>
      <c r="GX373" s="9"/>
      <c r="GY373" s="9"/>
      <c r="GZ373" s="9"/>
      <c r="HA373" s="9"/>
      <c r="HB373" s="9"/>
      <c r="HC373" s="9"/>
      <c r="HD373" s="9"/>
      <c r="HE373" s="9"/>
      <c r="HF373" s="9"/>
      <c r="HG373" s="9"/>
      <c r="HH373" s="9"/>
      <c r="HI373" s="9"/>
      <c r="HJ373" s="9"/>
      <c r="HK373" s="9"/>
      <c r="HL373" s="9"/>
      <c r="HM373" s="9"/>
      <c r="HN373" s="9"/>
      <c r="HO373" s="9"/>
      <c r="HP373" s="9"/>
      <c r="HQ373" s="9"/>
      <c r="HR373" s="9"/>
      <c r="HS373" s="9"/>
      <c r="HT373" s="9"/>
      <c r="HU373" s="9"/>
      <c r="HV373" s="9"/>
      <c r="HW373" s="9"/>
      <c r="HX373" s="9"/>
      <c r="HY373" s="9"/>
      <c r="HZ373" s="9"/>
      <c r="IA373" s="9"/>
      <c r="IB373" s="9"/>
      <c r="IC373" s="9"/>
      <c r="ID373" s="9"/>
      <c r="IE373" s="9"/>
      <c r="IF373" s="9"/>
      <c r="IG373" s="9"/>
      <c r="IH373" s="9"/>
      <c r="II373" s="9"/>
      <c r="IJ373" s="9"/>
      <c r="IK373" s="9"/>
      <c r="IL373" s="9"/>
      <c r="IM373" s="9"/>
      <c r="IN373" s="9"/>
      <c r="IO373" s="9"/>
      <c r="IP373" s="9"/>
      <c r="IQ373" s="9"/>
      <c r="IR373" s="9"/>
      <c r="IS373" s="9"/>
      <c r="IT373" s="9"/>
      <c r="IU373" s="9"/>
      <c r="IV373" s="9"/>
      <c r="IW373" s="9"/>
      <c r="IX373" s="9"/>
      <c r="IY373" s="9"/>
      <c r="IZ373" s="9"/>
      <c r="JA373" s="9"/>
      <c r="JB373" s="9"/>
      <c r="JC373" s="9"/>
      <c r="JD373" s="9"/>
      <c r="JE373" s="9"/>
      <c r="JF373" s="9"/>
      <c r="JG373" s="9"/>
      <c r="JH373" s="9"/>
      <c r="JI373" s="9"/>
      <c r="JJ373" s="9"/>
      <c r="JK373" s="9"/>
      <c r="JL373" s="9"/>
      <c r="JM373" s="9"/>
      <c r="JN373" s="9"/>
      <c r="JO373" s="9"/>
      <c r="JP373" s="9"/>
      <c r="JQ373" s="9"/>
      <c r="JR373" s="9"/>
      <c r="JS373" s="9"/>
      <c r="JT373" s="9"/>
      <c r="JU373" s="9"/>
      <c r="JV373" s="9"/>
      <c r="JW373" s="9"/>
      <c r="JX373" s="9"/>
      <c r="JY373" s="9"/>
      <c r="JZ373" s="9"/>
      <c r="KA373" s="9"/>
      <c r="KB373" s="9"/>
      <c r="KC373" s="9"/>
      <c r="KD373" s="9"/>
      <c r="KE373" s="9"/>
      <c r="KF373" s="9"/>
      <c r="KG373" s="9"/>
      <c r="KH373" s="9"/>
      <c r="KI373" s="9"/>
      <c r="KJ373" s="9"/>
      <c r="KK373" s="9"/>
      <c r="KL373" s="9"/>
      <c r="KM373" s="9"/>
      <c r="KN373" s="9"/>
      <c r="KO373" s="9"/>
      <c r="KP373" s="9"/>
      <c r="KQ373" s="9"/>
      <c r="KR373" s="9"/>
      <c r="KS373" s="9"/>
      <c r="KT373" s="9"/>
      <c r="KU373" s="9"/>
      <c r="KV373" s="9"/>
      <c r="KW373" s="9"/>
      <c r="KX373" s="9"/>
      <c r="KY373" s="9"/>
      <c r="KZ373" s="9"/>
      <c r="LA373" s="9"/>
      <c r="LB373" s="9"/>
      <c r="LC373" s="9"/>
      <c r="LD373" s="9"/>
      <c r="LE373" s="9"/>
      <c r="LF373" s="9"/>
      <c r="LG373" s="9"/>
      <c r="LH373" s="9"/>
      <c r="LI373" s="9"/>
      <c r="LJ373" s="9"/>
      <c r="LK373" s="9"/>
      <c r="LL373" s="9"/>
      <c r="LM373" s="9"/>
      <c r="LN373" s="9"/>
      <c r="LO373" s="9"/>
      <c r="LP373" s="9"/>
      <c r="LQ373" s="9"/>
      <c r="LR373" s="9"/>
      <c r="LS373" s="9"/>
      <c r="LT373" s="9"/>
      <c r="LU373" s="9"/>
      <c r="LV373" s="9"/>
      <c r="LW373" s="9"/>
      <c r="LX373" s="9"/>
      <c r="LY373" s="9"/>
      <c r="LZ373" s="9"/>
      <c r="MA373" s="9"/>
      <c r="MB373" s="9"/>
      <c r="MC373" s="9"/>
      <c r="MD373" s="9"/>
      <c r="ME373" s="9"/>
      <c r="MF373" s="9"/>
      <c r="MG373" s="9"/>
      <c r="MH373" s="9"/>
      <c r="MI373" s="9"/>
      <c r="MJ373" s="9"/>
      <c r="MK373" s="9"/>
      <c r="ML373" s="9"/>
      <c r="MM373" s="9"/>
      <c r="MN373" s="9"/>
      <c r="MO373" s="9"/>
      <c r="MP373" s="9"/>
      <c r="MQ373" s="9"/>
      <c r="MR373" s="9"/>
      <c r="MS373" s="9"/>
      <c r="MT373" s="9"/>
      <c r="MU373" s="9"/>
      <c r="MV373" s="9"/>
      <c r="MW373" s="9"/>
      <c r="MX373" s="9"/>
      <c r="MY373" s="9"/>
      <c r="MZ373" s="9"/>
      <c r="NA373" s="9"/>
      <c r="NB373" s="9"/>
      <c r="NC373" s="9"/>
      <c r="ND373" s="9"/>
      <c r="NE373" s="9"/>
      <c r="NF373" s="9"/>
      <c r="NG373" s="9"/>
      <c r="NH373" s="9"/>
      <c r="NI373" s="9"/>
      <c r="NJ373" s="9"/>
      <c r="NK373" s="9"/>
      <c r="NL373" s="9"/>
      <c r="NM373" s="9"/>
      <c r="NN373" s="9"/>
      <c r="NO373" s="9"/>
      <c r="NP373" s="9"/>
      <c r="NQ373" s="9"/>
      <c r="NR373" s="9"/>
      <c r="NS373" s="9"/>
      <c r="NT373" s="9"/>
      <c r="NU373" s="9"/>
      <c r="NV373" s="9"/>
      <c r="NW373" s="9"/>
      <c r="NX373" s="9"/>
      <c r="NY373" s="9"/>
      <c r="NZ373" s="9"/>
      <c r="OA373" s="9"/>
      <c r="OB373" s="9"/>
      <c r="OC373" s="9"/>
      <c r="OD373" s="9"/>
      <c r="OE373" s="9"/>
      <c r="OF373" s="9"/>
      <c r="OG373" s="9"/>
      <c r="OH373" s="9"/>
      <c r="OI373" s="9"/>
      <c r="OJ373" s="10"/>
    </row>
    <row r="374" spans="1:400" x14ac:dyDescent="0.2">
      <c r="A374" s="5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  <c r="GM374" s="9"/>
      <c r="GN374" s="9"/>
      <c r="GO374" s="9"/>
      <c r="GP374" s="9"/>
      <c r="GQ374" s="9"/>
      <c r="GR374" s="9"/>
      <c r="GS374" s="9"/>
      <c r="GT374" s="9"/>
      <c r="GU374" s="9"/>
      <c r="GV374" s="9"/>
      <c r="GW374" s="9"/>
      <c r="GX374" s="9"/>
      <c r="GY374" s="9"/>
      <c r="GZ374" s="9"/>
      <c r="HA374" s="9"/>
      <c r="HB374" s="9"/>
      <c r="HC374" s="9"/>
      <c r="HD374" s="9"/>
      <c r="HE374" s="9"/>
      <c r="HF374" s="9"/>
      <c r="HG374" s="9"/>
      <c r="HH374" s="9"/>
      <c r="HI374" s="9"/>
      <c r="HJ374" s="9"/>
      <c r="HK374" s="9"/>
      <c r="HL374" s="9"/>
      <c r="HM374" s="9"/>
      <c r="HN374" s="9"/>
      <c r="HO374" s="9"/>
      <c r="HP374" s="9"/>
      <c r="HQ374" s="9"/>
      <c r="HR374" s="9"/>
      <c r="HS374" s="9"/>
      <c r="HT374" s="9"/>
      <c r="HU374" s="9"/>
      <c r="HV374" s="9"/>
      <c r="HW374" s="9"/>
      <c r="HX374" s="9"/>
      <c r="HY374" s="9"/>
      <c r="HZ374" s="9"/>
      <c r="IA374" s="9"/>
      <c r="IB374" s="9"/>
      <c r="IC374" s="9"/>
      <c r="ID374" s="9"/>
      <c r="IE374" s="9"/>
      <c r="IF374" s="9"/>
      <c r="IG374" s="9"/>
      <c r="IH374" s="9"/>
      <c r="II374" s="9"/>
      <c r="IJ374" s="9"/>
      <c r="IK374" s="9"/>
      <c r="IL374" s="9"/>
      <c r="IM374" s="9"/>
      <c r="IN374" s="9"/>
      <c r="IO374" s="9"/>
      <c r="IP374" s="9"/>
      <c r="IQ374" s="9"/>
      <c r="IR374" s="9"/>
      <c r="IS374" s="9"/>
      <c r="IT374" s="9"/>
      <c r="IU374" s="9"/>
      <c r="IV374" s="9"/>
      <c r="IW374" s="9"/>
      <c r="IX374" s="9"/>
      <c r="IY374" s="9"/>
      <c r="IZ374" s="9"/>
      <c r="JA374" s="9"/>
      <c r="JB374" s="9"/>
      <c r="JC374" s="9"/>
      <c r="JD374" s="9"/>
      <c r="JE374" s="9"/>
      <c r="JF374" s="9"/>
      <c r="JG374" s="9"/>
      <c r="JH374" s="9"/>
      <c r="JI374" s="9"/>
      <c r="JJ374" s="9"/>
      <c r="JK374" s="9"/>
      <c r="JL374" s="9"/>
      <c r="JM374" s="9"/>
      <c r="JN374" s="9"/>
      <c r="JO374" s="9"/>
      <c r="JP374" s="9"/>
      <c r="JQ374" s="9"/>
      <c r="JR374" s="9"/>
      <c r="JS374" s="9"/>
      <c r="JT374" s="9"/>
      <c r="JU374" s="9"/>
      <c r="JV374" s="9"/>
      <c r="JW374" s="9"/>
      <c r="JX374" s="9"/>
      <c r="JY374" s="9"/>
      <c r="JZ374" s="9"/>
      <c r="KA374" s="9"/>
      <c r="KB374" s="9"/>
      <c r="KC374" s="9"/>
      <c r="KD374" s="9"/>
      <c r="KE374" s="9"/>
      <c r="KF374" s="9"/>
      <c r="KG374" s="9"/>
      <c r="KH374" s="9"/>
      <c r="KI374" s="9"/>
      <c r="KJ374" s="9"/>
      <c r="KK374" s="9"/>
      <c r="KL374" s="9"/>
      <c r="KM374" s="9"/>
      <c r="KN374" s="9"/>
      <c r="KO374" s="9"/>
      <c r="KP374" s="9"/>
      <c r="KQ374" s="9"/>
      <c r="KR374" s="9"/>
      <c r="KS374" s="9"/>
      <c r="KT374" s="9"/>
      <c r="KU374" s="9"/>
      <c r="KV374" s="9"/>
      <c r="KW374" s="9"/>
      <c r="KX374" s="9"/>
      <c r="KY374" s="9"/>
      <c r="KZ374" s="9"/>
      <c r="LA374" s="9"/>
      <c r="LB374" s="9"/>
      <c r="LC374" s="9"/>
      <c r="LD374" s="9"/>
      <c r="LE374" s="9"/>
      <c r="LF374" s="9"/>
      <c r="LG374" s="9"/>
      <c r="LH374" s="9"/>
      <c r="LI374" s="9"/>
      <c r="LJ374" s="9"/>
      <c r="LK374" s="9"/>
      <c r="LL374" s="9"/>
      <c r="LM374" s="9"/>
      <c r="LN374" s="9"/>
      <c r="LO374" s="9"/>
      <c r="LP374" s="9"/>
      <c r="LQ374" s="9"/>
      <c r="LR374" s="9"/>
      <c r="LS374" s="9"/>
      <c r="LT374" s="9"/>
      <c r="LU374" s="9"/>
      <c r="LV374" s="9"/>
      <c r="LW374" s="9"/>
      <c r="LX374" s="9"/>
      <c r="LY374" s="9"/>
      <c r="LZ374" s="9"/>
      <c r="MA374" s="9"/>
      <c r="MB374" s="9"/>
      <c r="MC374" s="9"/>
      <c r="MD374" s="9"/>
      <c r="ME374" s="9"/>
      <c r="MF374" s="9"/>
      <c r="MG374" s="9"/>
      <c r="MH374" s="9"/>
      <c r="MI374" s="9"/>
      <c r="MJ374" s="9"/>
      <c r="MK374" s="9"/>
      <c r="ML374" s="9"/>
      <c r="MM374" s="9"/>
      <c r="MN374" s="9"/>
      <c r="MO374" s="9"/>
      <c r="MP374" s="9"/>
      <c r="MQ374" s="9"/>
      <c r="MR374" s="9"/>
      <c r="MS374" s="9"/>
      <c r="MT374" s="9"/>
      <c r="MU374" s="9"/>
      <c r="MV374" s="9"/>
      <c r="MW374" s="9"/>
      <c r="MX374" s="9"/>
      <c r="MY374" s="9"/>
      <c r="MZ374" s="9"/>
      <c r="NA374" s="9"/>
      <c r="NB374" s="9"/>
      <c r="NC374" s="9"/>
      <c r="ND374" s="9"/>
      <c r="NE374" s="9"/>
      <c r="NF374" s="9"/>
      <c r="NG374" s="9"/>
      <c r="NH374" s="9"/>
      <c r="NI374" s="9"/>
      <c r="NJ374" s="9"/>
      <c r="NK374" s="9"/>
      <c r="NL374" s="9"/>
      <c r="NM374" s="9"/>
      <c r="NN374" s="9"/>
      <c r="NO374" s="9"/>
      <c r="NP374" s="9"/>
      <c r="NQ374" s="9"/>
      <c r="NR374" s="9"/>
      <c r="NS374" s="9"/>
      <c r="NT374" s="9"/>
      <c r="NU374" s="9"/>
      <c r="NV374" s="9"/>
      <c r="NW374" s="9"/>
      <c r="NX374" s="9"/>
      <c r="NY374" s="9"/>
      <c r="NZ374" s="9"/>
      <c r="OA374" s="9"/>
      <c r="OB374" s="9"/>
      <c r="OC374" s="9"/>
      <c r="OD374" s="9"/>
      <c r="OE374" s="9"/>
      <c r="OF374" s="9"/>
      <c r="OG374" s="9"/>
      <c r="OH374" s="9"/>
      <c r="OI374" s="9"/>
      <c r="OJ374" s="10"/>
    </row>
    <row r="375" spans="1:400" x14ac:dyDescent="0.2">
      <c r="A375" s="5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  <c r="GM375" s="9"/>
      <c r="GN375" s="9"/>
      <c r="GO375" s="9"/>
      <c r="GP375" s="9"/>
      <c r="GQ375" s="9"/>
      <c r="GR375" s="9"/>
      <c r="GS375" s="9"/>
      <c r="GT375" s="9"/>
      <c r="GU375" s="9"/>
      <c r="GV375" s="9"/>
      <c r="GW375" s="9"/>
      <c r="GX375" s="9"/>
      <c r="GY375" s="9"/>
      <c r="GZ375" s="9"/>
      <c r="HA375" s="9"/>
      <c r="HB375" s="9"/>
      <c r="HC375" s="9"/>
      <c r="HD375" s="9"/>
      <c r="HE375" s="9"/>
      <c r="HF375" s="9"/>
      <c r="HG375" s="9"/>
      <c r="HH375" s="9"/>
      <c r="HI375" s="9"/>
      <c r="HJ375" s="9"/>
      <c r="HK375" s="9"/>
      <c r="HL375" s="9"/>
      <c r="HM375" s="9"/>
      <c r="HN375" s="9"/>
      <c r="HO375" s="9"/>
      <c r="HP375" s="9"/>
      <c r="HQ375" s="9"/>
      <c r="HR375" s="9"/>
      <c r="HS375" s="9"/>
      <c r="HT375" s="9"/>
      <c r="HU375" s="9"/>
      <c r="HV375" s="9"/>
      <c r="HW375" s="9"/>
      <c r="HX375" s="9"/>
      <c r="HY375" s="9"/>
      <c r="HZ375" s="9"/>
      <c r="IA375" s="9"/>
      <c r="IB375" s="9"/>
      <c r="IC375" s="9"/>
      <c r="ID375" s="9"/>
      <c r="IE375" s="9"/>
      <c r="IF375" s="9"/>
      <c r="IG375" s="9"/>
      <c r="IH375" s="9"/>
      <c r="II375" s="9"/>
      <c r="IJ375" s="9"/>
      <c r="IK375" s="9"/>
      <c r="IL375" s="9"/>
      <c r="IM375" s="9"/>
      <c r="IN375" s="9"/>
      <c r="IO375" s="9"/>
      <c r="IP375" s="9"/>
      <c r="IQ375" s="9"/>
      <c r="IR375" s="9"/>
      <c r="IS375" s="9"/>
      <c r="IT375" s="9"/>
      <c r="IU375" s="9"/>
      <c r="IV375" s="9"/>
      <c r="IW375" s="9"/>
      <c r="IX375" s="9"/>
      <c r="IY375" s="9"/>
      <c r="IZ375" s="9"/>
      <c r="JA375" s="9"/>
      <c r="JB375" s="9"/>
      <c r="JC375" s="9"/>
      <c r="JD375" s="9"/>
      <c r="JE375" s="9"/>
      <c r="JF375" s="9"/>
      <c r="JG375" s="9"/>
      <c r="JH375" s="9"/>
      <c r="JI375" s="9"/>
      <c r="JJ375" s="9"/>
      <c r="JK375" s="9"/>
      <c r="JL375" s="9"/>
      <c r="JM375" s="9"/>
      <c r="JN375" s="9"/>
      <c r="JO375" s="9"/>
      <c r="JP375" s="9"/>
      <c r="JQ375" s="9"/>
      <c r="JR375" s="9"/>
      <c r="JS375" s="9"/>
      <c r="JT375" s="9"/>
      <c r="JU375" s="9"/>
      <c r="JV375" s="9"/>
      <c r="JW375" s="9"/>
      <c r="JX375" s="9"/>
      <c r="JY375" s="9"/>
      <c r="JZ375" s="9"/>
      <c r="KA375" s="9"/>
      <c r="KB375" s="9"/>
      <c r="KC375" s="9"/>
      <c r="KD375" s="9"/>
      <c r="KE375" s="9"/>
      <c r="KF375" s="9"/>
      <c r="KG375" s="9"/>
      <c r="KH375" s="9"/>
      <c r="KI375" s="9"/>
      <c r="KJ375" s="9"/>
      <c r="KK375" s="9"/>
      <c r="KL375" s="9"/>
      <c r="KM375" s="9"/>
      <c r="KN375" s="9"/>
      <c r="KO375" s="9"/>
      <c r="KP375" s="9"/>
      <c r="KQ375" s="9"/>
      <c r="KR375" s="9"/>
      <c r="KS375" s="9"/>
      <c r="KT375" s="9"/>
      <c r="KU375" s="9"/>
      <c r="KV375" s="9"/>
      <c r="KW375" s="9"/>
      <c r="KX375" s="9"/>
      <c r="KY375" s="9"/>
      <c r="KZ375" s="9"/>
      <c r="LA375" s="9"/>
      <c r="LB375" s="9"/>
      <c r="LC375" s="9"/>
      <c r="LD375" s="9"/>
      <c r="LE375" s="9"/>
      <c r="LF375" s="9"/>
      <c r="LG375" s="9"/>
      <c r="LH375" s="9"/>
      <c r="LI375" s="9"/>
      <c r="LJ375" s="9"/>
      <c r="LK375" s="9"/>
      <c r="LL375" s="9"/>
      <c r="LM375" s="9"/>
      <c r="LN375" s="9"/>
      <c r="LO375" s="9"/>
      <c r="LP375" s="9"/>
      <c r="LQ375" s="9"/>
      <c r="LR375" s="9"/>
      <c r="LS375" s="9"/>
      <c r="LT375" s="9"/>
      <c r="LU375" s="9"/>
      <c r="LV375" s="9"/>
      <c r="LW375" s="9"/>
      <c r="LX375" s="9"/>
      <c r="LY375" s="9"/>
      <c r="LZ375" s="9"/>
      <c r="MA375" s="9"/>
      <c r="MB375" s="9"/>
      <c r="MC375" s="9"/>
      <c r="MD375" s="9"/>
      <c r="ME375" s="9"/>
      <c r="MF375" s="9"/>
      <c r="MG375" s="9"/>
      <c r="MH375" s="9"/>
      <c r="MI375" s="9"/>
      <c r="MJ375" s="9"/>
      <c r="MK375" s="9"/>
      <c r="ML375" s="9"/>
      <c r="MM375" s="9"/>
      <c r="MN375" s="9"/>
      <c r="MO375" s="9"/>
      <c r="MP375" s="9"/>
      <c r="MQ375" s="9"/>
      <c r="MR375" s="9"/>
      <c r="MS375" s="9"/>
      <c r="MT375" s="9"/>
      <c r="MU375" s="9"/>
      <c r="MV375" s="9"/>
      <c r="MW375" s="9"/>
      <c r="MX375" s="9"/>
      <c r="MY375" s="9"/>
      <c r="MZ375" s="9"/>
      <c r="NA375" s="9"/>
      <c r="NB375" s="9"/>
      <c r="NC375" s="9"/>
      <c r="ND375" s="9"/>
      <c r="NE375" s="9"/>
      <c r="NF375" s="9"/>
      <c r="NG375" s="9"/>
      <c r="NH375" s="9"/>
      <c r="NI375" s="9"/>
      <c r="NJ375" s="9"/>
      <c r="NK375" s="9"/>
      <c r="NL375" s="9"/>
      <c r="NM375" s="9"/>
      <c r="NN375" s="9"/>
      <c r="NO375" s="9"/>
      <c r="NP375" s="9"/>
      <c r="NQ375" s="9"/>
      <c r="NR375" s="9"/>
      <c r="NS375" s="9"/>
      <c r="NT375" s="9"/>
      <c r="NU375" s="9"/>
      <c r="NV375" s="9"/>
      <c r="NW375" s="9"/>
      <c r="NX375" s="9"/>
      <c r="NY375" s="9"/>
      <c r="NZ375" s="9"/>
      <c r="OA375" s="9"/>
      <c r="OB375" s="9"/>
      <c r="OC375" s="9"/>
      <c r="OD375" s="9"/>
      <c r="OE375" s="9"/>
      <c r="OF375" s="9"/>
      <c r="OG375" s="9"/>
      <c r="OH375" s="9"/>
      <c r="OI375" s="9"/>
      <c r="OJ375" s="10"/>
    </row>
    <row r="376" spans="1:400" x14ac:dyDescent="0.2">
      <c r="A376" s="50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  <c r="GM376" s="9"/>
      <c r="GN376" s="9"/>
      <c r="GO376" s="9"/>
      <c r="GP376" s="9"/>
      <c r="GQ376" s="9"/>
      <c r="GR376" s="9"/>
      <c r="GS376" s="9"/>
      <c r="GT376" s="9"/>
      <c r="GU376" s="9"/>
      <c r="GV376" s="9"/>
      <c r="GW376" s="9"/>
      <c r="GX376" s="9"/>
      <c r="GY376" s="9"/>
      <c r="GZ376" s="9"/>
      <c r="HA376" s="9"/>
      <c r="HB376" s="9"/>
      <c r="HC376" s="9"/>
      <c r="HD376" s="9"/>
      <c r="HE376" s="9"/>
      <c r="HF376" s="9"/>
      <c r="HG376" s="9"/>
      <c r="HH376" s="9"/>
      <c r="HI376" s="9"/>
      <c r="HJ376" s="9"/>
      <c r="HK376" s="9"/>
      <c r="HL376" s="9"/>
      <c r="HM376" s="9"/>
      <c r="HN376" s="9"/>
      <c r="HO376" s="9"/>
      <c r="HP376" s="9"/>
      <c r="HQ376" s="9"/>
      <c r="HR376" s="9"/>
      <c r="HS376" s="9"/>
      <c r="HT376" s="9"/>
      <c r="HU376" s="9"/>
      <c r="HV376" s="9"/>
      <c r="HW376" s="9"/>
      <c r="HX376" s="9"/>
      <c r="HY376" s="9"/>
      <c r="HZ376" s="9"/>
      <c r="IA376" s="9"/>
      <c r="IB376" s="9"/>
      <c r="IC376" s="9"/>
      <c r="ID376" s="9"/>
      <c r="IE376" s="9"/>
      <c r="IF376" s="9"/>
      <c r="IG376" s="9"/>
      <c r="IH376" s="9"/>
      <c r="II376" s="9"/>
      <c r="IJ376" s="9"/>
      <c r="IK376" s="9"/>
      <c r="IL376" s="9"/>
      <c r="IM376" s="9"/>
      <c r="IN376" s="9"/>
      <c r="IO376" s="9"/>
      <c r="IP376" s="9"/>
      <c r="IQ376" s="9"/>
      <c r="IR376" s="9"/>
      <c r="IS376" s="9"/>
      <c r="IT376" s="9"/>
      <c r="IU376" s="9"/>
      <c r="IV376" s="9"/>
      <c r="IW376" s="9"/>
      <c r="IX376" s="9"/>
      <c r="IY376" s="9"/>
      <c r="IZ376" s="9"/>
      <c r="JA376" s="9"/>
      <c r="JB376" s="9"/>
      <c r="JC376" s="9"/>
      <c r="JD376" s="9"/>
      <c r="JE376" s="9"/>
      <c r="JF376" s="9"/>
      <c r="JG376" s="9"/>
      <c r="JH376" s="9"/>
      <c r="JI376" s="9"/>
      <c r="JJ376" s="9"/>
      <c r="JK376" s="9"/>
      <c r="JL376" s="9"/>
      <c r="JM376" s="9"/>
      <c r="JN376" s="9"/>
      <c r="JO376" s="9"/>
      <c r="JP376" s="9"/>
      <c r="JQ376" s="9"/>
      <c r="JR376" s="9"/>
      <c r="JS376" s="9"/>
      <c r="JT376" s="9"/>
      <c r="JU376" s="9"/>
      <c r="JV376" s="9"/>
      <c r="JW376" s="9"/>
      <c r="JX376" s="9"/>
      <c r="JY376" s="9"/>
      <c r="JZ376" s="9"/>
      <c r="KA376" s="9"/>
      <c r="KB376" s="9"/>
      <c r="KC376" s="9"/>
      <c r="KD376" s="9"/>
      <c r="KE376" s="9"/>
      <c r="KF376" s="9"/>
      <c r="KG376" s="9"/>
      <c r="KH376" s="9"/>
      <c r="KI376" s="9"/>
      <c r="KJ376" s="9"/>
      <c r="KK376" s="9"/>
      <c r="KL376" s="9"/>
      <c r="KM376" s="9"/>
      <c r="KN376" s="9"/>
      <c r="KO376" s="9"/>
      <c r="KP376" s="9"/>
      <c r="KQ376" s="9"/>
      <c r="KR376" s="9"/>
      <c r="KS376" s="9"/>
      <c r="KT376" s="9"/>
      <c r="KU376" s="9"/>
      <c r="KV376" s="9"/>
      <c r="KW376" s="9"/>
      <c r="KX376" s="9"/>
      <c r="KY376" s="9"/>
      <c r="KZ376" s="9"/>
      <c r="LA376" s="9"/>
      <c r="LB376" s="9"/>
      <c r="LC376" s="9"/>
      <c r="LD376" s="9"/>
      <c r="LE376" s="9"/>
      <c r="LF376" s="9"/>
      <c r="LG376" s="9"/>
      <c r="LH376" s="9"/>
      <c r="LI376" s="9"/>
      <c r="LJ376" s="9"/>
      <c r="LK376" s="9"/>
      <c r="LL376" s="9"/>
      <c r="LM376" s="9"/>
      <c r="LN376" s="9"/>
      <c r="LO376" s="9"/>
      <c r="LP376" s="9"/>
      <c r="LQ376" s="9"/>
      <c r="LR376" s="9"/>
      <c r="LS376" s="9"/>
      <c r="LT376" s="9"/>
      <c r="LU376" s="9"/>
      <c r="LV376" s="9"/>
      <c r="LW376" s="9"/>
      <c r="LX376" s="9"/>
      <c r="LY376" s="9"/>
      <c r="LZ376" s="9"/>
      <c r="MA376" s="9"/>
      <c r="MB376" s="9"/>
      <c r="MC376" s="9"/>
      <c r="MD376" s="9"/>
      <c r="ME376" s="9"/>
      <c r="MF376" s="9"/>
      <c r="MG376" s="9"/>
      <c r="MH376" s="9"/>
      <c r="MI376" s="9"/>
      <c r="MJ376" s="9"/>
      <c r="MK376" s="9"/>
      <c r="ML376" s="9"/>
      <c r="MM376" s="9"/>
      <c r="MN376" s="9"/>
      <c r="MO376" s="9"/>
      <c r="MP376" s="9"/>
      <c r="MQ376" s="9"/>
      <c r="MR376" s="9"/>
      <c r="MS376" s="9"/>
      <c r="MT376" s="9"/>
      <c r="MU376" s="9"/>
      <c r="MV376" s="9"/>
      <c r="MW376" s="9"/>
      <c r="MX376" s="9"/>
      <c r="MY376" s="9"/>
      <c r="MZ376" s="9"/>
      <c r="NA376" s="9"/>
      <c r="NB376" s="9"/>
      <c r="NC376" s="9"/>
      <c r="ND376" s="9"/>
      <c r="NE376" s="9"/>
      <c r="NF376" s="9"/>
      <c r="NG376" s="9"/>
      <c r="NH376" s="9"/>
      <c r="NI376" s="9"/>
      <c r="NJ376" s="9"/>
      <c r="NK376" s="9"/>
      <c r="NL376" s="9"/>
      <c r="NM376" s="9"/>
      <c r="NN376" s="9"/>
      <c r="NO376" s="9"/>
      <c r="NP376" s="9"/>
      <c r="NQ376" s="9"/>
      <c r="NR376" s="9"/>
      <c r="NS376" s="9"/>
      <c r="NT376" s="9"/>
      <c r="NU376" s="9"/>
      <c r="NV376" s="9"/>
      <c r="NW376" s="9"/>
      <c r="NX376" s="9"/>
      <c r="NY376" s="9"/>
      <c r="NZ376" s="9"/>
      <c r="OA376" s="9"/>
      <c r="OB376" s="9"/>
      <c r="OC376" s="9"/>
      <c r="OD376" s="9"/>
      <c r="OE376" s="9"/>
      <c r="OF376" s="9"/>
      <c r="OG376" s="9"/>
      <c r="OH376" s="9"/>
      <c r="OI376" s="9"/>
      <c r="OJ376" s="10"/>
    </row>
    <row r="377" spans="1:400" x14ac:dyDescent="0.2">
      <c r="A377" s="50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  <c r="GM377" s="9"/>
      <c r="GN377" s="9"/>
      <c r="GO377" s="9"/>
      <c r="GP377" s="9"/>
      <c r="GQ377" s="9"/>
      <c r="GR377" s="9"/>
      <c r="GS377" s="9"/>
      <c r="GT377" s="9"/>
      <c r="GU377" s="9"/>
      <c r="GV377" s="9"/>
      <c r="GW377" s="9"/>
      <c r="GX377" s="9"/>
      <c r="GY377" s="9"/>
      <c r="GZ377" s="9"/>
      <c r="HA377" s="9"/>
      <c r="HB377" s="9"/>
      <c r="HC377" s="9"/>
      <c r="HD377" s="9"/>
      <c r="HE377" s="9"/>
      <c r="HF377" s="9"/>
      <c r="HG377" s="9"/>
      <c r="HH377" s="9"/>
      <c r="HI377" s="9"/>
      <c r="HJ377" s="9"/>
      <c r="HK377" s="9"/>
      <c r="HL377" s="9"/>
      <c r="HM377" s="9"/>
      <c r="HN377" s="9"/>
      <c r="HO377" s="9"/>
      <c r="HP377" s="9"/>
      <c r="HQ377" s="9"/>
      <c r="HR377" s="9"/>
      <c r="HS377" s="9"/>
      <c r="HT377" s="9"/>
      <c r="HU377" s="9"/>
      <c r="HV377" s="9"/>
      <c r="HW377" s="9"/>
      <c r="HX377" s="9"/>
      <c r="HY377" s="9"/>
      <c r="HZ377" s="9"/>
      <c r="IA377" s="9"/>
      <c r="IB377" s="9"/>
      <c r="IC377" s="9"/>
      <c r="ID377" s="9"/>
      <c r="IE377" s="9"/>
      <c r="IF377" s="9"/>
      <c r="IG377" s="9"/>
      <c r="IH377" s="9"/>
      <c r="II377" s="9"/>
      <c r="IJ377" s="9"/>
      <c r="IK377" s="9"/>
      <c r="IL377" s="9"/>
      <c r="IM377" s="9"/>
      <c r="IN377" s="9"/>
      <c r="IO377" s="9"/>
      <c r="IP377" s="9"/>
      <c r="IQ377" s="9"/>
      <c r="IR377" s="9"/>
      <c r="IS377" s="9"/>
      <c r="IT377" s="9"/>
      <c r="IU377" s="9"/>
      <c r="IV377" s="9"/>
      <c r="IW377" s="9"/>
      <c r="IX377" s="9"/>
      <c r="IY377" s="9"/>
      <c r="IZ377" s="9"/>
      <c r="JA377" s="9"/>
      <c r="JB377" s="9"/>
      <c r="JC377" s="9"/>
      <c r="JD377" s="9"/>
      <c r="JE377" s="9"/>
      <c r="JF377" s="9"/>
      <c r="JG377" s="9"/>
      <c r="JH377" s="9"/>
      <c r="JI377" s="9"/>
      <c r="JJ377" s="9"/>
      <c r="JK377" s="9"/>
      <c r="JL377" s="9"/>
      <c r="JM377" s="9"/>
      <c r="JN377" s="9"/>
      <c r="JO377" s="9"/>
      <c r="JP377" s="9"/>
      <c r="JQ377" s="9"/>
      <c r="JR377" s="9"/>
      <c r="JS377" s="9"/>
      <c r="JT377" s="9"/>
      <c r="JU377" s="9"/>
      <c r="JV377" s="9"/>
      <c r="JW377" s="9"/>
      <c r="JX377" s="9"/>
      <c r="JY377" s="9"/>
      <c r="JZ377" s="9"/>
      <c r="KA377" s="9"/>
      <c r="KB377" s="9"/>
      <c r="KC377" s="9"/>
      <c r="KD377" s="9"/>
      <c r="KE377" s="9"/>
      <c r="KF377" s="9"/>
      <c r="KG377" s="9"/>
      <c r="KH377" s="9"/>
      <c r="KI377" s="9"/>
      <c r="KJ377" s="9"/>
      <c r="KK377" s="9"/>
      <c r="KL377" s="9"/>
      <c r="KM377" s="9"/>
      <c r="KN377" s="9"/>
      <c r="KO377" s="9"/>
      <c r="KP377" s="9"/>
      <c r="KQ377" s="9"/>
      <c r="KR377" s="9"/>
      <c r="KS377" s="9"/>
      <c r="KT377" s="9"/>
      <c r="KU377" s="9"/>
      <c r="KV377" s="9"/>
      <c r="KW377" s="9"/>
      <c r="KX377" s="9"/>
      <c r="KY377" s="9"/>
      <c r="KZ377" s="9"/>
      <c r="LA377" s="9"/>
      <c r="LB377" s="9"/>
      <c r="LC377" s="9"/>
      <c r="LD377" s="9"/>
      <c r="LE377" s="9"/>
      <c r="LF377" s="9"/>
      <c r="LG377" s="9"/>
      <c r="LH377" s="9"/>
      <c r="LI377" s="9"/>
      <c r="LJ377" s="9"/>
      <c r="LK377" s="9"/>
      <c r="LL377" s="9"/>
      <c r="LM377" s="9"/>
      <c r="LN377" s="9"/>
      <c r="LO377" s="9"/>
      <c r="LP377" s="9"/>
      <c r="LQ377" s="9"/>
      <c r="LR377" s="9"/>
      <c r="LS377" s="9"/>
      <c r="LT377" s="9"/>
      <c r="LU377" s="9"/>
      <c r="LV377" s="9"/>
      <c r="LW377" s="9"/>
      <c r="LX377" s="9"/>
      <c r="LY377" s="9"/>
      <c r="LZ377" s="9"/>
      <c r="MA377" s="9"/>
      <c r="MB377" s="9"/>
      <c r="MC377" s="9"/>
      <c r="MD377" s="9"/>
      <c r="ME377" s="9"/>
      <c r="MF377" s="9"/>
      <c r="MG377" s="9"/>
      <c r="MH377" s="9"/>
      <c r="MI377" s="9"/>
      <c r="MJ377" s="9"/>
      <c r="MK377" s="9"/>
      <c r="ML377" s="9"/>
      <c r="MM377" s="9"/>
      <c r="MN377" s="9"/>
      <c r="MO377" s="9"/>
      <c r="MP377" s="9"/>
      <c r="MQ377" s="9"/>
      <c r="MR377" s="9"/>
      <c r="MS377" s="9"/>
      <c r="MT377" s="9"/>
      <c r="MU377" s="9"/>
      <c r="MV377" s="9"/>
      <c r="MW377" s="9"/>
      <c r="MX377" s="9"/>
      <c r="MY377" s="9"/>
      <c r="MZ377" s="9"/>
      <c r="NA377" s="9"/>
      <c r="NB377" s="9"/>
      <c r="NC377" s="9"/>
      <c r="ND377" s="9"/>
      <c r="NE377" s="9"/>
      <c r="NF377" s="9"/>
      <c r="NG377" s="9"/>
      <c r="NH377" s="9"/>
      <c r="NI377" s="9"/>
      <c r="NJ377" s="9"/>
      <c r="NK377" s="9"/>
      <c r="NL377" s="9"/>
      <c r="NM377" s="9"/>
      <c r="NN377" s="9"/>
      <c r="NO377" s="9"/>
      <c r="NP377" s="9"/>
      <c r="NQ377" s="9"/>
      <c r="NR377" s="9"/>
      <c r="NS377" s="9"/>
      <c r="NT377" s="9"/>
      <c r="NU377" s="9"/>
      <c r="NV377" s="9"/>
      <c r="NW377" s="9"/>
      <c r="NX377" s="9"/>
      <c r="NY377" s="9"/>
      <c r="NZ377" s="9"/>
      <c r="OA377" s="9"/>
      <c r="OB377" s="9"/>
      <c r="OC377" s="9"/>
      <c r="OD377" s="9"/>
      <c r="OE377" s="9"/>
      <c r="OF377" s="9"/>
      <c r="OG377" s="9"/>
      <c r="OH377" s="9"/>
      <c r="OI377" s="9"/>
      <c r="OJ377" s="10"/>
    </row>
    <row r="378" spans="1:400" x14ac:dyDescent="0.2">
      <c r="A378" s="50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  <c r="GM378" s="9"/>
      <c r="GN378" s="9"/>
      <c r="GO378" s="9"/>
      <c r="GP378" s="9"/>
      <c r="GQ378" s="9"/>
      <c r="GR378" s="9"/>
      <c r="GS378" s="9"/>
      <c r="GT378" s="9"/>
      <c r="GU378" s="9"/>
      <c r="GV378" s="9"/>
      <c r="GW378" s="9"/>
      <c r="GX378" s="9"/>
      <c r="GY378" s="9"/>
      <c r="GZ378" s="9"/>
      <c r="HA378" s="9"/>
      <c r="HB378" s="9"/>
      <c r="HC378" s="9"/>
      <c r="HD378" s="9"/>
      <c r="HE378" s="9"/>
      <c r="HF378" s="9"/>
      <c r="HG378" s="9"/>
      <c r="HH378" s="9"/>
      <c r="HI378" s="9"/>
      <c r="HJ378" s="9"/>
      <c r="HK378" s="9"/>
      <c r="HL378" s="9"/>
      <c r="HM378" s="9"/>
      <c r="HN378" s="9"/>
      <c r="HO378" s="9"/>
      <c r="HP378" s="9"/>
      <c r="HQ378" s="9"/>
      <c r="HR378" s="9"/>
      <c r="HS378" s="9"/>
      <c r="HT378" s="9"/>
      <c r="HU378" s="9"/>
      <c r="HV378" s="9"/>
      <c r="HW378" s="9"/>
      <c r="HX378" s="9"/>
      <c r="HY378" s="9"/>
      <c r="HZ378" s="9"/>
      <c r="IA378" s="9"/>
      <c r="IB378" s="9"/>
      <c r="IC378" s="9"/>
      <c r="ID378" s="9"/>
      <c r="IE378" s="9"/>
      <c r="IF378" s="9"/>
      <c r="IG378" s="9"/>
      <c r="IH378" s="9"/>
      <c r="II378" s="9"/>
      <c r="IJ378" s="9"/>
      <c r="IK378" s="9"/>
      <c r="IL378" s="9"/>
      <c r="IM378" s="9"/>
      <c r="IN378" s="9"/>
      <c r="IO378" s="9"/>
      <c r="IP378" s="9"/>
      <c r="IQ378" s="9"/>
      <c r="IR378" s="9"/>
      <c r="IS378" s="9"/>
      <c r="IT378" s="9"/>
      <c r="IU378" s="9"/>
      <c r="IV378" s="9"/>
      <c r="IW378" s="9"/>
      <c r="IX378" s="9"/>
      <c r="IY378" s="9"/>
      <c r="IZ378" s="9"/>
      <c r="JA378" s="9"/>
      <c r="JB378" s="9"/>
      <c r="JC378" s="9"/>
      <c r="JD378" s="9"/>
      <c r="JE378" s="9"/>
      <c r="JF378" s="9"/>
      <c r="JG378" s="9"/>
      <c r="JH378" s="9"/>
      <c r="JI378" s="9"/>
      <c r="JJ378" s="9"/>
      <c r="JK378" s="9"/>
      <c r="JL378" s="9"/>
      <c r="JM378" s="9"/>
      <c r="JN378" s="9"/>
      <c r="JO378" s="9"/>
      <c r="JP378" s="9"/>
      <c r="JQ378" s="9"/>
      <c r="JR378" s="9"/>
      <c r="JS378" s="9"/>
      <c r="JT378" s="9"/>
      <c r="JU378" s="9"/>
      <c r="JV378" s="9"/>
      <c r="JW378" s="9"/>
      <c r="JX378" s="9"/>
      <c r="JY378" s="9"/>
      <c r="JZ378" s="9"/>
      <c r="KA378" s="9"/>
      <c r="KB378" s="9"/>
      <c r="KC378" s="9"/>
      <c r="KD378" s="9"/>
      <c r="KE378" s="9"/>
      <c r="KF378" s="9"/>
      <c r="KG378" s="9"/>
      <c r="KH378" s="9"/>
      <c r="KI378" s="9"/>
      <c r="KJ378" s="9"/>
      <c r="KK378" s="9"/>
      <c r="KL378" s="9"/>
      <c r="KM378" s="9"/>
      <c r="KN378" s="9"/>
      <c r="KO378" s="9"/>
      <c r="KP378" s="9"/>
      <c r="KQ378" s="9"/>
      <c r="KR378" s="9"/>
      <c r="KS378" s="9"/>
      <c r="KT378" s="9"/>
      <c r="KU378" s="9"/>
      <c r="KV378" s="9"/>
      <c r="KW378" s="9"/>
      <c r="KX378" s="9"/>
      <c r="KY378" s="9"/>
      <c r="KZ378" s="9"/>
      <c r="LA378" s="9"/>
      <c r="LB378" s="9"/>
      <c r="LC378" s="9"/>
      <c r="LD378" s="9"/>
      <c r="LE378" s="9"/>
      <c r="LF378" s="9"/>
      <c r="LG378" s="9"/>
      <c r="LH378" s="9"/>
      <c r="LI378" s="9"/>
      <c r="LJ378" s="9"/>
      <c r="LK378" s="9"/>
      <c r="LL378" s="9"/>
      <c r="LM378" s="9"/>
      <c r="LN378" s="9"/>
      <c r="LO378" s="9"/>
      <c r="LP378" s="9"/>
      <c r="LQ378" s="9"/>
      <c r="LR378" s="9"/>
      <c r="LS378" s="9"/>
      <c r="LT378" s="9"/>
      <c r="LU378" s="9"/>
      <c r="LV378" s="9"/>
      <c r="LW378" s="9"/>
      <c r="LX378" s="9"/>
      <c r="LY378" s="9"/>
      <c r="LZ378" s="9"/>
      <c r="MA378" s="9"/>
      <c r="MB378" s="9"/>
      <c r="MC378" s="9"/>
      <c r="MD378" s="9"/>
      <c r="ME378" s="9"/>
      <c r="MF378" s="9"/>
      <c r="MG378" s="9"/>
      <c r="MH378" s="9"/>
      <c r="MI378" s="9"/>
      <c r="MJ378" s="9"/>
      <c r="MK378" s="9"/>
      <c r="ML378" s="9"/>
      <c r="MM378" s="9"/>
      <c r="MN378" s="9"/>
      <c r="MO378" s="9"/>
      <c r="MP378" s="9"/>
      <c r="MQ378" s="9"/>
      <c r="MR378" s="9"/>
      <c r="MS378" s="9"/>
      <c r="MT378" s="9"/>
      <c r="MU378" s="9"/>
      <c r="MV378" s="9"/>
      <c r="MW378" s="9"/>
      <c r="MX378" s="9"/>
      <c r="MY378" s="9"/>
      <c r="MZ378" s="9"/>
      <c r="NA378" s="9"/>
      <c r="NB378" s="9"/>
      <c r="NC378" s="9"/>
      <c r="ND378" s="9"/>
      <c r="NE378" s="9"/>
      <c r="NF378" s="9"/>
      <c r="NG378" s="9"/>
      <c r="NH378" s="9"/>
      <c r="NI378" s="9"/>
      <c r="NJ378" s="9"/>
      <c r="NK378" s="9"/>
      <c r="NL378" s="9"/>
      <c r="NM378" s="9"/>
      <c r="NN378" s="9"/>
      <c r="NO378" s="9"/>
      <c r="NP378" s="9"/>
      <c r="NQ378" s="9"/>
      <c r="NR378" s="9"/>
      <c r="NS378" s="9"/>
      <c r="NT378" s="9"/>
      <c r="NU378" s="9"/>
      <c r="NV378" s="9"/>
      <c r="NW378" s="9"/>
      <c r="NX378" s="9"/>
      <c r="NY378" s="9"/>
      <c r="NZ378" s="9"/>
      <c r="OA378" s="9"/>
      <c r="OB378" s="9"/>
      <c r="OC378" s="9"/>
      <c r="OD378" s="9"/>
      <c r="OE378" s="9"/>
      <c r="OF378" s="9"/>
      <c r="OG378" s="9"/>
      <c r="OH378" s="9"/>
      <c r="OI378" s="9"/>
      <c r="OJ378" s="10"/>
    </row>
    <row r="379" spans="1:400" x14ac:dyDescent="0.2">
      <c r="A379" s="50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  <c r="GM379" s="9"/>
      <c r="GN379" s="9"/>
      <c r="GO379" s="9"/>
      <c r="GP379" s="9"/>
      <c r="GQ379" s="9"/>
      <c r="GR379" s="9"/>
      <c r="GS379" s="9"/>
      <c r="GT379" s="9"/>
      <c r="GU379" s="9"/>
      <c r="GV379" s="9"/>
      <c r="GW379" s="9"/>
      <c r="GX379" s="9"/>
      <c r="GY379" s="9"/>
      <c r="GZ379" s="9"/>
      <c r="HA379" s="9"/>
      <c r="HB379" s="9"/>
      <c r="HC379" s="9"/>
      <c r="HD379" s="9"/>
      <c r="HE379" s="9"/>
      <c r="HF379" s="9"/>
      <c r="HG379" s="9"/>
      <c r="HH379" s="9"/>
      <c r="HI379" s="9"/>
      <c r="HJ379" s="9"/>
      <c r="HK379" s="9"/>
      <c r="HL379" s="9"/>
      <c r="HM379" s="9"/>
      <c r="HN379" s="9"/>
      <c r="HO379" s="9"/>
      <c r="HP379" s="9"/>
      <c r="HQ379" s="9"/>
      <c r="HR379" s="9"/>
      <c r="HS379" s="9"/>
      <c r="HT379" s="9"/>
      <c r="HU379" s="9"/>
      <c r="HV379" s="9"/>
      <c r="HW379" s="9"/>
      <c r="HX379" s="9"/>
      <c r="HY379" s="9"/>
      <c r="HZ379" s="9"/>
      <c r="IA379" s="9"/>
      <c r="IB379" s="9"/>
      <c r="IC379" s="9"/>
      <c r="ID379" s="9"/>
      <c r="IE379" s="9"/>
      <c r="IF379" s="9"/>
      <c r="IG379" s="9"/>
      <c r="IH379" s="9"/>
      <c r="II379" s="9"/>
      <c r="IJ379" s="9"/>
      <c r="IK379" s="9"/>
      <c r="IL379" s="9"/>
      <c r="IM379" s="9"/>
      <c r="IN379" s="9"/>
      <c r="IO379" s="9"/>
      <c r="IP379" s="9"/>
      <c r="IQ379" s="9"/>
      <c r="IR379" s="9"/>
      <c r="IS379" s="9"/>
      <c r="IT379" s="9"/>
      <c r="IU379" s="9"/>
      <c r="IV379" s="9"/>
      <c r="IW379" s="9"/>
      <c r="IX379" s="9"/>
      <c r="IY379" s="9"/>
      <c r="IZ379" s="9"/>
      <c r="JA379" s="9"/>
      <c r="JB379" s="9"/>
      <c r="JC379" s="9"/>
      <c r="JD379" s="9"/>
      <c r="JE379" s="9"/>
      <c r="JF379" s="9"/>
      <c r="JG379" s="9"/>
      <c r="JH379" s="9"/>
      <c r="JI379" s="9"/>
      <c r="JJ379" s="9"/>
      <c r="JK379" s="9"/>
      <c r="JL379" s="9"/>
      <c r="JM379" s="9"/>
      <c r="JN379" s="9"/>
      <c r="JO379" s="9"/>
      <c r="JP379" s="9"/>
      <c r="JQ379" s="9"/>
      <c r="JR379" s="9"/>
      <c r="JS379" s="9"/>
      <c r="JT379" s="9"/>
      <c r="JU379" s="9"/>
      <c r="JV379" s="9"/>
      <c r="JW379" s="9"/>
      <c r="JX379" s="9"/>
      <c r="JY379" s="9"/>
      <c r="JZ379" s="9"/>
      <c r="KA379" s="9"/>
      <c r="KB379" s="9"/>
      <c r="KC379" s="9"/>
      <c r="KD379" s="9"/>
      <c r="KE379" s="9"/>
      <c r="KF379" s="9"/>
      <c r="KG379" s="9"/>
      <c r="KH379" s="9"/>
      <c r="KI379" s="9"/>
      <c r="KJ379" s="9"/>
      <c r="KK379" s="9"/>
      <c r="KL379" s="9"/>
      <c r="KM379" s="9"/>
      <c r="KN379" s="9"/>
      <c r="KO379" s="9"/>
      <c r="KP379" s="9"/>
      <c r="KQ379" s="9"/>
      <c r="KR379" s="9"/>
      <c r="KS379" s="9"/>
      <c r="KT379" s="9"/>
      <c r="KU379" s="9"/>
      <c r="KV379" s="9"/>
      <c r="KW379" s="9"/>
      <c r="KX379" s="9"/>
      <c r="KY379" s="9"/>
      <c r="KZ379" s="9"/>
      <c r="LA379" s="9"/>
      <c r="LB379" s="9"/>
      <c r="LC379" s="9"/>
      <c r="LD379" s="9"/>
      <c r="LE379" s="9"/>
      <c r="LF379" s="9"/>
      <c r="LG379" s="9"/>
      <c r="LH379" s="9"/>
      <c r="LI379" s="9"/>
      <c r="LJ379" s="9"/>
      <c r="LK379" s="9"/>
      <c r="LL379" s="9"/>
      <c r="LM379" s="9"/>
      <c r="LN379" s="9"/>
      <c r="LO379" s="9"/>
      <c r="LP379" s="9"/>
      <c r="LQ379" s="9"/>
      <c r="LR379" s="9"/>
      <c r="LS379" s="9"/>
      <c r="LT379" s="9"/>
      <c r="LU379" s="9"/>
      <c r="LV379" s="9"/>
      <c r="LW379" s="9"/>
      <c r="LX379" s="9"/>
      <c r="LY379" s="9"/>
      <c r="LZ379" s="9"/>
      <c r="MA379" s="9"/>
      <c r="MB379" s="9"/>
      <c r="MC379" s="9"/>
      <c r="MD379" s="9"/>
      <c r="ME379" s="9"/>
      <c r="MF379" s="9"/>
      <c r="MG379" s="9"/>
      <c r="MH379" s="9"/>
      <c r="MI379" s="9"/>
      <c r="MJ379" s="9"/>
      <c r="MK379" s="9"/>
      <c r="ML379" s="9"/>
      <c r="MM379" s="9"/>
      <c r="MN379" s="9"/>
      <c r="MO379" s="9"/>
      <c r="MP379" s="9"/>
      <c r="MQ379" s="9"/>
      <c r="MR379" s="9"/>
      <c r="MS379" s="9"/>
      <c r="MT379" s="9"/>
      <c r="MU379" s="9"/>
      <c r="MV379" s="9"/>
      <c r="MW379" s="9"/>
      <c r="MX379" s="9"/>
      <c r="MY379" s="9"/>
      <c r="MZ379" s="9"/>
      <c r="NA379" s="9"/>
      <c r="NB379" s="9"/>
      <c r="NC379" s="9"/>
      <c r="ND379" s="9"/>
      <c r="NE379" s="9"/>
      <c r="NF379" s="9"/>
      <c r="NG379" s="9"/>
      <c r="NH379" s="9"/>
      <c r="NI379" s="9"/>
      <c r="NJ379" s="9"/>
      <c r="NK379" s="9"/>
      <c r="NL379" s="9"/>
      <c r="NM379" s="9"/>
      <c r="NN379" s="9"/>
      <c r="NO379" s="9"/>
      <c r="NP379" s="9"/>
      <c r="NQ379" s="9"/>
      <c r="NR379" s="9"/>
      <c r="NS379" s="9"/>
      <c r="NT379" s="9"/>
      <c r="NU379" s="9"/>
      <c r="NV379" s="9"/>
      <c r="NW379" s="9"/>
      <c r="NX379" s="9"/>
      <c r="NY379" s="9"/>
      <c r="NZ379" s="9"/>
      <c r="OA379" s="9"/>
      <c r="OB379" s="9"/>
      <c r="OC379" s="9"/>
      <c r="OD379" s="9"/>
      <c r="OE379" s="9"/>
      <c r="OF379" s="9"/>
      <c r="OG379" s="9"/>
      <c r="OH379" s="9"/>
      <c r="OI379" s="9"/>
      <c r="OJ379" s="10"/>
    </row>
    <row r="380" spans="1:400" x14ac:dyDescent="0.2">
      <c r="A380" s="5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  <c r="GM380" s="9"/>
      <c r="GN380" s="9"/>
      <c r="GO380" s="9"/>
      <c r="GP380" s="9"/>
      <c r="GQ380" s="9"/>
      <c r="GR380" s="9"/>
      <c r="GS380" s="9"/>
      <c r="GT380" s="9"/>
      <c r="GU380" s="9"/>
      <c r="GV380" s="9"/>
      <c r="GW380" s="9"/>
      <c r="GX380" s="9"/>
      <c r="GY380" s="9"/>
      <c r="GZ380" s="9"/>
      <c r="HA380" s="9"/>
      <c r="HB380" s="9"/>
      <c r="HC380" s="9"/>
      <c r="HD380" s="9"/>
      <c r="HE380" s="9"/>
      <c r="HF380" s="9"/>
      <c r="HG380" s="9"/>
      <c r="HH380" s="9"/>
      <c r="HI380" s="9"/>
      <c r="HJ380" s="9"/>
      <c r="HK380" s="9"/>
      <c r="HL380" s="9"/>
      <c r="HM380" s="9"/>
      <c r="HN380" s="9"/>
      <c r="HO380" s="9"/>
      <c r="HP380" s="9"/>
      <c r="HQ380" s="9"/>
      <c r="HR380" s="9"/>
      <c r="HS380" s="9"/>
      <c r="HT380" s="9"/>
      <c r="HU380" s="9"/>
      <c r="HV380" s="9"/>
      <c r="HW380" s="9"/>
      <c r="HX380" s="9"/>
      <c r="HY380" s="9"/>
      <c r="HZ380" s="9"/>
      <c r="IA380" s="9"/>
      <c r="IB380" s="9"/>
      <c r="IC380" s="9"/>
      <c r="ID380" s="9"/>
      <c r="IE380" s="9"/>
      <c r="IF380" s="9"/>
      <c r="IG380" s="9"/>
      <c r="IH380" s="9"/>
      <c r="II380" s="9"/>
      <c r="IJ380" s="9"/>
      <c r="IK380" s="9"/>
      <c r="IL380" s="9"/>
      <c r="IM380" s="9"/>
      <c r="IN380" s="9"/>
      <c r="IO380" s="9"/>
      <c r="IP380" s="9"/>
      <c r="IQ380" s="9"/>
      <c r="IR380" s="9"/>
      <c r="IS380" s="9"/>
      <c r="IT380" s="9"/>
      <c r="IU380" s="9"/>
      <c r="IV380" s="9"/>
      <c r="IW380" s="9"/>
      <c r="IX380" s="9"/>
      <c r="IY380" s="9"/>
      <c r="IZ380" s="9"/>
      <c r="JA380" s="9"/>
      <c r="JB380" s="9"/>
      <c r="JC380" s="9"/>
      <c r="JD380" s="9"/>
      <c r="JE380" s="9"/>
      <c r="JF380" s="9"/>
      <c r="JG380" s="9"/>
      <c r="JH380" s="9"/>
      <c r="JI380" s="9"/>
      <c r="JJ380" s="9"/>
      <c r="JK380" s="9"/>
      <c r="JL380" s="9"/>
      <c r="JM380" s="9"/>
      <c r="JN380" s="9"/>
      <c r="JO380" s="9"/>
      <c r="JP380" s="9"/>
      <c r="JQ380" s="9"/>
      <c r="JR380" s="9"/>
      <c r="JS380" s="9"/>
      <c r="JT380" s="9"/>
      <c r="JU380" s="9"/>
      <c r="JV380" s="9"/>
      <c r="JW380" s="9"/>
      <c r="JX380" s="9"/>
      <c r="JY380" s="9"/>
      <c r="JZ380" s="9"/>
      <c r="KA380" s="9"/>
      <c r="KB380" s="9"/>
      <c r="KC380" s="9"/>
      <c r="KD380" s="9"/>
      <c r="KE380" s="9"/>
      <c r="KF380" s="9"/>
      <c r="KG380" s="9"/>
      <c r="KH380" s="9"/>
      <c r="KI380" s="9"/>
      <c r="KJ380" s="9"/>
      <c r="KK380" s="9"/>
      <c r="KL380" s="9"/>
      <c r="KM380" s="9"/>
      <c r="KN380" s="9"/>
      <c r="KO380" s="9"/>
      <c r="KP380" s="9"/>
      <c r="KQ380" s="9"/>
      <c r="KR380" s="9"/>
      <c r="KS380" s="9"/>
      <c r="KT380" s="9"/>
      <c r="KU380" s="9"/>
      <c r="KV380" s="9"/>
      <c r="KW380" s="9"/>
      <c r="KX380" s="9"/>
      <c r="KY380" s="9"/>
      <c r="KZ380" s="9"/>
      <c r="LA380" s="9"/>
      <c r="LB380" s="9"/>
      <c r="LC380" s="9"/>
      <c r="LD380" s="9"/>
      <c r="LE380" s="9"/>
      <c r="LF380" s="9"/>
      <c r="LG380" s="9"/>
      <c r="LH380" s="9"/>
      <c r="LI380" s="9"/>
      <c r="LJ380" s="9"/>
      <c r="LK380" s="9"/>
      <c r="LL380" s="9"/>
      <c r="LM380" s="9"/>
      <c r="LN380" s="9"/>
      <c r="LO380" s="9"/>
      <c r="LP380" s="9"/>
      <c r="LQ380" s="9"/>
      <c r="LR380" s="9"/>
      <c r="LS380" s="9"/>
      <c r="LT380" s="9"/>
      <c r="LU380" s="9"/>
      <c r="LV380" s="9"/>
      <c r="LW380" s="9"/>
      <c r="LX380" s="9"/>
      <c r="LY380" s="9"/>
      <c r="LZ380" s="9"/>
      <c r="MA380" s="9"/>
      <c r="MB380" s="9"/>
      <c r="MC380" s="9"/>
      <c r="MD380" s="9"/>
      <c r="ME380" s="9"/>
      <c r="MF380" s="9"/>
      <c r="MG380" s="9"/>
      <c r="MH380" s="9"/>
      <c r="MI380" s="9"/>
      <c r="MJ380" s="9"/>
      <c r="MK380" s="9"/>
      <c r="ML380" s="9"/>
      <c r="MM380" s="9"/>
      <c r="MN380" s="9"/>
      <c r="MO380" s="9"/>
      <c r="MP380" s="9"/>
      <c r="MQ380" s="9"/>
      <c r="MR380" s="9"/>
      <c r="MS380" s="9"/>
      <c r="MT380" s="9"/>
      <c r="MU380" s="9"/>
      <c r="MV380" s="9"/>
      <c r="MW380" s="9"/>
      <c r="MX380" s="9"/>
      <c r="MY380" s="9"/>
      <c r="MZ380" s="9"/>
      <c r="NA380" s="9"/>
      <c r="NB380" s="9"/>
      <c r="NC380" s="9"/>
      <c r="ND380" s="9"/>
      <c r="NE380" s="9"/>
      <c r="NF380" s="9"/>
      <c r="NG380" s="9"/>
      <c r="NH380" s="9"/>
      <c r="NI380" s="9"/>
      <c r="NJ380" s="9"/>
      <c r="NK380" s="9"/>
      <c r="NL380" s="9"/>
      <c r="NM380" s="9"/>
      <c r="NN380" s="9"/>
      <c r="NO380" s="9"/>
      <c r="NP380" s="9"/>
      <c r="NQ380" s="9"/>
      <c r="NR380" s="9"/>
      <c r="NS380" s="9"/>
      <c r="NT380" s="9"/>
      <c r="NU380" s="9"/>
      <c r="NV380" s="9"/>
      <c r="NW380" s="9"/>
      <c r="NX380" s="9"/>
      <c r="NY380" s="9"/>
      <c r="NZ380" s="9"/>
      <c r="OA380" s="9"/>
      <c r="OB380" s="9"/>
      <c r="OC380" s="9"/>
      <c r="OD380" s="9"/>
      <c r="OE380" s="9"/>
      <c r="OF380" s="9"/>
      <c r="OG380" s="9"/>
      <c r="OH380" s="9"/>
      <c r="OI380" s="9"/>
      <c r="OJ380" s="10"/>
    </row>
    <row r="381" spans="1:400" x14ac:dyDescent="0.2">
      <c r="A381" s="50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  <c r="GM381" s="9"/>
      <c r="GN381" s="9"/>
      <c r="GO381" s="9"/>
      <c r="GP381" s="9"/>
      <c r="GQ381" s="9"/>
      <c r="GR381" s="9"/>
      <c r="GS381" s="9"/>
      <c r="GT381" s="9"/>
      <c r="GU381" s="9"/>
      <c r="GV381" s="9"/>
      <c r="GW381" s="9"/>
      <c r="GX381" s="9"/>
      <c r="GY381" s="9"/>
      <c r="GZ381" s="9"/>
      <c r="HA381" s="9"/>
      <c r="HB381" s="9"/>
      <c r="HC381" s="9"/>
      <c r="HD381" s="9"/>
      <c r="HE381" s="9"/>
      <c r="HF381" s="9"/>
      <c r="HG381" s="9"/>
      <c r="HH381" s="9"/>
      <c r="HI381" s="9"/>
      <c r="HJ381" s="9"/>
      <c r="HK381" s="9"/>
      <c r="HL381" s="9"/>
      <c r="HM381" s="9"/>
      <c r="HN381" s="9"/>
      <c r="HO381" s="9"/>
      <c r="HP381" s="9"/>
      <c r="HQ381" s="9"/>
      <c r="HR381" s="9"/>
      <c r="HS381" s="9"/>
      <c r="HT381" s="9"/>
      <c r="HU381" s="9"/>
      <c r="HV381" s="9"/>
      <c r="HW381" s="9"/>
      <c r="HX381" s="9"/>
      <c r="HY381" s="9"/>
      <c r="HZ381" s="9"/>
      <c r="IA381" s="9"/>
      <c r="IB381" s="9"/>
      <c r="IC381" s="9"/>
      <c r="ID381" s="9"/>
      <c r="IE381" s="9"/>
      <c r="IF381" s="9"/>
      <c r="IG381" s="9"/>
      <c r="IH381" s="9"/>
      <c r="II381" s="9"/>
      <c r="IJ381" s="9"/>
      <c r="IK381" s="9"/>
      <c r="IL381" s="9"/>
      <c r="IM381" s="9"/>
      <c r="IN381" s="9"/>
      <c r="IO381" s="9"/>
      <c r="IP381" s="9"/>
      <c r="IQ381" s="9"/>
      <c r="IR381" s="9"/>
      <c r="IS381" s="9"/>
      <c r="IT381" s="9"/>
      <c r="IU381" s="9"/>
      <c r="IV381" s="9"/>
      <c r="IW381" s="9"/>
      <c r="IX381" s="9"/>
      <c r="IY381" s="9"/>
      <c r="IZ381" s="9"/>
      <c r="JA381" s="9"/>
      <c r="JB381" s="9"/>
      <c r="JC381" s="9"/>
      <c r="JD381" s="9"/>
      <c r="JE381" s="9"/>
      <c r="JF381" s="9"/>
      <c r="JG381" s="9"/>
      <c r="JH381" s="9"/>
      <c r="JI381" s="9"/>
      <c r="JJ381" s="9"/>
      <c r="JK381" s="9"/>
      <c r="JL381" s="9"/>
      <c r="JM381" s="9"/>
      <c r="JN381" s="9"/>
      <c r="JO381" s="9"/>
      <c r="JP381" s="9"/>
      <c r="JQ381" s="9"/>
      <c r="JR381" s="9"/>
      <c r="JS381" s="9"/>
      <c r="JT381" s="9"/>
      <c r="JU381" s="9"/>
      <c r="JV381" s="9"/>
      <c r="JW381" s="9"/>
      <c r="JX381" s="9"/>
      <c r="JY381" s="9"/>
      <c r="JZ381" s="9"/>
      <c r="KA381" s="9"/>
      <c r="KB381" s="9"/>
      <c r="KC381" s="9"/>
      <c r="KD381" s="9"/>
      <c r="KE381" s="9"/>
      <c r="KF381" s="9"/>
      <c r="KG381" s="9"/>
      <c r="KH381" s="9"/>
      <c r="KI381" s="9"/>
      <c r="KJ381" s="9"/>
      <c r="KK381" s="9"/>
      <c r="KL381" s="9"/>
      <c r="KM381" s="9"/>
      <c r="KN381" s="9"/>
      <c r="KO381" s="9"/>
      <c r="KP381" s="9"/>
      <c r="KQ381" s="9"/>
      <c r="KR381" s="9"/>
      <c r="KS381" s="9"/>
      <c r="KT381" s="9"/>
      <c r="KU381" s="9"/>
      <c r="KV381" s="9"/>
      <c r="KW381" s="9"/>
      <c r="KX381" s="9"/>
      <c r="KY381" s="9"/>
      <c r="KZ381" s="9"/>
      <c r="LA381" s="9"/>
      <c r="LB381" s="9"/>
      <c r="LC381" s="9"/>
      <c r="LD381" s="9"/>
      <c r="LE381" s="9"/>
      <c r="LF381" s="9"/>
      <c r="LG381" s="9"/>
      <c r="LH381" s="9"/>
      <c r="LI381" s="9"/>
      <c r="LJ381" s="9"/>
      <c r="LK381" s="9"/>
      <c r="LL381" s="9"/>
      <c r="LM381" s="9"/>
      <c r="LN381" s="9"/>
      <c r="LO381" s="9"/>
      <c r="LP381" s="9"/>
      <c r="LQ381" s="9"/>
      <c r="LR381" s="9"/>
      <c r="LS381" s="9"/>
      <c r="LT381" s="9"/>
      <c r="LU381" s="9"/>
      <c r="LV381" s="9"/>
      <c r="LW381" s="9"/>
      <c r="LX381" s="9"/>
      <c r="LY381" s="9"/>
      <c r="LZ381" s="9"/>
      <c r="MA381" s="9"/>
      <c r="MB381" s="9"/>
      <c r="MC381" s="9"/>
      <c r="MD381" s="9"/>
      <c r="ME381" s="9"/>
      <c r="MF381" s="9"/>
      <c r="MG381" s="9"/>
      <c r="MH381" s="9"/>
      <c r="MI381" s="9"/>
      <c r="MJ381" s="9"/>
      <c r="MK381" s="9"/>
      <c r="ML381" s="9"/>
      <c r="MM381" s="9"/>
      <c r="MN381" s="9"/>
      <c r="MO381" s="9"/>
      <c r="MP381" s="9"/>
      <c r="MQ381" s="9"/>
      <c r="MR381" s="9"/>
      <c r="MS381" s="9"/>
      <c r="MT381" s="9"/>
      <c r="MU381" s="9"/>
      <c r="MV381" s="9"/>
      <c r="MW381" s="9"/>
      <c r="MX381" s="9"/>
      <c r="MY381" s="9"/>
      <c r="MZ381" s="9"/>
      <c r="NA381" s="9"/>
      <c r="NB381" s="9"/>
      <c r="NC381" s="9"/>
      <c r="ND381" s="9"/>
      <c r="NE381" s="9"/>
      <c r="NF381" s="9"/>
      <c r="NG381" s="9"/>
      <c r="NH381" s="9"/>
      <c r="NI381" s="9"/>
      <c r="NJ381" s="9"/>
      <c r="NK381" s="9"/>
      <c r="NL381" s="9"/>
      <c r="NM381" s="9"/>
      <c r="NN381" s="9"/>
      <c r="NO381" s="9"/>
      <c r="NP381" s="9"/>
      <c r="NQ381" s="9"/>
      <c r="NR381" s="9"/>
      <c r="NS381" s="9"/>
      <c r="NT381" s="9"/>
      <c r="NU381" s="9"/>
      <c r="NV381" s="9"/>
      <c r="NW381" s="9"/>
      <c r="NX381" s="9"/>
      <c r="NY381" s="9"/>
      <c r="NZ381" s="9"/>
      <c r="OA381" s="9"/>
      <c r="OB381" s="9"/>
      <c r="OC381" s="9"/>
      <c r="OD381" s="9"/>
      <c r="OE381" s="9"/>
      <c r="OF381" s="9"/>
      <c r="OG381" s="9"/>
      <c r="OH381" s="9"/>
      <c r="OI381" s="9"/>
      <c r="OJ381" s="10"/>
    </row>
    <row r="382" spans="1:400" x14ac:dyDescent="0.2">
      <c r="A382" s="50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  <c r="GM382" s="9"/>
      <c r="GN382" s="9"/>
      <c r="GO382" s="9"/>
      <c r="GP382" s="9"/>
      <c r="GQ382" s="9"/>
      <c r="GR382" s="9"/>
      <c r="GS382" s="9"/>
      <c r="GT382" s="9"/>
      <c r="GU382" s="9"/>
      <c r="GV382" s="9"/>
      <c r="GW382" s="9"/>
      <c r="GX382" s="9"/>
      <c r="GY382" s="9"/>
      <c r="GZ382" s="9"/>
      <c r="HA382" s="9"/>
      <c r="HB382" s="9"/>
      <c r="HC382" s="9"/>
      <c r="HD382" s="9"/>
      <c r="HE382" s="9"/>
      <c r="HF382" s="9"/>
      <c r="HG382" s="9"/>
      <c r="HH382" s="9"/>
      <c r="HI382" s="9"/>
      <c r="HJ382" s="9"/>
      <c r="HK382" s="9"/>
      <c r="HL382" s="9"/>
      <c r="HM382" s="9"/>
      <c r="HN382" s="9"/>
      <c r="HO382" s="9"/>
      <c r="HP382" s="9"/>
      <c r="HQ382" s="9"/>
      <c r="HR382" s="9"/>
      <c r="HS382" s="9"/>
      <c r="HT382" s="9"/>
      <c r="HU382" s="9"/>
      <c r="HV382" s="9"/>
      <c r="HW382" s="9"/>
      <c r="HX382" s="9"/>
      <c r="HY382" s="9"/>
      <c r="HZ382" s="9"/>
      <c r="IA382" s="9"/>
      <c r="IB382" s="9"/>
      <c r="IC382" s="9"/>
      <c r="ID382" s="9"/>
      <c r="IE382" s="9"/>
      <c r="IF382" s="9"/>
      <c r="IG382" s="9"/>
      <c r="IH382" s="9"/>
      <c r="II382" s="9"/>
      <c r="IJ382" s="9"/>
      <c r="IK382" s="9"/>
      <c r="IL382" s="9"/>
      <c r="IM382" s="9"/>
      <c r="IN382" s="9"/>
      <c r="IO382" s="9"/>
      <c r="IP382" s="9"/>
      <c r="IQ382" s="9"/>
      <c r="IR382" s="9"/>
      <c r="IS382" s="9"/>
      <c r="IT382" s="9"/>
      <c r="IU382" s="9"/>
      <c r="IV382" s="9"/>
      <c r="IW382" s="9"/>
      <c r="IX382" s="9"/>
      <c r="IY382" s="9"/>
      <c r="IZ382" s="9"/>
      <c r="JA382" s="9"/>
      <c r="JB382" s="9"/>
      <c r="JC382" s="9"/>
      <c r="JD382" s="9"/>
      <c r="JE382" s="9"/>
      <c r="JF382" s="9"/>
      <c r="JG382" s="9"/>
      <c r="JH382" s="9"/>
      <c r="JI382" s="9"/>
      <c r="JJ382" s="9"/>
      <c r="JK382" s="9"/>
      <c r="JL382" s="9"/>
      <c r="JM382" s="9"/>
      <c r="JN382" s="9"/>
      <c r="JO382" s="9"/>
      <c r="JP382" s="9"/>
      <c r="JQ382" s="9"/>
      <c r="JR382" s="9"/>
      <c r="JS382" s="9"/>
      <c r="JT382" s="9"/>
      <c r="JU382" s="9"/>
      <c r="JV382" s="9"/>
      <c r="JW382" s="9"/>
      <c r="JX382" s="9"/>
      <c r="JY382" s="9"/>
      <c r="JZ382" s="9"/>
      <c r="KA382" s="9"/>
      <c r="KB382" s="9"/>
      <c r="KC382" s="9"/>
      <c r="KD382" s="9"/>
      <c r="KE382" s="9"/>
      <c r="KF382" s="9"/>
      <c r="KG382" s="9"/>
      <c r="KH382" s="9"/>
      <c r="KI382" s="9"/>
      <c r="KJ382" s="9"/>
      <c r="KK382" s="9"/>
      <c r="KL382" s="9"/>
      <c r="KM382" s="9"/>
      <c r="KN382" s="9"/>
      <c r="KO382" s="9"/>
      <c r="KP382" s="9"/>
      <c r="KQ382" s="9"/>
      <c r="KR382" s="9"/>
      <c r="KS382" s="9"/>
      <c r="KT382" s="9"/>
      <c r="KU382" s="9"/>
      <c r="KV382" s="9"/>
      <c r="KW382" s="9"/>
      <c r="KX382" s="9"/>
      <c r="KY382" s="9"/>
      <c r="KZ382" s="9"/>
      <c r="LA382" s="9"/>
      <c r="LB382" s="9"/>
      <c r="LC382" s="9"/>
      <c r="LD382" s="9"/>
      <c r="LE382" s="9"/>
      <c r="LF382" s="9"/>
      <c r="LG382" s="9"/>
      <c r="LH382" s="9"/>
      <c r="LI382" s="9"/>
      <c r="LJ382" s="9"/>
      <c r="LK382" s="9"/>
      <c r="LL382" s="9"/>
      <c r="LM382" s="9"/>
      <c r="LN382" s="9"/>
      <c r="LO382" s="9"/>
      <c r="LP382" s="9"/>
      <c r="LQ382" s="9"/>
      <c r="LR382" s="9"/>
      <c r="LS382" s="9"/>
      <c r="LT382" s="9"/>
      <c r="LU382" s="9"/>
      <c r="LV382" s="9"/>
      <c r="LW382" s="9"/>
      <c r="LX382" s="9"/>
      <c r="LY382" s="9"/>
      <c r="LZ382" s="9"/>
      <c r="MA382" s="9"/>
      <c r="MB382" s="9"/>
      <c r="MC382" s="9"/>
      <c r="MD382" s="9"/>
      <c r="ME382" s="9"/>
      <c r="MF382" s="9"/>
      <c r="MG382" s="9"/>
      <c r="MH382" s="9"/>
      <c r="MI382" s="9"/>
      <c r="MJ382" s="9"/>
      <c r="MK382" s="9"/>
      <c r="ML382" s="9"/>
      <c r="MM382" s="9"/>
      <c r="MN382" s="9"/>
      <c r="MO382" s="9"/>
      <c r="MP382" s="9"/>
      <c r="MQ382" s="9"/>
      <c r="MR382" s="9"/>
      <c r="MS382" s="9"/>
      <c r="MT382" s="9"/>
      <c r="MU382" s="9"/>
      <c r="MV382" s="9"/>
      <c r="MW382" s="9"/>
      <c r="MX382" s="9"/>
      <c r="MY382" s="9"/>
      <c r="MZ382" s="9"/>
      <c r="NA382" s="9"/>
      <c r="NB382" s="9"/>
      <c r="NC382" s="9"/>
      <c r="ND382" s="9"/>
      <c r="NE382" s="9"/>
      <c r="NF382" s="9"/>
      <c r="NG382" s="9"/>
      <c r="NH382" s="9"/>
      <c r="NI382" s="9"/>
      <c r="NJ382" s="9"/>
      <c r="NK382" s="9"/>
      <c r="NL382" s="9"/>
      <c r="NM382" s="9"/>
      <c r="NN382" s="9"/>
      <c r="NO382" s="9"/>
      <c r="NP382" s="9"/>
      <c r="NQ382" s="9"/>
      <c r="NR382" s="9"/>
      <c r="NS382" s="9"/>
      <c r="NT382" s="9"/>
      <c r="NU382" s="9"/>
      <c r="NV382" s="9"/>
      <c r="NW382" s="9"/>
      <c r="NX382" s="9"/>
      <c r="NY382" s="9"/>
      <c r="NZ382" s="9"/>
      <c r="OA382" s="9"/>
      <c r="OB382" s="9"/>
      <c r="OC382" s="9"/>
      <c r="OD382" s="9"/>
      <c r="OE382" s="9"/>
      <c r="OF382" s="9"/>
      <c r="OG382" s="9"/>
      <c r="OH382" s="9"/>
      <c r="OI382" s="9"/>
      <c r="OJ382" s="10"/>
    </row>
    <row r="383" spans="1:400" x14ac:dyDescent="0.2">
      <c r="A383" s="50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  <c r="GM383" s="9"/>
      <c r="GN383" s="9"/>
      <c r="GO383" s="9"/>
      <c r="GP383" s="9"/>
      <c r="GQ383" s="9"/>
      <c r="GR383" s="9"/>
      <c r="GS383" s="9"/>
      <c r="GT383" s="9"/>
      <c r="GU383" s="9"/>
      <c r="GV383" s="9"/>
      <c r="GW383" s="9"/>
      <c r="GX383" s="9"/>
      <c r="GY383" s="9"/>
      <c r="GZ383" s="9"/>
      <c r="HA383" s="9"/>
      <c r="HB383" s="9"/>
      <c r="HC383" s="9"/>
      <c r="HD383" s="9"/>
      <c r="HE383" s="9"/>
      <c r="HF383" s="9"/>
      <c r="HG383" s="9"/>
      <c r="HH383" s="9"/>
      <c r="HI383" s="9"/>
      <c r="HJ383" s="9"/>
      <c r="HK383" s="9"/>
      <c r="HL383" s="9"/>
      <c r="HM383" s="9"/>
      <c r="HN383" s="9"/>
      <c r="HO383" s="9"/>
      <c r="HP383" s="9"/>
      <c r="HQ383" s="9"/>
      <c r="HR383" s="9"/>
      <c r="HS383" s="9"/>
      <c r="HT383" s="9"/>
      <c r="HU383" s="9"/>
      <c r="HV383" s="9"/>
      <c r="HW383" s="9"/>
      <c r="HX383" s="9"/>
      <c r="HY383" s="9"/>
      <c r="HZ383" s="9"/>
      <c r="IA383" s="9"/>
      <c r="IB383" s="9"/>
      <c r="IC383" s="9"/>
      <c r="ID383" s="9"/>
      <c r="IE383" s="9"/>
      <c r="IF383" s="9"/>
      <c r="IG383" s="9"/>
      <c r="IH383" s="9"/>
      <c r="II383" s="9"/>
      <c r="IJ383" s="9"/>
      <c r="IK383" s="9"/>
      <c r="IL383" s="9"/>
      <c r="IM383" s="9"/>
      <c r="IN383" s="9"/>
      <c r="IO383" s="9"/>
      <c r="IP383" s="9"/>
      <c r="IQ383" s="9"/>
      <c r="IR383" s="9"/>
      <c r="IS383" s="9"/>
      <c r="IT383" s="9"/>
      <c r="IU383" s="9"/>
      <c r="IV383" s="9"/>
      <c r="IW383" s="9"/>
      <c r="IX383" s="9"/>
      <c r="IY383" s="9"/>
      <c r="IZ383" s="9"/>
      <c r="JA383" s="9"/>
      <c r="JB383" s="9"/>
      <c r="JC383" s="9"/>
      <c r="JD383" s="9"/>
      <c r="JE383" s="9"/>
      <c r="JF383" s="9"/>
      <c r="JG383" s="9"/>
      <c r="JH383" s="9"/>
      <c r="JI383" s="9"/>
      <c r="JJ383" s="9"/>
      <c r="JK383" s="9"/>
      <c r="JL383" s="9"/>
      <c r="JM383" s="9"/>
      <c r="JN383" s="9"/>
      <c r="JO383" s="9"/>
      <c r="JP383" s="9"/>
      <c r="JQ383" s="9"/>
      <c r="JR383" s="9"/>
      <c r="JS383" s="9"/>
      <c r="JT383" s="9"/>
      <c r="JU383" s="9"/>
      <c r="JV383" s="9"/>
      <c r="JW383" s="9"/>
      <c r="JX383" s="9"/>
      <c r="JY383" s="9"/>
      <c r="JZ383" s="9"/>
      <c r="KA383" s="9"/>
      <c r="KB383" s="9"/>
      <c r="KC383" s="9"/>
      <c r="KD383" s="9"/>
      <c r="KE383" s="9"/>
      <c r="KF383" s="9"/>
      <c r="KG383" s="9"/>
      <c r="KH383" s="9"/>
      <c r="KI383" s="9"/>
      <c r="KJ383" s="9"/>
      <c r="KK383" s="9"/>
      <c r="KL383" s="9"/>
      <c r="KM383" s="9"/>
      <c r="KN383" s="9"/>
      <c r="KO383" s="9"/>
      <c r="KP383" s="9"/>
      <c r="KQ383" s="9"/>
      <c r="KR383" s="9"/>
      <c r="KS383" s="9"/>
      <c r="KT383" s="9"/>
      <c r="KU383" s="9"/>
      <c r="KV383" s="9"/>
      <c r="KW383" s="9"/>
      <c r="KX383" s="9"/>
      <c r="KY383" s="9"/>
      <c r="KZ383" s="9"/>
      <c r="LA383" s="9"/>
      <c r="LB383" s="9"/>
      <c r="LC383" s="9"/>
      <c r="LD383" s="9"/>
      <c r="LE383" s="9"/>
      <c r="LF383" s="9"/>
      <c r="LG383" s="9"/>
      <c r="LH383" s="9"/>
      <c r="LI383" s="9"/>
      <c r="LJ383" s="9"/>
      <c r="LK383" s="9"/>
      <c r="LL383" s="9"/>
      <c r="LM383" s="9"/>
      <c r="LN383" s="9"/>
      <c r="LO383" s="9"/>
      <c r="LP383" s="9"/>
      <c r="LQ383" s="9"/>
      <c r="LR383" s="9"/>
      <c r="LS383" s="9"/>
      <c r="LT383" s="9"/>
      <c r="LU383" s="9"/>
      <c r="LV383" s="9"/>
      <c r="LW383" s="9"/>
      <c r="LX383" s="9"/>
      <c r="LY383" s="9"/>
      <c r="LZ383" s="9"/>
      <c r="MA383" s="9"/>
      <c r="MB383" s="9"/>
      <c r="MC383" s="9"/>
      <c r="MD383" s="9"/>
      <c r="ME383" s="9"/>
      <c r="MF383" s="9"/>
      <c r="MG383" s="9"/>
      <c r="MH383" s="9"/>
      <c r="MI383" s="9"/>
      <c r="MJ383" s="9"/>
      <c r="MK383" s="9"/>
      <c r="ML383" s="9"/>
      <c r="MM383" s="9"/>
      <c r="MN383" s="9"/>
      <c r="MO383" s="9"/>
      <c r="MP383" s="9"/>
      <c r="MQ383" s="9"/>
      <c r="MR383" s="9"/>
      <c r="MS383" s="9"/>
      <c r="MT383" s="9"/>
      <c r="MU383" s="9"/>
      <c r="MV383" s="9"/>
      <c r="MW383" s="9"/>
      <c r="MX383" s="9"/>
      <c r="MY383" s="9"/>
      <c r="MZ383" s="9"/>
      <c r="NA383" s="9"/>
      <c r="NB383" s="9"/>
      <c r="NC383" s="9"/>
      <c r="ND383" s="9"/>
      <c r="NE383" s="9"/>
      <c r="NF383" s="9"/>
      <c r="NG383" s="9"/>
      <c r="NH383" s="9"/>
      <c r="NI383" s="9"/>
      <c r="NJ383" s="9"/>
      <c r="NK383" s="9"/>
      <c r="NL383" s="9"/>
      <c r="NM383" s="9"/>
      <c r="NN383" s="9"/>
      <c r="NO383" s="9"/>
      <c r="NP383" s="9"/>
      <c r="NQ383" s="9"/>
      <c r="NR383" s="9"/>
      <c r="NS383" s="9"/>
      <c r="NT383" s="9"/>
      <c r="NU383" s="9"/>
      <c r="NV383" s="9"/>
      <c r="NW383" s="9"/>
      <c r="NX383" s="9"/>
      <c r="NY383" s="9"/>
      <c r="NZ383" s="9"/>
      <c r="OA383" s="9"/>
      <c r="OB383" s="9"/>
      <c r="OC383" s="9"/>
      <c r="OD383" s="9"/>
      <c r="OE383" s="9"/>
      <c r="OF383" s="9"/>
      <c r="OG383" s="9"/>
      <c r="OH383" s="9"/>
      <c r="OI383" s="9"/>
      <c r="OJ383" s="10"/>
    </row>
    <row r="384" spans="1:400" x14ac:dyDescent="0.2">
      <c r="A384" s="50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  <c r="GM384" s="9"/>
      <c r="GN384" s="9"/>
      <c r="GO384" s="9"/>
      <c r="GP384" s="9"/>
      <c r="GQ384" s="9"/>
      <c r="GR384" s="9"/>
      <c r="GS384" s="9"/>
      <c r="GT384" s="9"/>
      <c r="GU384" s="9"/>
      <c r="GV384" s="9"/>
      <c r="GW384" s="9"/>
      <c r="GX384" s="9"/>
      <c r="GY384" s="9"/>
      <c r="GZ384" s="9"/>
      <c r="HA384" s="9"/>
      <c r="HB384" s="9"/>
      <c r="HC384" s="9"/>
      <c r="HD384" s="9"/>
      <c r="HE384" s="9"/>
      <c r="HF384" s="9"/>
      <c r="HG384" s="9"/>
      <c r="HH384" s="9"/>
      <c r="HI384" s="9"/>
      <c r="HJ384" s="9"/>
      <c r="HK384" s="9"/>
      <c r="HL384" s="9"/>
      <c r="HM384" s="9"/>
      <c r="HN384" s="9"/>
      <c r="HO384" s="9"/>
      <c r="HP384" s="9"/>
      <c r="HQ384" s="9"/>
      <c r="HR384" s="9"/>
      <c r="HS384" s="9"/>
      <c r="HT384" s="9"/>
      <c r="HU384" s="9"/>
      <c r="HV384" s="9"/>
      <c r="HW384" s="9"/>
      <c r="HX384" s="9"/>
      <c r="HY384" s="9"/>
      <c r="HZ384" s="9"/>
      <c r="IA384" s="9"/>
      <c r="IB384" s="9"/>
      <c r="IC384" s="9"/>
      <c r="ID384" s="9"/>
      <c r="IE384" s="9"/>
      <c r="IF384" s="9"/>
      <c r="IG384" s="9"/>
      <c r="IH384" s="9"/>
      <c r="II384" s="9"/>
      <c r="IJ384" s="9"/>
      <c r="IK384" s="9"/>
      <c r="IL384" s="9"/>
      <c r="IM384" s="9"/>
      <c r="IN384" s="9"/>
      <c r="IO384" s="9"/>
      <c r="IP384" s="9"/>
      <c r="IQ384" s="9"/>
      <c r="IR384" s="9"/>
      <c r="IS384" s="9"/>
      <c r="IT384" s="9"/>
      <c r="IU384" s="9"/>
      <c r="IV384" s="9"/>
      <c r="IW384" s="9"/>
      <c r="IX384" s="9"/>
      <c r="IY384" s="9"/>
      <c r="IZ384" s="9"/>
      <c r="JA384" s="9"/>
      <c r="JB384" s="9"/>
      <c r="JC384" s="9"/>
      <c r="JD384" s="9"/>
      <c r="JE384" s="9"/>
      <c r="JF384" s="9"/>
      <c r="JG384" s="9"/>
      <c r="JH384" s="9"/>
      <c r="JI384" s="9"/>
      <c r="JJ384" s="9"/>
      <c r="JK384" s="9"/>
      <c r="JL384" s="9"/>
      <c r="JM384" s="9"/>
      <c r="JN384" s="9"/>
      <c r="JO384" s="9"/>
      <c r="JP384" s="9"/>
      <c r="JQ384" s="9"/>
      <c r="JR384" s="9"/>
      <c r="JS384" s="9"/>
      <c r="JT384" s="9"/>
      <c r="JU384" s="9"/>
      <c r="JV384" s="9"/>
      <c r="JW384" s="9"/>
      <c r="JX384" s="9"/>
      <c r="JY384" s="9"/>
      <c r="JZ384" s="9"/>
      <c r="KA384" s="9"/>
      <c r="KB384" s="9"/>
      <c r="KC384" s="9"/>
      <c r="KD384" s="9"/>
      <c r="KE384" s="9"/>
      <c r="KF384" s="9"/>
      <c r="KG384" s="9"/>
      <c r="KH384" s="9"/>
      <c r="KI384" s="9"/>
      <c r="KJ384" s="9"/>
      <c r="KK384" s="9"/>
      <c r="KL384" s="9"/>
      <c r="KM384" s="9"/>
      <c r="KN384" s="9"/>
      <c r="KO384" s="9"/>
      <c r="KP384" s="9"/>
      <c r="KQ384" s="9"/>
      <c r="KR384" s="9"/>
      <c r="KS384" s="9"/>
      <c r="KT384" s="9"/>
      <c r="KU384" s="9"/>
      <c r="KV384" s="9"/>
      <c r="KW384" s="9"/>
      <c r="KX384" s="9"/>
      <c r="KY384" s="9"/>
      <c r="KZ384" s="9"/>
      <c r="LA384" s="9"/>
      <c r="LB384" s="9"/>
      <c r="LC384" s="9"/>
      <c r="LD384" s="9"/>
      <c r="LE384" s="9"/>
      <c r="LF384" s="9"/>
      <c r="LG384" s="9"/>
      <c r="LH384" s="9"/>
      <c r="LI384" s="9"/>
      <c r="LJ384" s="9"/>
      <c r="LK384" s="9"/>
      <c r="LL384" s="9"/>
      <c r="LM384" s="9"/>
      <c r="LN384" s="9"/>
      <c r="LO384" s="9"/>
      <c r="LP384" s="9"/>
      <c r="LQ384" s="9"/>
      <c r="LR384" s="9"/>
      <c r="LS384" s="9"/>
      <c r="LT384" s="9"/>
      <c r="LU384" s="9"/>
      <c r="LV384" s="9"/>
      <c r="LW384" s="9"/>
      <c r="LX384" s="9"/>
      <c r="LY384" s="9"/>
      <c r="LZ384" s="9"/>
      <c r="MA384" s="9"/>
      <c r="MB384" s="9"/>
      <c r="MC384" s="9"/>
      <c r="MD384" s="9"/>
      <c r="ME384" s="9"/>
      <c r="MF384" s="9"/>
      <c r="MG384" s="9"/>
      <c r="MH384" s="9"/>
      <c r="MI384" s="9"/>
      <c r="MJ384" s="9"/>
      <c r="MK384" s="9"/>
      <c r="ML384" s="9"/>
      <c r="MM384" s="9"/>
      <c r="MN384" s="9"/>
      <c r="MO384" s="9"/>
      <c r="MP384" s="9"/>
      <c r="MQ384" s="9"/>
      <c r="MR384" s="9"/>
      <c r="MS384" s="9"/>
      <c r="MT384" s="9"/>
      <c r="MU384" s="9"/>
      <c r="MV384" s="9"/>
      <c r="MW384" s="9"/>
      <c r="MX384" s="9"/>
      <c r="MY384" s="9"/>
      <c r="MZ384" s="9"/>
      <c r="NA384" s="9"/>
      <c r="NB384" s="9"/>
      <c r="NC384" s="9"/>
      <c r="ND384" s="9"/>
      <c r="NE384" s="9"/>
      <c r="NF384" s="9"/>
      <c r="NG384" s="9"/>
      <c r="NH384" s="9"/>
      <c r="NI384" s="9"/>
      <c r="NJ384" s="9"/>
      <c r="NK384" s="9"/>
      <c r="NL384" s="9"/>
      <c r="NM384" s="9"/>
      <c r="NN384" s="9"/>
      <c r="NO384" s="9"/>
      <c r="NP384" s="9"/>
      <c r="NQ384" s="9"/>
      <c r="NR384" s="9"/>
      <c r="NS384" s="9"/>
      <c r="NT384" s="9"/>
      <c r="NU384" s="9"/>
      <c r="NV384" s="9"/>
      <c r="NW384" s="9"/>
      <c r="NX384" s="9"/>
      <c r="NY384" s="9"/>
      <c r="NZ384" s="9"/>
      <c r="OA384" s="9"/>
      <c r="OB384" s="9"/>
      <c r="OC384" s="9"/>
      <c r="OD384" s="9"/>
      <c r="OE384" s="9"/>
      <c r="OF384" s="9"/>
      <c r="OG384" s="9"/>
      <c r="OH384" s="9"/>
      <c r="OI384" s="9"/>
      <c r="OJ384" s="10"/>
    </row>
    <row r="385" spans="1:400" x14ac:dyDescent="0.2">
      <c r="A385" s="50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  <c r="GM385" s="9"/>
      <c r="GN385" s="9"/>
      <c r="GO385" s="9"/>
      <c r="GP385" s="9"/>
      <c r="GQ385" s="9"/>
      <c r="GR385" s="9"/>
      <c r="GS385" s="9"/>
      <c r="GT385" s="9"/>
      <c r="GU385" s="9"/>
      <c r="GV385" s="9"/>
      <c r="GW385" s="9"/>
      <c r="GX385" s="9"/>
      <c r="GY385" s="9"/>
      <c r="GZ385" s="9"/>
      <c r="HA385" s="9"/>
      <c r="HB385" s="9"/>
      <c r="HC385" s="9"/>
      <c r="HD385" s="9"/>
      <c r="HE385" s="9"/>
      <c r="HF385" s="9"/>
      <c r="HG385" s="9"/>
      <c r="HH385" s="9"/>
      <c r="HI385" s="9"/>
      <c r="HJ385" s="9"/>
      <c r="HK385" s="9"/>
      <c r="HL385" s="9"/>
      <c r="HM385" s="9"/>
      <c r="HN385" s="9"/>
      <c r="HO385" s="9"/>
      <c r="HP385" s="9"/>
      <c r="HQ385" s="9"/>
      <c r="HR385" s="9"/>
      <c r="HS385" s="9"/>
      <c r="HT385" s="9"/>
      <c r="HU385" s="9"/>
      <c r="HV385" s="9"/>
      <c r="HW385" s="9"/>
      <c r="HX385" s="9"/>
      <c r="HY385" s="9"/>
      <c r="HZ385" s="9"/>
      <c r="IA385" s="9"/>
      <c r="IB385" s="9"/>
      <c r="IC385" s="9"/>
      <c r="ID385" s="9"/>
      <c r="IE385" s="9"/>
      <c r="IF385" s="9"/>
      <c r="IG385" s="9"/>
      <c r="IH385" s="9"/>
      <c r="II385" s="9"/>
      <c r="IJ385" s="9"/>
      <c r="IK385" s="9"/>
      <c r="IL385" s="9"/>
      <c r="IM385" s="9"/>
      <c r="IN385" s="9"/>
      <c r="IO385" s="9"/>
      <c r="IP385" s="9"/>
      <c r="IQ385" s="9"/>
      <c r="IR385" s="9"/>
      <c r="IS385" s="9"/>
      <c r="IT385" s="9"/>
      <c r="IU385" s="9"/>
      <c r="IV385" s="9"/>
      <c r="IW385" s="9"/>
      <c r="IX385" s="9"/>
      <c r="IY385" s="9"/>
      <c r="IZ385" s="9"/>
      <c r="JA385" s="9"/>
      <c r="JB385" s="9"/>
      <c r="JC385" s="9"/>
      <c r="JD385" s="9"/>
      <c r="JE385" s="9"/>
      <c r="JF385" s="9"/>
      <c r="JG385" s="9"/>
      <c r="JH385" s="9"/>
      <c r="JI385" s="9"/>
      <c r="JJ385" s="9"/>
      <c r="JK385" s="9"/>
      <c r="JL385" s="9"/>
      <c r="JM385" s="9"/>
      <c r="JN385" s="9"/>
      <c r="JO385" s="9"/>
      <c r="JP385" s="9"/>
      <c r="JQ385" s="9"/>
      <c r="JR385" s="9"/>
      <c r="JS385" s="9"/>
      <c r="JT385" s="9"/>
      <c r="JU385" s="9"/>
      <c r="JV385" s="9"/>
      <c r="JW385" s="9"/>
      <c r="JX385" s="9"/>
      <c r="JY385" s="9"/>
      <c r="JZ385" s="9"/>
      <c r="KA385" s="9"/>
      <c r="KB385" s="9"/>
      <c r="KC385" s="9"/>
      <c r="KD385" s="9"/>
      <c r="KE385" s="9"/>
      <c r="KF385" s="9"/>
      <c r="KG385" s="9"/>
      <c r="KH385" s="9"/>
      <c r="KI385" s="9"/>
      <c r="KJ385" s="9"/>
      <c r="KK385" s="9"/>
      <c r="KL385" s="9"/>
      <c r="KM385" s="9"/>
      <c r="KN385" s="9"/>
      <c r="KO385" s="9"/>
      <c r="KP385" s="9"/>
      <c r="KQ385" s="9"/>
      <c r="KR385" s="9"/>
      <c r="KS385" s="9"/>
      <c r="KT385" s="9"/>
      <c r="KU385" s="9"/>
      <c r="KV385" s="9"/>
      <c r="KW385" s="9"/>
      <c r="KX385" s="9"/>
      <c r="KY385" s="9"/>
      <c r="KZ385" s="9"/>
      <c r="LA385" s="9"/>
      <c r="LB385" s="9"/>
      <c r="LC385" s="9"/>
      <c r="LD385" s="9"/>
      <c r="LE385" s="9"/>
      <c r="LF385" s="9"/>
      <c r="LG385" s="9"/>
      <c r="LH385" s="9"/>
      <c r="LI385" s="9"/>
      <c r="LJ385" s="9"/>
      <c r="LK385" s="9"/>
      <c r="LL385" s="9"/>
      <c r="LM385" s="9"/>
      <c r="LN385" s="9"/>
      <c r="LO385" s="9"/>
      <c r="LP385" s="9"/>
      <c r="LQ385" s="9"/>
      <c r="LR385" s="9"/>
      <c r="LS385" s="9"/>
      <c r="LT385" s="9"/>
      <c r="LU385" s="9"/>
      <c r="LV385" s="9"/>
      <c r="LW385" s="9"/>
      <c r="LX385" s="9"/>
      <c r="LY385" s="9"/>
      <c r="LZ385" s="9"/>
      <c r="MA385" s="9"/>
      <c r="MB385" s="9"/>
      <c r="MC385" s="9"/>
      <c r="MD385" s="9"/>
      <c r="ME385" s="9"/>
      <c r="MF385" s="9"/>
      <c r="MG385" s="9"/>
      <c r="MH385" s="9"/>
      <c r="MI385" s="9"/>
      <c r="MJ385" s="9"/>
      <c r="MK385" s="9"/>
      <c r="ML385" s="9"/>
      <c r="MM385" s="9"/>
      <c r="MN385" s="9"/>
      <c r="MO385" s="9"/>
      <c r="MP385" s="9"/>
      <c r="MQ385" s="9"/>
      <c r="MR385" s="9"/>
      <c r="MS385" s="9"/>
      <c r="MT385" s="9"/>
      <c r="MU385" s="9"/>
      <c r="MV385" s="9"/>
      <c r="MW385" s="9"/>
      <c r="MX385" s="9"/>
      <c r="MY385" s="9"/>
      <c r="MZ385" s="9"/>
      <c r="NA385" s="9"/>
      <c r="NB385" s="9"/>
      <c r="NC385" s="9"/>
      <c r="ND385" s="9"/>
      <c r="NE385" s="9"/>
      <c r="NF385" s="9"/>
      <c r="NG385" s="9"/>
      <c r="NH385" s="9"/>
      <c r="NI385" s="9"/>
      <c r="NJ385" s="9"/>
      <c r="NK385" s="9"/>
      <c r="NL385" s="9"/>
      <c r="NM385" s="9"/>
      <c r="NN385" s="9"/>
      <c r="NO385" s="9"/>
      <c r="NP385" s="9"/>
      <c r="NQ385" s="9"/>
      <c r="NR385" s="9"/>
      <c r="NS385" s="9"/>
      <c r="NT385" s="9"/>
      <c r="NU385" s="9"/>
      <c r="NV385" s="9"/>
      <c r="NW385" s="9"/>
      <c r="NX385" s="9"/>
      <c r="NY385" s="9"/>
      <c r="NZ385" s="9"/>
      <c r="OA385" s="9"/>
      <c r="OB385" s="9"/>
      <c r="OC385" s="9"/>
      <c r="OD385" s="9"/>
      <c r="OE385" s="9"/>
      <c r="OF385" s="9"/>
      <c r="OG385" s="9"/>
      <c r="OH385" s="9"/>
      <c r="OI385" s="9"/>
      <c r="OJ385" s="10"/>
    </row>
    <row r="386" spans="1:400" x14ac:dyDescent="0.2">
      <c r="A386" s="50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  <c r="GM386" s="9"/>
      <c r="GN386" s="9"/>
      <c r="GO386" s="9"/>
      <c r="GP386" s="9"/>
      <c r="GQ386" s="9"/>
      <c r="GR386" s="9"/>
      <c r="GS386" s="9"/>
      <c r="GT386" s="9"/>
      <c r="GU386" s="9"/>
      <c r="GV386" s="9"/>
      <c r="GW386" s="9"/>
      <c r="GX386" s="9"/>
      <c r="GY386" s="9"/>
      <c r="GZ386" s="9"/>
      <c r="HA386" s="9"/>
      <c r="HB386" s="9"/>
      <c r="HC386" s="9"/>
      <c r="HD386" s="9"/>
      <c r="HE386" s="9"/>
      <c r="HF386" s="9"/>
      <c r="HG386" s="9"/>
      <c r="HH386" s="9"/>
      <c r="HI386" s="9"/>
      <c r="HJ386" s="9"/>
      <c r="HK386" s="9"/>
      <c r="HL386" s="9"/>
      <c r="HM386" s="9"/>
      <c r="HN386" s="9"/>
      <c r="HO386" s="9"/>
      <c r="HP386" s="9"/>
      <c r="HQ386" s="9"/>
      <c r="HR386" s="9"/>
      <c r="HS386" s="9"/>
      <c r="HT386" s="9"/>
      <c r="HU386" s="9"/>
      <c r="HV386" s="9"/>
      <c r="HW386" s="9"/>
      <c r="HX386" s="9"/>
      <c r="HY386" s="9"/>
      <c r="HZ386" s="9"/>
      <c r="IA386" s="9"/>
      <c r="IB386" s="9"/>
      <c r="IC386" s="9"/>
      <c r="ID386" s="9"/>
      <c r="IE386" s="9"/>
      <c r="IF386" s="9"/>
      <c r="IG386" s="9"/>
      <c r="IH386" s="9"/>
      <c r="II386" s="9"/>
      <c r="IJ386" s="9"/>
      <c r="IK386" s="9"/>
      <c r="IL386" s="9"/>
      <c r="IM386" s="9"/>
      <c r="IN386" s="9"/>
      <c r="IO386" s="9"/>
      <c r="IP386" s="9"/>
      <c r="IQ386" s="9"/>
      <c r="IR386" s="9"/>
      <c r="IS386" s="9"/>
      <c r="IT386" s="9"/>
      <c r="IU386" s="9"/>
      <c r="IV386" s="9"/>
      <c r="IW386" s="9"/>
      <c r="IX386" s="9"/>
      <c r="IY386" s="9"/>
      <c r="IZ386" s="9"/>
      <c r="JA386" s="9"/>
      <c r="JB386" s="9"/>
      <c r="JC386" s="9"/>
      <c r="JD386" s="9"/>
      <c r="JE386" s="9"/>
      <c r="JF386" s="9"/>
      <c r="JG386" s="9"/>
      <c r="JH386" s="9"/>
      <c r="JI386" s="9"/>
      <c r="JJ386" s="9"/>
      <c r="JK386" s="9"/>
      <c r="JL386" s="9"/>
      <c r="JM386" s="9"/>
      <c r="JN386" s="9"/>
      <c r="JO386" s="9"/>
      <c r="JP386" s="9"/>
      <c r="JQ386" s="9"/>
      <c r="JR386" s="9"/>
      <c r="JS386" s="9"/>
      <c r="JT386" s="9"/>
      <c r="JU386" s="9"/>
      <c r="JV386" s="9"/>
      <c r="JW386" s="9"/>
      <c r="JX386" s="9"/>
      <c r="JY386" s="9"/>
      <c r="JZ386" s="9"/>
      <c r="KA386" s="9"/>
      <c r="KB386" s="9"/>
      <c r="KC386" s="9"/>
      <c r="KD386" s="9"/>
      <c r="KE386" s="9"/>
      <c r="KF386" s="9"/>
      <c r="KG386" s="9"/>
      <c r="KH386" s="9"/>
      <c r="KI386" s="9"/>
      <c r="KJ386" s="9"/>
      <c r="KK386" s="9"/>
      <c r="KL386" s="9"/>
      <c r="KM386" s="9"/>
      <c r="KN386" s="9"/>
      <c r="KO386" s="9"/>
      <c r="KP386" s="9"/>
      <c r="KQ386" s="9"/>
      <c r="KR386" s="9"/>
      <c r="KS386" s="9"/>
      <c r="KT386" s="9"/>
      <c r="KU386" s="9"/>
      <c r="KV386" s="9"/>
      <c r="KW386" s="9"/>
      <c r="KX386" s="9"/>
      <c r="KY386" s="9"/>
      <c r="KZ386" s="9"/>
      <c r="LA386" s="9"/>
      <c r="LB386" s="9"/>
      <c r="LC386" s="9"/>
      <c r="LD386" s="9"/>
      <c r="LE386" s="9"/>
      <c r="LF386" s="9"/>
      <c r="LG386" s="9"/>
      <c r="LH386" s="9"/>
      <c r="LI386" s="9"/>
      <c r="LJ386" s="9"/>
      <c r="LK386" s="9"/>
      <c r="LL386" s="9"/>
      <c r="LM386" s="9"/>
      <c r="LN386" s="9"/>
      <c r="LO386" s="9"/>
      <c r="LP386" s="9"/>
      <c r="LQ386" s="9"/>
      <c r="LR386" s="9"/>
      <c r="LS386" s="9"/>
      <c r="LT386" s="9"/>
      <c r="LU386" s="9"/>
      <c r="LV386" s="9"/>
      <c r="LW386" s="9"/>
      <c r="LX386" s="9"/>
      <c r="LY386" s="9"/>
      <c r="LZ386" s="9"/>
      <c r="MA386" s="9"/>
      <c r="MB386" s="9"/>
      <c r="MC386" s="9"/>
      <c r="MD386" s="9"/>
      <c r="ME386" s="9"/>
      <c r="MF386" s="9"/>
      <c r="MG386" s="9"/>
      <c r="MH386" s="9"/>
      <c r="MI386" s="9"/>
      <c r="MJ386" s="9"/>
      <c r="MK386" s="9"/>
      <c r="ML386" s="9"/>
      <c r="MM386" s="9"/>
      <c r="MN386" s="9"/>
      <c r="MO386" s="9"/>
      <c r="MP386" s="9"/>
      <c r="MQ386" s="9"/>
      <c r="MR386" s="9"/>
      <c r="MS386" s="9"/>
      <c r="MT386" s="9"/>
      <c r="MU386" s="9"/>
      <c r="MV386" s="9"/>
      <c r="MW386" s="9"/>
      <c r="MX386" s="9"/>
      <c r="MY386" s="9"/>
      <c r="MZ386" s="9"/>
      <c r="NA386" s="9"/>
      <c r="NB386" s="9"/>
      <c r="NC386" s="9"/>
      <c r="ND386" s="9"/>
      <c r="NE386" s="9"/>
      <c r="NF386" s="9"/>
      <c r="NG386" s="9"/>
      <c r="NH386" s="9"/>
      <c r="NI386" s="9"/>
      <c r="NJ386" s="9"/>
      <c r="NK386" s="9"/>
      <c r="NL386" s="9"/>
      <c r="NM386" s="9"/>
      <c r="NN386" s="9"/>
      <c r="NO386" s="9"/>
      <c r="NP386" s="9"/>
      <c r="NQ386" s="9"/>
      <c r="NR386" s="9"/>
      <c r="NS386" s="9"/>
      <c r="NT386" s="9"/>
      <c r="NU386" s="9"/>
      <c r="NV386" s="9"/>
      <c r="NW386" s="9"/>
      <c r="NX386" s="9"/>
      <c r="NY386" s="9"/>
      <c r="NZ386" s="9"/>
      <c r="OA386" s="9"/>
      <c r="OB386" s="9"/>
      <c r="OC386" s="9"/>
      <c r="OD386" s="9"/>
      <c r="OE386" s="9"/>
      <c r="OF386" s="9"/>
      <c r="OG386" s="9"/>
      <c r="OH386" s="9"/>
      <c r="OI386" s="9"/>
      <c r="OJ386" s="10"/>
    </row>
    <row r="387" spans="1:400" x14ac:dyDescent="0.2">
      <c r="A387" s="50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  <c r="GM387" s="9"/>
      <c r="GN387" s="9"/>
      <c r="GO387" s="9"/>
      <c r="GP387" s="9"/>
      <c r="GQ387" s="9"/>
      <c r="GR387" s="9"/>
      <c r="GS387" s="9"/>
      <c r="GT387" s="9"/>
      <c r="GU387" s="9"/>
      <c r="GV387" s="9"/>
      <c r="GW387" s="9"/>
      <c r="GX387" s="9"/>
      <c r="GY387" s="9"/>
      <c r="GZ387" s="9"/>
      <c r="HA387" s="9"/>
      <c r="HB387" s="9"/>
      <c r="HC387" s="9"/>
      <c r="HD387" s="9"/>
      <c r="HE387" s="9"/>
      <c r="HF387" s="9"/>
      <c r="HG387" s="9"/>
      <c r="HH387" s="9"/>
      <c r="HI387" s="9"/>
      <c r="HJ387" s="9"/>
      <c r="HK387" s="9"/>
      <c r="HL387" s="9"/>
      <c r="HM387" s="9"/>
      <c r="HN387" s="9"/>
      <c r="HO387" s="9"/>
      <c r="HP387" s="9"/>
      <c r="HQ387" s="9"/>
      <c r="HR387" s="9"/>
      <c r="HS387" s="9"/>
      <c r="HT387" s="9"/>
      <c r="HU387" s="9"/>
      <c r="HV387" s="9"/>
      <c r="HW387" s="9"/>
      <c r="HX387" s="9"/>
      <c r="HY387" s="9"/>
      <c r="HZ387" s="9"/>
      <c r="IA387" s="9"/>
      <c r="IB387" s="9"/>
      <c r="IC387" s="9"/>
      <c r="ID387" s="9"/>
      <c r="IE387" s="9"/>
      <c r="IF387" s="9"/>
      <c r="IG387" s="9"/>
      <c r="IH387" s="9"/>
      <c r="II387" s="9"/>
      <c r="IJ387" s="9"/>
      <c r="IK387" s="9"/>
      <c r="IL387" s="9"/>
      <c r="IM387" s="9"/>
      <c r="IN387" s="9"/>
      <c r="IO387" s="9"/>
      <c r="IP387" s="9"/>
      <c r="IQ387" s="9"/>
      <c r="IR387" s="9"/>
      <c r="IS387" s="9"/>
      <c r="IT387" s="9"/>
      <c r="IU387" s="9"/>
      <c r="IV387" s="9"/>
      <c r="IW387" s="9"/>
      <c r="IX387" s="9"/>
      <c r="IY387" s="9"/>
      <c r="IZ387" s="9"/>
      <c r="JA387" s="9"/>
      <c r="JB387" s="9"/>
      <c r="JC387" s="9"/>
      <c r="JD387" s="9"/>
      <c r="JE387" s="9"/>
      <c r="JF387" s="9"/>
      <c r="JG387" s="9"/>
      <c r="JH387" s="9"/>
      <c r="JI387" s="9"/>
      <c r="JJ387" s="9"/>
      <c r="JK387" s="9"/>
      <c r="JL387" s="9"/>
      <c r="JM387" s="9"/>
      <c r="JN387" s="9"/>
      <c r="JO387" s="9"/>
      <c r="JP387" s="9"/>
      <c r="JQ387" s="9"/>
      <c r="JR387" s="9"/>
      <c r="JS387" s="9"/>
      <c r="JT387" s="9"/>
      <c r="JU387" s="9"/>
      <c r="JV387" s="9"/>
      <c r="JW387" s="9"/>
      <c r="JX387" s="9"/>
      <c r="JY387" s="9"/>
      <c r="JZ387" s="9"/>
      <c r="KA387" s="9"/>
      <c r="KB387" s="9"/>
      <c r="KC387" s="9"/>
      <c r="KD387" s="9"/>
      <c r="KE387" s="9"/>
      <c r="KF387" s="9"/>
      <c r="KG387" s="9"/>
      <c r="KH387" s="9"/>
      <c r="KI387" s="9"/>
      <c r="KJ387" s="9"/>
      <c r="KK387" s="9"/>
      <c r="KL387" s="9"/>
      <c r="KM387" s="9"/>
      <c r="KN387" s="9"/>
      <c r="KO387" s="9"/>
      <c r="KP387" s="9"/>
      <c r="KQ387" s="9"/>
      <c r="KR387" s="9"/>
      <c r="KS387" s="9"/>
      <c r="KT387" s="9"/>
      <c r="KU387" s="9"/>
      <c r="KV387" s="9"/>
      <c r="KW387" s="9"/>
      <c r="KX387" s="9"/>
      <c r="KY387" s="9"/>
      <c r="KZ387" s="9"/>
      <c r="LA387" s="9"/>
      <c r="LB387" s="9"/>
      <c r="LC387" s="9"/>
      <c r="LD387" s="9"/>
      <c r="LE387" s="9"/>
      <c r="LF387" s="9"/>
      <c r="LG387" s="9"/>
      <c r="LH387" s="9"/>
      <c r="LI387" s="9"/>
      <c r="LJ387" s="9"/>
      <c r="LK387" s="9"/>
      <c r="LL387" s="9"/>
      <c r="LM387" s="9"/>
      <c r="LN387" s="9"/>
      <c r="LO387" s="9"/>
      <c r="LP387" s="9"/>
      <c r="LQ387" s="9"/>
      <c r="LR387" s="9"/>
      <c r="LS387" s="9"/>
      <c r="LT387" s="9"/>
      <c r="LU387" s="9"/>
      <c r="LV387" s="9"/>
      <c r="LW387" s="9"/>
      <c r="LX387" s="9"/>
      <c r="LY387" s="9"/>
      <c r="LZ387" s="9"/>
      <c r="MA387" s="9"/>
      <c r="MB387" s="9"/>
      <c r="MC387" s="9"/>
      <c r="MD387" s="9"/>
      <c r="ME387" s="9"/>
      <c r="MF387" s="9"/>
      <c r="MG387" s="9"/>
      <c r="MH387" s="9"/>
      <c r="MI387" s="9"/>
      <c r="MJ387" s="9"/>
      <c r="MK387" s="9"/>
      <c r="ML387" s="9"/>
      <c r="MM387" s="9"/>
      <c r="MN387" s="9"/>
      <c r="MO387" s="9"/>
      <c r="MP387" s="9"/>
      <c r="MQ387" s="9"/>
      <c r="MR387" s="9"/>
      <c r="MS387" s="9"/>
      <c r="MT387" s="9"/>
      <c r="MU387" s="9"/>
      <c r="MV387" s="9"/>
      <c r="MW387" s="9"/>
      <c r="MX387" s="9"/>
      <c r="MY387" s="9"/>
      <c r="MZ387" s="9"/>
      <c r="NA387" s="9"/>
      <c r="NB387" s="9"/>
      <c r="NC387" s="9"/>
      <c r="ND387" s="9"/>
      <c r="NE387" s="9"/>
      <c r="NF387" s="9"/>
      <c r="NG387" s="9"/>
      <c r="NH387" s="9"/>
      <c r="NI387" s="9"/>
      <c r="NJ387" s="9"/>
      <c r="NK387" s="9"/>
      <c r="NL387" s="9"/>
      <c r="NM387" s="9"/>
      <c r="NN387" s="9"/>
      <c r="NO387" s="9"/>
      <c r="NP387" s="9"/>
      <c r="NQ387" s="9"/>
      <c r="NR387" s="9"/>
      <c r="NS387" s="9"/>
      <c r="NT387" s="9"/>
      <c r="NU387" s="9"/>
      <c r="NV387" s="9"/>
      <c r="NW387" s="9"/>
      <c r="NX387" s="9"/>
      <c r="NY387" s="9"/>
      <c r="NZ387" s="9"/>
      <c r="OA387" s="9"/>
      <c r="OB387" s="9"/>
      <c r="OC387" s="9"/>
      <c r="OD387" s="9"/>
      <c r="OE387" s="9"/>
      <c r="OF387" s="9"/>
      <c r="OG387" s="9"/>
      <c r="OH387" s="9"/>
      <c r="OI387" s="9"/>
      <c r="OJ387" s="10"/>
    </row>
    <row r="388" spans="1:400" x14ac:dyDescent="0.2">
      <c r="A388" s="50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  <c r="GM388" s="9"/>
      <c r="GN388" s="9"/>
      <c r="GO388" s="9"/>
      <c r="GP388" s="9"/>
      <c r="GQ388" s="9"/>
      <c r="GR388" s="9"/>
      <c r="GS388" s="9"/>
      <c r="GT388" s="9"/>
      <c r="GU388" s="9"/>
      <c r="GV388" s="9"/>
      <c r="GW388" s="9"/>
      <c r="GX388" s="9"/>
      <c r="GY388" s="9"/>
      <c r="GZ388" s="9"/>
      <c r="HA388" s="9"/>
      <c r="HB388" s="9"/>
      <c r="HC388" s="9"/>
      <c r="HD388" s="9"/>
      <c r="HE388" s="9"/>
      <c r="HF388" s="9"/>
      <c r="HG388" s="9"/>
      <c r="HH388" s="9"/>
      <c r="HI388" s="9"/>
      <c r="HJ388" s="9"/>
      <c r="HK388" s="9"/>
      <c r="HL388" s="9"/>
      <c r="HM388" s="9"/>
      <c r="HN388" s="9"/>
      <c r="HO388" s="9"/>
      <c r="HP388" s="9"/>
      <c r="HQ388" s="9"/>
      <c r="HR388" s="9"/>
      <c r="HS388" s="9"/>
      <c r="HT388" s="9"/>
      <c r="HU388" s="9"/>
      <c r="HV388" s="9"/>
      <c r="HW388" s="9"/>
      <c r="HX388" s="9"/>
      <c r="HY388" s="9"/>
      <c r="HZ388" s="9"/>
      <c r="IA388" s="9"/>
      <c r="IB388" s="9"/>
      <c r="IC388" s="9"/>
      <c r="ID388" s="9"/>
      <c r="IE388" s="9"/>
      <c r="IF388" s="9"/>
      <c r="IG388" s="9"/>
      <c r="IH388" s="9"/>
      <c r="II388" s="9"/>
      <c r="IJ388" s="9"/>
      <c r="IK388" s="9"/>
      <c r="IL388" s="9"/>
      <c r="IM388" s="9"/>
      <c r="IN388" s="9"/>
      <c r="IO388" s="9"/>
      <c r="IP388" s="9"/>
      <c r="IQ388" s="9"/>
      <c r="IR388" s="9"/>
      <c r="IS388" s="9"/>
      <c r="IT388" s="9"/>
      <c r="IU388" s="9"/>
      <c r="IV388" s="9"/>
      <c r="IW388" s="9"/>
      <c r="IX388" s="9"/>
      <c r="IY388" s="9"/>
      <c r="IZ388" s="9"/>
      <c r="JA388" s="9"/>
      <c r="JB388" s="9"/>
      <c r="JC388" s="9"/>
      <c r="JD388" s="9"/>
      <c r="JE388" s="9"/>
      <c r="JF388" s="9"/>
      <c r="JG388" s="9"/>
      <c r="JH388" s="9"/>
      <c r="JI388" s="9"/>
      <c r="JJ388" s="9"/>
      <c r="JK388" s="9"/>
      <c r="JL388" s="9"/>
      <c r="JM388" s="9"/>
      <c r="JN388" s="9"/>
      <c r="JO388" s="9"/>
      <c r="JP388" s="9"/>
      <c r="JQ388" s="9"/>
      <c r="JR388" s="9"/>
      <c r="JS388" s="9"/>
      <c r="JT388" s="9"/>
      <c r="JU388" s="9"/>
      <c r="JV388" s="9"/>
      <c r="JW388" s="9"/>
      <c r="JX388" s="9"/>
      <c r="JY388" s="9"/>
      <c r="JZ388" s="9"/>
      <c r="KA388" s="9"/>
      <c r="KB388" s="9"/>
      <c r="KC388" s="9"/>
      <c r="KD388" s="9"/>
      <c r="KE388" s="9"/>
      <c r="KF388" s="9"/>
      <c r="KG388" s="9"/>
      <c r="KH388" s="9"/>
      <c r="KI388" s="9"/>
      <c r="KJ388" s="9"/>
      <c r="KK388" s="9"/>
      <c r="KL388" s="9"/>
      <c r="KM388" s="9"/>
      <c r="KN388" s="9"/>
      <c r="KO388" s="9"/>
      <c r="KP388" s="9"/>
      <c r="KQ388" s="9"/>
      <c r="KR388" s="9"/>
      <c r="KS388" s="9"/>
      <c r="KT388" s="9"/>
      <c r="KU388" s="9"/>
      <c r="KV388" s="9"/>
      <c r="KW388" s="9"/>
      <c r="KX388" s="9"/>
      <c r="KY388" s="9"/>
      <c r="KZ388" s="9"/>
      <c r="LA388" s="9"/>
      <c r="LB388" s="9"/>
      <c r="LC388" s="9"/>
      <c r="LD388" s="9"/>
      <c r="LE388" s="9"/>
      <c r="LF388" s="9"/>
      <c r="LG388" s="9"/>
      <c r="LH388" s="9"/>
      <c r="LI388" s="9"/>
      <c r="LJ388" s="9"/>
      <c r="LK388" s="9"/>
      <c r="LL388" s="9"/>
      <c r="LM388" s="9"/>
      <c r="LN388" s="9"/>
      <c r="LO388" s="9"/>
      <c r="LP388" s="9"/>
      <c r="LQ388" s="9"/>
      <c r="LR388" s="9"/>
      <c r="LS388" s="9"/>
      <c r="LT388" s="9"/>
      <c r="LU388" s="9"/>
      <c r="LV388" s="9"/>
      <c r="LW388" s="9"/>
      <c r="LX388" s="9"/>
      <c r="LY388" s="9"/>
      <c r="LZ388" s="9"/>
      <c r="MA388" s="9"/>
      <c r="MB388" s="9"/>
      <c r="MC388" s="9"/>
      <c r="MD388" s="9"/>
      <c r="ME388" s="9"/>
      <c r="MF388" s="9"/>
      <c r="MG388" s="9"/>
      <c r="MH388" s="9"/>
      <c r="MI388" s="9"/>
      <c r="MJ388" s="9"/>
      <c r="MK388" s="9"/>
      <c r="ML388" s="9"/>
      <c r="MM388" s="9"/>
      <c r="MN388" s="9"/>
      <c r="MO388" s="9"/>
      <c r="MP388" s="9"/>
      <c r="MQ388" s="9"/>
      <c r="MR388" s="9"/>
      <c r="MS388" s="9"/>
      <c r="MT388" s="9"/>
      <c r="MU388" s="9"/>
      <c r="MV388" s="9"/>
      <c r="MW388" s="9"/>
      <c r="MX388" s="9"/>
      <c r="MY388" s="9"/>
      <c r="MZ388" s="9"/>
      <c r="NA388" s="9"/>
      <c r="NB388" s="9"/>
      <c r="NC388" s="9"/>
      <c r="ND388" s="9"/>
      <c r="NE388" s="9"/>
      <c r="NF388" s="9"/>
      <c r="NG388" s="9"/>
      <c r="NH388" s="9"/>
      <c r="NI388" s="9"/>
      <c r="NJ388" s="9"/>
      <c r="NK388" s="9"/>
      <c r="NL388" s="9"/>
      <c r="NM388" s="9"/>
      <c r="NN388" s="9"/>
      <c r="NO388" s="9"/>
      <c r="NP388" s="9"/>
      <c r="NQ388" s="9"/>
      <c r="NR388" s="9"/>
      <c r="NS388" s="9"/>
      <c r="NT388" s="9"/>
      <c r="NU388" s="9"/>
      <c r="NV388" s="9"/>
      <c r="NW388" s="9"/>
      <c r="NX388" s="9"/>
      <c r="NY388" s="9"/>
      <c r="NZ388" s="9"/>
      <c r="OA388" s="9"/>
      <c r="OB388" s="9"/>
      <c r="OC388" s="9"/>
      <c r="OD388" s="9"/>
      <c r="OE388" s="9"/>
      <c r="OF388" s="9"/>
      <c r="OG388" s="9"/>
      <c r="OH388" s="9"/>
      <c r="OI388" s="9"/>
      <c r="OJ388" s="10"/>
    </row>
    <row r="389" spans="1:400" x14ac:dyDescent="0.2">
      <c r="A389" s="50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  <c r="GM389" s="9"/>
      <c r="GN389" s="9"/>
      <c r="GO389" s="9"/>
      <c r="GP389" s="9"/>
      <c r="GQ389" s="9"/>
      <c r="GR389" s="9"/>
      <c r="GS389" s="9"/>
      <c r="GT389" s="9"/>
      <c r="GU389" s="9"/>
      <c r="GV389" s="9"/>
      <c r="GW389" s="9"/>
      <c r="GX389" s="9"/>
      <c r="GY389" s="9"/>
      <c r="GZ389" s="9"/>
      <c r="HA389" s="9"/>
      <c r="HB389" s="9"/>
      <c r="HC389" s="9"/>
      <c r="HD389" s="9"/>
      <c r="HE389" s="9"/>
      <c r="HF389" s="9"/>
      <c r="HG389" s="9"/>
      <c r="HH389" s="9"/>
      <c r="HI389" s="9"/>
      <c r="HJ389" s="9"/>
      <c r="HK389" s="9"/>
      <c r="HL389" s="9"/>
      <c r="HM389" s="9"/>
      <c r="HN389" s="9"/>
      <c r="HO389" s="9"/>
      <c r="HP389" s="9"/>
      <c r="HQ389" s="9"/>
      <c r="HR389" s="9"/>
      <c r="HS389" s="9"/>
      <c r="HT389" s="9"/>
      <c r="HU389" s="9"/>
      <c r="HV389" s="9"/>
      <c r="HW389" s="9"/>
      <c r="HX389" s="9"/>
      <c r="HY389" s="9"/>
      <c r="HZ389" s="9"/>
      <c r="IA389" s="9"/>
      <c r="IB389" s="9"/>
      <c r="IC389" s="9"/>
      <c r="ID389" s="9"/>
      <c r="IE389" s="9"/>
      <c r="IF389" s="9"/>
      <c r="IG389" s="9"/>
      <c r="IH389" s="9"/>
      <c r="II389" s="9"/>
      <c r="IJ389" s="9"/>
      <c r="IK389" s="9"/>
      <c r="IL389" s="9"/>
      <c r="IM389" s="9"/>
      <c r="IN389" s="9"/>
      <c r="IO389" s="9"/>
      <c r="IP389" s="9"/>
      <c r="IQ389" s="9"/>
      <c r="IR389" s="9"/>
      <c r="IS389" s="9"/>
      <c r="IT389" s="9"/>
      <c r="IU389" s="9"/>
      <c r="IV389" s="9"/>
      <c r="IW389" s="9"/>
      <c r="IX389" s="9"/>
      <c r="IY389" s="9"/>
      <c r="IZ389" s="9"/>
      <c r="JA389" s="9"/>
      <c r="JB389" s="9"/>
      <c r="JC389" s="9"/>
      <c r="JD389" s="9"/>
      <c r="JE389" s="9"/>
      <c r="JF389" s="9"/>
      <c r="JG389" s="9"/>
      <c r="JH389" s="9"/>
      <c r="JI389" s="9"/>
      <c r="JJ389" s="9"/>
      <c r="JK389" s="9"/>
      <c r="JL389" s="9"/>
      <c r="JM389" s="9"/>
      <c r="JN389" s="9"/>
      <c r="JO389" s="9"/>
      <c r="JP389" s="9"/>
      <c r="JQ389" s="9"/>
      <c r="JR389" s="9"/>
      <c r="JS389" s="9"/>
      <c r="JT389" s="9"/>
      <c r="JU389" s="9"/>
      <c r="JV389" s="9"/>
      <c r="JW389" s="9"/>
      <c r="JX389" s="9"/>
      <c r="JY389" s="9"/>
      <c r="JZ389" s="9"/>
      <c r="KA389" s="9"/>
      <c r="KB389" s="9"/>
      <c r="KC389" s="9"/>
      <c r="KD389" s="9"/>
      <c r="KE389" s="9"/>
      <c r="KF389" s="9"/>
      <c r="KG389" s="9"/>
      <c r="KH389" s="9"/>
      <c r="KI389" s="9"/>
      <c r="KJ389" s="9"/>
      <c r="KK389" s="9"/>
      <c r="KL389" s="9"/>
      <c r="KM389" s="9"/>
      <c r="KN389" s="9"/>
      <c r="KO389" s="9"/>
      <c r="KP389" s="9"/>
      <c r="KQ389" s="9"/>
      <c r="KR389" s="9"/>
      <c r="KS389" s="9"/>
      <c r="KT389" s="9"/>
      <c r="KU389" s="9"/>
      <c r="KV389" s="9"/>
      <c r="KW389" s="9"/>
      <c r="KX389" s="9"/>
      <c r="KY389" s="9"/>
      <c r="KZ389" s="9"/>
      <c r="LA389" s="9"/>
      <c r="LB389" s="9"/>
      <c r="LC389" s="9"/>
      <c r="LD389" s="9"/>
      <c r="LE389" s="9"/>
      <c r="LF389" s="9"/>
      <c r="LG389" s="9"/>
      <c r="LH389" s="9"/>
      <c r="LI389" s="9"/>
      <c r="LJ389" s="9"/>
      <c r="LK389" s="9"/>
      <c r="LL389" s="9"/>
      <c r="LM389" s="9"/>
      <c r="LN389" s="9"/>
      <c r="LO389" s="9"/>
      <c r="LP389" s="9"/>
      <c r="LQ389" s="9"/>
      <c r="LR389" s="9"/>
      <c r="LS389" s="9"/>
      <c r="LT389" s="9"/>
      <c r="LU389" s="9"/>
      <c r="LV389" s="9"/>
      <c r="LW389" s="9"/>
      <c r="LX389" s="9"/>
      <c r="LY389" s="9"/>
      <c r="LZ389" s="9"/>
      <c r="MA389" s="9"/>
      <c r="MB389" s="9"/>
      <c r="MC389" s="9"/>
      <c r="MD389" s="9"/>
      <c r="ME389" s="9"/>
      <c r="MF389" s="9"/>
      <c r="MG389" s="9"/>
      <c r="MH389" s="9"/>
      <c r="MI389" s="9"/>
      <c r="MJ389" s="9"/>
      <c r="MK389" s="9"/>
      <c r="ML389" s="9"/>
      <c r="MM389" s="9"/>
      <c r="MN389" s="9"/>
      <c r="MO389" s="9"/>
      <c r="MP389" s="9"/>
      <c r="MQ389" s="9"/>
      <c r="MR389" s="9"/>
      <c r="MS389" s="9"/>
      <c r="MT389" s="9"/>
      <c r="MU389" s="9"/>
      <c r="MV389" s="9"/>
      <c r="MW389" s="9"/>
      <c r="MX389" s="9"/>
      <c r="MY389" s="9"/>
      <c r="MZ389" s="9"/>
      <c r="NA389" s="9"/>
      <c r="NB389" s="9"/>
      <c r="NC389" s="9"/>
      <c r="ND389" s="9"/>
      <c r="NE389" s="9"/>
      <c r="NF389" s="9"/>
      <c r="NG389" s="9"/>
      <c r="NH389" s="9"/>
      <c r="NI389" s="9"/>
      <c r="NJ389" s="9"/>
      <c r="NK389" s="9"/>
      <c r="NL389" s="9"/>
      <c r="NM389" s="9"/>
      <c r="NN389" s="9"/>
      <c r="NO389" s="9"/>
      <c r="NP389" s="9"/>
      <c r="NQ389" s="9"/>
      <c r="NR389" s="9"/>
      <c r="NS389" s="9"/>
      <c r="NT389" s="9"/>
      <c r="NU389" s="9"/>
      <c r="NV389" s="9"/>
      <c r="NW389" s="9"/>
      <c r="NX389" s="9"/>
      <c r="NY389" s="9"/>
      <c r="NZ389" s="9"/>
      <c r="OA389" s="9"/>
      <c r="OB389" s="9"/>
      <c r="OC389" s="9"/>
      <c r="OD389" s="9"/>
      <c r="OE389" s="9"/>
      <c r="OF389" s="9"/>
      <c r="OG389" s="9"/>
      <c r="OH389" s="9"/>
      <c r="OI389" s="9"/>
      <c r="OJ389" s="10"/>
    </row>
    <row r="390" spans="1:400" x14ac:dyDescent="0.2">
      <c r="A390" s="5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  <c r="GM390" s="9"/>
      <c r="GN390" s="9"/>
      <c r="GO390" s="9"/>
      <c r="GP390" s="9"/>
      <c r="GQ390" s="9"/>
      <c r="GR390" s="9"/>
      <c r="GS390" s="9"/>
      <c r="GT390" s="9"/>
      <c r="GU390" s="9"/>
      <c r="GV390" s="9"/>
      <c r="GW390" s="9"/>
      <c r="GX390" s="9"/>
      <c r="GY390" s="9"/>
      <c r="GZ390" s="9"/>
      <c r="HA390" s="9"/>
      <c r="HB390" s="9"/>
      <c r="HC390" s="9"/>
      <c r="HD390" s="9"/>
      <c r="HE390" s="9"/>
      <c r="HF390" s="9"/>
      <c r="HG390" s="9"/>
      <c r="HH390" s="9"/>
      <c r="HI390" s="9"/>
      <c r="HJ390" s="9"/>
      <c r="HK390" s="9"/>
      <c r="HL390" s="9"/>
      <c r="HM390" s="9"/>
      <c r="HN390" s="9"/>
      <c r="HO390" s="9"/>
      <c r="HP390" s="9"/>
      <c r="HQ390" s="9"/>
      <c r="HR390" s="9"/>
      <c r="HS390" s="9"/>
      <c r="HT390" s="9"/>
      <c r="HU390" s="9"/>
      <c r="HV390" s="9"/>
      <c r="HW390" s="9"/>
      <c r="HX390" s="9"/>
      <c r="HY390" s="9"/>
      <c r="HZ390" s="9"/>
      <c r="IA390" s="9"/>
      <c r="IB390" s="9"/>
      <c r="IC390" s="9"/>
      <c r="ID390" s="9"/>
      <c r="IE390" s="9"/>
      <c r="IF390" s="9"/>
      <c r="IG390" s="9"/>
      <c r="IH390" s="9"/>
      <c r="II390" s="9"/>
      <c r="IJ390" s="9"/>
      <c r="IK390" s="9"/>
      <c r="IL390" s="9"/>
      <c r="IM390" s="9"/>
      <c r="IN390" s="9"/>
      <c r="IO390" s="9"/>
      <c r="IP390" s="9"/>
      <c r="IQ390" s="9"/>
      <c r="IR390" s="9"/>
      <c r="IS390" s="9"/>
      <c r="IT390" s="9"/>
      <c r="IU390" s="9"/>
      <c r="IV390" s="9"/>
      <c r="IW390" s="9"/>
      <c r="IX390" s="9"/>
      <c r="IY390" s="9"/>
      <c r="IZ390" s="9"/>
      <c r="JA390" s="9"/>
      <c r="JB390" s="9"/>
      <c r="JC390" s="9"/>
      <c r="JD390" s="9"/>
      <c r="JE390" s="9"/>
      <c r="JF390" s="9"/>
      <c r="JG390" s="9"/>
      <c r="JH390" s="9"/>
      <c r="JI390" s="9"/>
      <c r="JJ390" s="9"/>
      <c r="JK390" s="9"/>
      <c r="JL390" s="9"/>
      <c r="JM390" s="9"/>
      <c r="JN390" s="9"/>
      <c r="JO390" s="9"/>
      <c r="JP390" s="9"/>
      <c r="JQ390" s="9"/>
      <c r="JR390" s="9"/>
      <c r="JS390" s="9"/>
      <c r="JT390" s="9"/>
      <c r="JU390" s="9"/>
      <c r="JV390" s="9"/>
      <c r="JW390" s="9"/>
      <c r="JX390" s="9"/>
      <c r="JY390" s="9"/>
      <c r="JZ390" s="9"/>
      <c r="KA390" s="9"/>
      <c r="KB390" s="9"/>
      <c r="KC390" s="9"/>
      <c r="KD390" s="9"/>
      <c r="KE390" s="9"/>
      <c r="KF390" s="9"/>
      <c r="KG390" s="9"/>
      <c r="KH390" s="9"/>
      <c r="KI390" s="9"/>
      <c r="KJ390" s="9"/>
      <c r="KK390" s="9"/>
      <c r="KL390" s="9"/>
      <c r="KM390" s="9"/>
      <c r="KN390" s="9"/>
      <c r="KO390" s="9"/>
      <c r="KP390" s="9"/>
      <c r="KQ390" s="9"/>
      <c r="KR390" s="9"/>
      <c r="KS390" s="9"/>
      <c r="KT390" s="9"/>
      <c r="KU390" s="9"/>
      <c r="KV390" s="9"/>
      <c r="KW390" s="9"/>
      <c r="KX390" s="9"/>
      <c r="KY390" s="9"/>
      <c r="KZ390" s="9"/>
      <c r="LA390" s="9"/>
      <c r="LB390" s="9"/>
      <c r="LC390" s="9"/>
      <c r="LD390" s="9"/>
      <c r="LE390" s="9"/>
      <c r="LF390" s="9"/>
      <c r="LG390" s="9"/>
      <c r="LH390" s="9"/>
      <c r="LI390" s="9"/>
      <c r="LJ390" s="9"/>
      <c r="LK390" s="9"/>
      <c r="LL390" s="9"/>
      <c r="LM390" s="9"/>
      <c r="LN390" s="9"/>
      <c r="LO390" s="9"/>
      <c r="LP390" s="9"/>
      <c r="LQ390" s="9"/>
      <c r="LR390" s="9"/>
      <c r="LS390" s="9"/>
      <c r="LT390" s="9"/>
      <c r="LU390" s="9"/>
      <c r="LV390" s="9"/>
      <c r="LW390" s="9"/>
      <c r="LX390" s="9"/>
      <c r="LY390" s="9"/>
      <c r="LZ390" s="9"/>
      <c r="MA390" s="9"/>
      <c r="MB390" s="9"/>
      <c r="MC390" s="9"/>
      <c r="MD390" s="9"/>
      <c r="ME390" s="9"/>
      <c r="MF390" s="9"/>
      <c r="MG390" s="9"/>
      <c r="MH390" s="9"/>
      <c r="MI390" s="9"/>
      <c r="MJ390" s="9"/>
      <c r="MK390" s="9"/>
      <c r="ML390" s="9"/>
      <c r="MM390" s="9"/>
      <c r="MN390" s="9"/>
      <c r="MO390" s="9"/>
      <c r="MP390" s="9"/>
      <c r="MQ390" s="9"/>
      <c r="MR390" s="9"/>
      <c r="MS390" s="9"/>
      <c r="MT390" s="9"/>
      <c r="MU390" s="9"/>
      <c r="MV390" s="9"/>
      <c r="MW390" s="9"/>
      <c r="MX390" s="9"/>
      <c r="MY390" s="9"/>
      <c r="MZ390" s="9"/>
      <c r="NA390" s="9"/>
      <c r="NB390" s="9"/>
      <c r="NC390" s="9"/>
      <c r="ND390" s="9"/>
      <c r="NE390" s="9"/>
      <c r="NF390" s="9"/>
      <c r="NG390" s="9"/>
      <c r="NH390" s="9"/>
      <c r="NI390" s="9"/>
      <c r="NJ390" s="9"/>
      <c r="NK390" s="9"/>
      <c r="NL390" s="9"/>
      <c r="NM390" s="9"/>
      <c r="NN390" s="9"/>
      <c r="NO390" s="9"/>
      <c r="NP390" s="9"/>
      <c r="NQ390" s="9"/>
      <c r="NR390" s="9"/>
      <c r="NS390" s="9"/>
      <c r="NT390" s="9"/>
      <c r="NU390" s="9"/>
      <c r="NV390" s="9"/>
      <c r="NW390" s="9"/>
      <c r="NX390" s="9"/>
      <c r="NY390" s="9"/>
      <c r="NZ390" s="9"/>
      <c r="OA390" s="9"/>
      <c r="OB390" s="9"/>
      <c r="OC390" s="9"/>
      <c r="OD390" s="9"/>
      <c r="OE390" s="9"/>
      <c r="OF390" s="9"/>
      <c r="OG390" s="9"/>
      <c r="OH390" s="9"/>
      <c r="OI390" s="9"/>
      <c r="OJ390" s="10"/>
    </row>
    <row r="391" spans="1:400" x14ac:dyDescent="0.2">
      <c r="A391" s="50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  <c r="GM391" s="9"/>
      <c r="GN391" s="9"/>
      <c r="GO391" s="9"/>
      <c r="GP391" s="9"/>
      <c r="GQ391" s="9"/>
      <c r="GR391" s="9"/>
      <c r="GS391" s="9"/>
      <c r="GT391" s="9"/>
      <c r="GU391" s="9"/>
      <c r="GV391" s="9"/>
      <c r="GW391" s="9"/>
      <c r="GX391" s="9"/>
      <c r="GY391" s="9"/>
      <c r="GZ391" s="9"/>
      <c r="HA391" s="9"/>
      <c r="HB391" s="9"/>
      <c r="HC391" s="9"/>
      <c r="HD391" s="9"/>
      <c r="HE391" s="9"/>
      <c r="HF391" s="9"/>
      <c r="HG391" s="9"/>
      <c r="HH391" s="9"/>
      <c r="HI391" s="9"/>
      <c r="HJ391" s="9"/>
      <c r="HK391" s="9"/>
      <c r="HL391" s="9"/>
      <c r="HM391" s="9"/>
      <c r="HN391" s="9"/>
      <c r="HO391" s="9"/>
      <c r="HP391" s="9"/>
      <c r="HQ391" s="9"/>
      <c r="HR391" s="9"/>
      <c r="HS391" s="9"/>
      <c r="HT391" s="9"/>
      <c r="HU391" s="9"/>
      <c r="HV391" s="9"/>
      <c r="HW391" s="9"/>
      <c r="HX391" s="9"/>
      <c r="HY391" s="9"/>
      <c r="HZ391" s="9"/>
      <c r="IA391" s="9"/>
      <c r="IB391" s="9"/>
      <c r="IC391" s="9"/>
      <c r="ID391" s="9"/>
      <c r="IE391" s="9"/>
      <c r="IF391" s="9"/>
      <c r="IG391" s="9"/>
      <c r="IH391" s="9"/>
      <c r="II391" s="9"/>
      <c r="IJ391" s="9"/>
      <c r="IK391" s="9"/>
      <c r="IL391" s="9"/>
      <c r="IM391" s="9"/>
      <c r="IN391" s="9"/>
      <c r="IO391" s="9"/>
      <c r="IP391" s="9"/>
      <c r="IQ391" s="9"/>
      <c r="IR391" s="9"/>
      <c r="IS391" s="9"/>
      <c r="IT391" s="9"/>
      <c r="IU391" s="9"/>
      <c r="IV391" s="9"/>
      <c r="IW391" s="9"/>
      <c r="IX391" s="9"/>
      <c r="IY391" s="9"/>
      <c r="IZ391" s="9"/>
      <c r="JA391" s="9"/>
      <c r="JB391" s="9"/>
      <c r="JC391" s="9"/>
      <c r="JD391" s="9"/>
      <c r="JE391" s="9"/>
      <c r="JF391" s="9"/>
      <c r="JG391" s="9"/>
      <c r="JH391" s="9"/>
      <c r="JI391" s="9"/>
      <c r="JJ391" s="9"/>
      <c r="JK391" s="9"/>
      <c r="JL391" s="9"/>
      <c r="JM391" s="9"/>
      <c r="JN391" s="9"/>
      <c r="JO391" s="9"/>
      <c r="JP391" s="9"/>
      <c r="JQ391" s="9"/>
      <c r="JR391" s="9"/>
      <c r="JS391" s="9"/>
      <c r="JT391" s="9"/>
      <c r="JU391" s="9"/>
      <c r="JV391" s="9"/>
      <c r="JW391" s="9"/>
      <c r="JX391" s="9"/>
      <c r="JY391" s="9"/>
      <c r="JZ391" s="9"/>
      <c r="KA391" s="9"/>
      <c r="KB391" s="9"/>
      <c r="KC391" s="9"/>
      <c r="KD391" s="9"/>
      <c r="KE391" s="9"/>
      <c r="KF391" s="9"/>
      <c r="KG391" s="9"/>
      <c r="KH391" s="9"/>
      <c r="KI391" s="9"/>
      <c r="KJ391" s="9"/>
      <c r="KK391" s="9"/>
      <c r="KL391" s="9"/>
      <c r="KM391" s="9"/>
      <c r="KN391" s="9"/>
      <c r="KO391" s="9"/>
      <c r="KP391" s="9"/>
      <c r="KQ391" s="9"/>
      <c r="KR391" s="9"/>
      <c r="KS391" s="9"/>
      <c r="KT391" s="9"/>
      <c r="KU391" s="9"/>
      <c r="KV391" s="9"/>
      <c r="KW391" s="9"/>
      <c r="KX391" s="9"/>
      <c r="KY391" s="9"/>
      <c r="KZ391" s="9"/>
      <c r="LA391" s="9"/>
      <c r="LB391" s="9"/>
      <c r="LC391" s="9"/>
      <c r="LD391" s="9"/>
      <c r="LE391" s="9"/>
      <c r="LF391" s="9"/>
      <c r="LG391" s="9"/>
      <c r="LH391" s="9"/>
      <c r="LI391" s="9"/>
      <c r="LJ391" s="9"/>
      <c r="LK391" s="9"/>
      <c r="LL391" s="9"/>
      <c r="LM391" s="9"/>
      <c r="LN391" s="9"/>
      <c r="LO391" s="9"/>
      <c r="LP391" s="9"/>
      <c r="LQ391" s="9"/>
      <c r="LR391" s="9"/>
      <c r="LS391" s="9"/>
      <c r="LT391" s="9"/>
      <c r="LU391" s="9"/>
      <c r="LV391" s="9"/>
      <c r="LW391" s="9"/>
      <c r="LX391" s="9"/>
      <c r="LY391" s="9"/>
      <c r="LZ391" s="9"/>
      <c r="MA391" s="9"/>
      <c r="MB391" s="9"/>
      <c r="MC391" s="9"/>
      <c r="MD391" s="9"/>
      <c r="ME391" s="9"/>
      <c r="MF391" s="9"/>
      <c r="MG391" s="9"/>
      <c r="MH391" s="9"/>
      <c r="MI391" s="9"/>
      <c r="MJ391" s="9"/>
      <c r="MK391" s="9"/>
      <c r="ML391" s="9"/>
      <c r="MM391" s="9"/>
      <c r="MN391" s="9"/>
      <c r="MO391" s="9"/>
      <c r="MP391" s="9"/>
      <c r="MQ391" s="9"/>
      <c r="MR391" s="9"/>
      <c r="MS391" s="9"/>
      <c r="MT391" s="9"/>
      <c r="MU391" s="9"/>
      <c r="MV391" s="9"/>
      <c r="MW391" s="9"/>
      <c r="MX391" s="9"/>
      <c r="MY391" s="9"/>
      <c r="MZ391" s="9"/>
      <c r="NA391" s="9"/>
      <c r="NB391" s="9"/>
      <c r="NC391" s="9"/>
      <c r="ND391" s="9"/>
      <c r="NE391" s="9"/>
      <c r="NF391" s="9"/>
      <c r="NG391" s="9"/>
      <c r="NH391" s="9"/>
      <c r="NI391" s="9"/>
      <c r="NJ391" s="9"/>
      <c r="NK391" s="9"/>
      <c r="NL391" s="9"/>
      <c r="NM391" s="9"/>
      <c r="NN391" s="9"/>
      <c r="NO391" s="9"/>
      <c r="NP391" s="9"/>
      <c r="NQ391" s="9"/>
      <c r="NR391" s="9"/>
      <c r="NS391" s="9"/>
      <c r="NT391" s="9"/>
      <c r="NU391" s="9"/>
      <c r="NV391" s="9"/>
      <c r="NW391" s="9"/>
      <c r="NX391" s="9"/>
      <c r="NY391" s="9"/>
      <c r="NZ391" s="9"/>
      <c r="OA391" s="9"/>
      <c r="OB391" s="9"/>
      <c r="OC391" s="9"/>
      <c r="OD391" s="9"/>
      <c r="OE391" s="9"/>
      <c r="OF391" s="9"/>
      <c r="OG391" s="9"/>
      <c r="OH391" s="9"/>
      <c r="OI391" s="9"/>
      <c r="OJ391" s="10"/>
    </row>
    <row r="392" spans="1:400" x14ac:dyDescent="0.2">
      <c r="A392" s="50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  <c r="GM392" s="9"/>
      <c r="GN392" s="9"/>
      <c r="GO392" s="9"/>
      <c r="GP392" s="9"/>
      <c r="GQ392" s="9"/>
      <c r="GR392" s="9"/>
      <c r="GS392" s="9"/>
      <c r="GT392" s="9"/>
      <c r="GU392" s="9"/>
      <c r="GV392" s="9"/>
      <c r="GW392" s="9"/>
      <c r="GX392" s="9"/>
      <c r="GY392" s="9"/>
      <c r="GZ392" s="9"/>
      <c r="HA392" s="9"/>
      <c r="HB392" s="9"/>
      <c r="HC392" s="9"/>
      <c r="HD392" s="9"/>
      <c r="HE392" s="9"/>
      <c r="HF392" s="9"/>
      <c r="HG392" s="9"/>
      <c r="HH392" s="9"/>
      <c r="HI392" s="9"/>
      <c r="HJ392" s="9"/>
      <c r="HK392" s="9"/>
      <c r="HL392" s="9"/>
      <c r="HM392" s="9"/>
      <c r="HN392" s="9"/>
      <c r="HO392" s="9"/>
      <c r="HP392" s="9"/>
      <c r="HQ392" s="9"/>
      <c r="HR392" s="9"/>
      <c r="HS392" s="9"/>
      <c r="HT392" s="9"/>
      <c r="HU392" s="9"/>
      <c r="HV392" s="9"/>
      <c r="HW392" s="9"/>
      <c r="HX392" s="9"/>
      <c r="HY392" s="9"/>
      <c r="HZ392" s="9"/>
      <c r="IA392" s="9"/>
      <c r="IB392" s="9"/>
      <c r="IC392" s="9"/>
      <c r="ID392" s="9"/>
      <c r="IE392" s="9"/>
      <c r="IF392" s="9"/>
      <c r="IG392" s="9"/>
      <c r="IH392" s="9"/>
      <c r="II392" s="9"/>
      <c r="IJ392" s="9"/>
      <c r="IK392" s="9"/>
      <c r="IL392" s="9"/>
      <c r="IM392" s="9"/>
      <c r="IN392" s="9"/>
      <c r="IO392" s="9"/>
      <c r="IP392" s="9"/>
      <c r="IQ392" s="9"/>
      <c r="IR392" s="9"/>
      <c r="IS392" s="9"/>
      <c r="IT392" s="9"/>
      <c r="IU392" s="9"/>
      <c r="IV392" s="9"/>
      <c r="IW392" s="9"/>
      <c r="IX392" s="9"/>
      <c r="IY392" s="9"/>
      <c r="IZ392" s="9"/>
      <c r="JA392" s="9"/>
      <c r="JB392" s="9"/>
      <c r="JC392" s="9"/>
      <c r="JD392" s="9"/>
      <c r="JE392" s="9"/>
      <c r="JF392" s="9"/>
      <c r="JG392" s="9"/>
      <c r="JH392" s="9"/>
      <c r="JI392" s="9"/>
      <c r="JJ392" s="9"/>
      <c r="JK392" s="9"/>
      <c r="JL392" s="9"/>
      <c r="JM392" s="9"/>
      <c r="JN392" s="9"/>
      <c r="JO392" s="9"/>
      <c r="JP392" s="9"/>
      <c r="JQ392" s="9"/>
      <c r="JR392" s="9"/>
      <c r="JS392" s="9"/>
      <c r="JT392" s="9"/>
      <c r="JU392" s="9"/>
      <c r="JV392" s="9"/>
      <c r="JW392" s="9"/>
      <c r="JX392" s="9"/>
      <c r="JY392" s="9"/>
      <c r="JZ392" s="9"/>
      <c r="KA392" s="9"/>
      <c r="KB392" s="9"/>
      <c r="KC392" s="9"/>
      <c r="KD392" s="9"/>
      <c r="KE392" s="9"/>
      <c r="KF392" s="9"/>
      <c r="KG392" s="9"/>
      <c r="KH392" s="9"/>
      <c r="KI392" s="9"/>
      <c r="KJ392" s="9"/>
      <c r="KK392" s="9"/>
      <c r="KL392" s="9"/>
      <c r="KM392" s="9"/>
      <c r="KN392" s="9"/>
      <c r="KO392" s="9"/>
      <c r="KP392" s="9"/>
      <c r="KQ392" s="9"/>
      <c r="KR392" s="9"/>
      <c r="KS392" s="9"/>
      <c r="KT392" s="9"/>
      <c r="KU392" s="9"/>
      <c r="KV392" s="9"/>
      <c r="KW392" s="9"/>
      <c r="KX392" s="9"/>
      <c r="KY392" s="9"/>
      <c r="KZ392" s="9"/>
      <c r="LA392" s="9"/>
      <c r="LB392" s="9"/>
      <c r="LC392" s="9"/>
      <c r="LD392" s="9"/>
      <c r="LE392" s="9"/>
      <c r="LF392" s="9"/>
      <c r="LG392" s="9"/>
      <c r="LH392" s="9"/>
      <c r="LI392" s="9"/>
      <c r="LJ392" s="9"/>
      <c r="LK392" s="9"/>
      <c r="LL392" s="9"/>
      <c r="LM392" s="9"/>
      <c r="LN392" s="9"/>
      <c r="LO392" s="9"/>
      <c r="LP392" s="9"/>
      <c r="LQ392" s="9"/>
      <c r="LR392" s="9"/>
      <c r="LS392" s="9"/>
      <c r="LT392" s="9"/>
      <c r="LU392" s="9"/>
      <c r="LV392" s="9"/>
      <c r="LW392" s="9"/>
      <c r="LX392" s="9"/>
      <c r="LY392" s="9"/>
      <c r="LZ392" s="9"/>
      <c r="MA392" s="9"/>
      <c r="MB392" s="9"/>
      <c r="MC392" s="9"/>
      <c r="MD392" s="9"/>
      <c r="ME392" s="9"/>
      <c r="MF392" s="9"/>
      <c r="MG392" s="9"/>
      <c r="MH392" s="9"/>
      <c r="MI392" s="9"/>
      <c r="MJ392" s="9"/>
      <c r="MK392" s="9"/>
      <c r="ML392" s="9"/>
      <c r="MM392" s="9"/>
      <c r="MN392" s="9"/>
      <c r="MO392" s="9"/>
      <c r="MP392" s="9"/>
      <c r="MQ392" s="9"/>
      <c r="MR392" s="9"/>
      <c r="MS392" s="9"/>
      <c r="MT392" s="9"/>
      <c r="MU392" s="9"/>
      <c r="MV392" s="9"/>
      <c r="MW392" s="9"/>
      <c r="MX392" s="9"/>
      <c r="MY392" s="9"/>
      <c r="MZ392" s="9"/>
      <c r="NA392" s="9"/>
      <c r="NB392" s="9"/>
      <c r="NC392" s="9"/>
      <c r="ND392" s="9"/>
      <c r="NE392" s="9"/>
      <c r="NF392" s="9"/>
      <c r="NG392" s="9"/>
      <c r="NH392" s="9"/>
      <c r="NI392" s="9"/>
      <c r="NJ392" s="9"/>
      <c r="NK392" s="9"/>
      <c r="NL392" s="9"/>
      <c r="NM392" s="9"/>
      <c r="NN392" s="9"/>
      <c r="NO392" s="9"/>
      <c r="NP392" s="9"/>
      <c r="NQ392" s="9"/>
      <c r="NR392" s="9"/>
      <c r="NS392" s="9"/>
      <c r="NT392" s="9"/>
      <c r="NU392" s="9"/>
      <c r="NV392" s="9"/>
      <c r="NW392" s="9"/>
      <c r="NX392" s="9"/>
      <c r="NY392" s="9"/>
      <c r="NZ392" s="9"/>
      <c r="OA392" s="9"/>
      <c r="OB392" s="9"/>
      <c r="OC392" s="9"/>
      <c r="OD392" s="9"/>
      <c r="OE392" s="9"/>
      <c r="OF392" s="9"/>
      <c r="OG392" s="9"/>
      <c r="OH392" s="9"/>
      <c r="OI392" s="9"/>
      <c r="OJ392" s="10"/>
    </row>
    <row r="393" spans="1:400" x14ac:dyDescent="0.2">
      <c r="A393" s="50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  <c r="GM393" s="9"/>
      <c r="GN393" s="9"/>
      <c r="GO393" s="9"/>
      <c r="GP393" s="9"/>
      <c r="GQ393" s="9"/>
      <c r="GR393" s="9"/>
      <c r="GS393" s="9"/>
      <c r="GT393" s="9"/>
      <c r="GU393" s="9"/>
      <c r="GV393" s="9"/>
      <c r="GW393" s="9"/>
      <c r="GX393" s="9"/>
      <c r="GY393" s="9"/>
      <c r="GZ393" s="9"/>
      <c r="HA393" s="9"/>
      <c r="HB393" s="9"/>
      <c r="HC393" s="9"/>
      <c r="HD393" s="9"/>
      <c r="HE393" s="9"/>
      <c r="HF393" s="9"/>
      <c r="HG393" s="9"/>
      <c r="HH393" s="9"/>
      <c r="HI393" s="9"/>
      <c r="HJ393" s="9"/>
      <c r="HK393" s="9"/>
      <c r="HL393" s="9"/>
      <c r="HM393" s="9"/>
      <c r="HN393" s="9"/>
      <c r="HO393" s="9"/>
      <c r="HP393" s="9"/>
      <c r="HQ393" s="9"/>
      <c r="HR393" s="9"/>
      <c r="HS393" s="9"/>
      <c r="HT393" s="9"/>
      <c r="HU393" s="9"/>
      <c r="HV393" s="9"/>
      <c r="HW393" s="9"/>
      <c r="HX393" s="9"/>
      <c r="HY393" s="9"/>
      <c r="HZ393" s="9"/>
      <c r="IA393" s="9"/>
      <c r="IB393" s="9"/>
      <c r="IC393" s="9"/>
      <c r="ID393" s="9"/>
      <c r="IE393" s="9"/>
      <c r="IF393" s="9"/>
      <c r="IG393" s="9"/>
      <c r="IH393" s="9"/>
      <c r="II393" s="9"/>
      <c r="IJ393" s="9"/>
      <c r="IK393" s="9"/>
      <c r="IL393" s="9"/>
      <c r="IM393" s="9"/>
      <c r="IN393" s="9"/>
      <c r="IO393" s="9"/>
      <c r="IP393" s="9"/>
      <c r="IQ393" s="9"/>
      <c r="IR393" s="9"/>
      <c r="IS393" s="9"/>
      <c r="IT393" s="9"/>
      <c r="IU393" s="9"/>
      <c r="IV393" s="9"/>
      <c r="IW393" s="9"/>
      <c r="IX393" s="9"/>
      <c r="IY393" s="9"/>
      <c r="IZ393" s="9"/>
      <c r="JA393" s="9"/>
      <c r="JB393" s="9"/>
      <c r="JC393" s="9"/>
      <c r="JD393" s="9"/>
      <c r="JE393" s="9"/>
      <c r="JF393" s="9"/>
      <c r="JG393" s="9"/>
      <c r="JH393" s="9"/>
      <c r="JI393" s="9"/>
      <c r="JJ393" s="9"/>
      <c r="JK393" s="9"/>
      <c r="JL393" s="9"/>
      <c r="JM393" s="9"/>
      <c r="JN393" s="9"/>
      <c r="JO393" s="9"/>
      <c r="JP393" s="9"/>
      <c r="JQ393" s="9"/>
      <c r="JR393" s="9"/>
      <c r="JS393" s="9"/>
      <c r="JT393" s="9"/>
      <c r="JU393" s="9"/>
      <c r="JV393" s="9"/>
      <c r="JW393" s="9"/>
      <c r="JX393" s="9"/>
      <c r="JY393" s="9"/>
      <c r="JZ393" s="9"/>
      <c r="KA393" s="9"/>
      <c r="KB393" s="9"/>
      <c r="KC393" s="9"/>
      <c r="KD393" s="9"/>
      <c r="KE393" s="9"/>
      <c r="KF393" s="9"/>
      <c r="KG393" s="9"/>
      <c r="KH393" s="9"/>
      <c r="KI393" s="9"/>
      <c r="KJ393" s="9"/>
      <c r="KK393" s="9"/>
      <c r="KL393" s="9"/>
      <c r="KM393" s="9"/>
      <c r="KN393" s="9"/>
      <c r="KO393" s="9"/>
      <c r="KP393" s="9"/>
      <c r="KQ393" s="9"/>
      <c r="KR393" s="9"/>
      <c r="KS393" s="9"/>
      <c r="KT393" s="9"/>
      <c r="KU393" s="9"/>
      <c r="KV393" s="9"/>
      <c r="KW393" s="9"/>
      <c r="KX393" s="9"/>
      <c r="KY393" s="9"/>
      <c r="KZ393" s="9"/>
      <c r="LA393" s="9"/>
      <c r="LB393" s="9"/>
      <c r="LC393" s="9"/>
      <c r="LD393" s="9"/>
      <c r="LE393" s="9"/>
      <c r="LF393" s="9"/>
      <c r="LG393" s="9"/>
      <c r="LH393" s="9"/>
      <c r="LI393" s="9"/>
      <c r="LJ393" s="9"/>
      <c r="LK393" s="9"/>
      <c r="LL393" s="9"/>
      <c r="LM393" s="9"/>
      <c r="LN393" s="9"/>
      <c r="LO393" s="9"/>
      <c r="LP393" s="9"/>
      <c r="LQ393" s="9"/>
      <c r="LR393" s="9"/>
      <c r="LS393" s="9"/>
      <c r="LT393" s="9"/>
      <c r="LU393" s="9"/>
      <c r="LV393" s="9"/>
      <c r="LW393" s="9"/>
      <c r="LX393" s="9"/>
      <c r="LY393" s="9"/>
      <c r="LZ393" s="9"/>
      <c r="MA393" s="9"/>
      <c r="MB393" s="9"/>
      <c r="MC393" s="9"/>
      <c r="MD393" s="9"/>
      <c r="ME393" s="9"/>
      <c r="MF393" s="9"/>
      <c r="MG393" s="9"/>
      <c r="MH393" s="9"/>
      <c r="MI393" s="9"/>
      <c r="MJ393" s="9"/>
      <c r="MK393" s="9"/>
      <c r="ML393" s="9"/>
      <c r="MM393" s="9"/>
      <c r="MN393" s="9"/>
      <c r="MO393" s="9"/>
      <c r="MP393" s="9"/>
      <c r="MQ393" s="9"/>
      <c r="MR393" s="9"/>
      <c r="MS393" s="9"/>
      <c r="MT393" s="9"/>
      <c r="MU393" s="9"/>
      <c r="MV393" s="9"/>
      <c r="MW393" s="9"/>
      <c r="MX393" s="9"/>
      <c r="MY393" s="9"/>
      <c r="MZ393" s="9"/>
      <c r="NA393" s="9"/>
      <c r="NB393" s="9"/>
      <c r="NC393" s="9"/>
      <c r="ND393" s="9"/>
      <c r="NE393" s="9"/>
      <c r="NF393" s="9"/>
      <c r="NG393" s="9"/>
      <c r="NH393" s="9"/>
      <c r="NI393" s="9"/>
      <c r="NJ393" s="9"/>
      <c r="NK393" s="9"/>
      <c r="NL393" s="9"/>
      <c r="NM393" s="9"/>
      <c r="NN393" s="9"/>
      <c r="NO393" s="9"/>
      <c r="NP393" s="9"/>
      <c r="NQ393" s="9"/>
      <c r="NR393" s="9"/>
      <c r="NS393" s="9"/>
      <c r="NT393" s="9"/>
      <c r="NU393" s="9"/>
      <c r="NV393" s="9"/>
      <c r="NW393" s="9"/>
      <c r="NX393" s="9"/>
      <c r="NY393" s="9"/>
      <c r="NZ393" s="9"/>
      <c r="OA393" s="9"/>
      <c r="OB393" s="9"/>
      <c r="OC393" s="9"/>
      <c r="OD393" s="9"/>
      <c r="OE393" s="9"/>
      <c r="OF393" s="9"/>
      <c r="OG393" s="9"/>
      <c r="OH393" s="9"/>
      <c r="OI393" s="9"/>
      <c r="OJ393" s="10"/>
    </row>
    <row r="394" spans="1:400" x14ac:dyDescent="0.2">
      <c r="A394" s="50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  <c r="IS394" s="9"/>
      <c r="IT394" s="9"/>
      <c r="IU394" s="9"/>
      <c r="IV394" s="9"/>
      <c r="IW394" s="9"/>
      <c r="IX394" s="9"/>
      <c r="IY394" s="9"/>
      <c r="IZ394" s="9"/>
      <c r="JA394" s="9"/>
      <c r="JB394" s="9"/>
      <c r="JC394" s="9"/>
      <c r="JD394" s="9"/>
      <c r="JE394" s="9"/>
      <c r="JF394" s="9"/>
      <c r="JG394" s="9"/>
      <c r="JH394" s="9"/>
      <c r="JI394" s="9"/>
      <c r="JJ394" s="9"/>
      <c r="JK394" s="9"/>
      <c r="JL394" s="9"/>
      <c r="JM394" s="9"/>
      <c r="JN394" s="9"/>
      <c r="JO394" s="9"/>
      <c r="JP394" s="9"/>
      <c r="JQ394" s="9"/>
      <c r="JR394" s="9"/>
      <c r="JS394" s="9"/>
      <c r="JT394" s="9"/>
      <c r="JU394" s="9"/>
      <c r="JV394" s="9"/>
      <c r="JW394" s="9"/>
      <c r="JX394" s="9"/>
      <c r="JY394" s="9"/>
      <c r="JZ394" s="9"/>
      <c r="KA394" s="9"/>
      <c r="KB394" s="9"/>
      <c r="KC394" s="9"/>
      <c r="KD394" s="9"/>
      <c r="KE394" s="9"/>
      <c r="KF394" s="9"/>
      <c r="KG394" s="9"/>
      <c r="KH394" s="9"/>
      <c r="KI394" s="9"/>
      <c r="KJ394" s="9"/>
      <c r="KK394" s="9"/>
      <c r="KL394" s="9"/>
      <c r="KM394" s="9"/>
      <c r="KN394" s="9"/>
      <c r="KO394" s="9"/>
      <c r="KP394" s="9"/>
      <c r="KQ394" s="9"/>
      <c r="KR394" s="9"/>
      <c r="KS394" s="9"/>
      <c r="KT394" s="9"/>
      <c r="KU394" s="9"/>
      <c r="KV394" s="9"/>
      <c r="KW394" s="9"/>
      <c r="KX394" s="9"/>
      <c r="KY394" s="9"/>
      <c r="KZ394" s="9"/>
      <c r="LA394" s="9"/>
      <c r="LB394" s="9"/>
      <c r="LC394" s="9"/>
      <c r="LD394" s="9"/>
      <c r="LE394" s="9"/>
      <c r="LF394" s="9"/>
      <c r="LG394" s="9"/>
      <c r="LH394" s="9"/>
      <c r="LI394" s="9"/>
      <c r="LJ394" s="9"/>
      <c r="LK394" s="9"/>
      <c r="LL394" s="9"/>
      <c r="LM394" s="9"/>
      <c r="LN394" s="9"/>
      <c r="LO394" s="9"/>
      <c r="LP394" s="9"/>
      <c r="LQ394" s="9"/>
      <c r="LR394" s="9"/>
      <c r="LS394" s="9"/>
      <c r="LT394" s="9"/>
      <c r="LU394" s="9"/>
      <c r="LV394" s="9"/>
      <c r="LW394" s="9"/>
      <c r="LX394" s="9"/>
      <c r="LY394" s="9"/>
      <c r="LZ394" s="9"/>
      <c r="MA394" s="9"/>
      <c r="MB394" s="9"/>
      <c r="MC394" s="9"/>
      <c r="MD394" s="9"/>
      <c r="ME394" s="9"/>
      <c r="MF394" s="9"/>
      <c r="MG394" s="9"/>
      <c r="MH394" s="9"/>
      <c r="MI394" s="9"/>
      <c r="MJ394" s="9"/>
      <c r="MK394" s="9"/>
      <c r="ML394" s="9"/>
      <c r="MM394" s="9"/>
      <c r="MN394" s="9"/>
      <c r="MO394" s="9"/>
      <c r="MP394" s="9"/>
      <c r="MQ394" s="9"/>
      <c r="MR394" s="9"/>
      <c r="MS394" s="9"/>
      <c r="MT394" s="9"/>
      <c r="MU394" s="9"/>
      <c r="MV394" s="9"/>
      <c r="MW394" s="9"/>
      <c r="MX394" s="9"/>
      <c r="MY394" s="9"/>
      <c r="MZ394" s="9"/>
      <c r="NA394" s="9"/>
      <c r="NB394" s="9"/>
      <c r="NC394" s="9"/>
      <c r="ND394" s="9"/>
      <c r="NE394" s="9"/>
      <c r="NF394" s="9"/>
      <c r="NG394" s="9"/>
      <c r="NH394" s="9"/>
      <c r="NI394" s="9"/>
      <c r="NJ394" s="9"/>
      <c r="NK394" s="9"/>
      <c r="NL394" s="9"/>
      <c r="NM394" s="9"/>
      <c r="NN394" s="9"/>
      <c r="NO394" s="9"/>
      <c r="NP394" s="9"/>
      <c r="NQ394" s="9"/>
      <c r="NR394" s="9"/>
      <c r="NS394" s="9"/>
      <c r="NT394" s="9"/>
      <c r="NU394" s="9"/>
      <c r="NV394" s="9"/>
      <c r="NW394" s="9"/>
      <c r="NX394" s="9"/>
      <c r="NY394" s="9"/>
      <c r="NZ394" s="9"/>
      <c r="OA394" s="9"/>
      <c r="OB394" s="9"/>
      <c r="OC394" s="9"/>
      <c r="OD394" s="9"/>
      <c r="OE394" s="9"/>
      <c r="OF394" s="9"/>
      <c r="OG394" s="9"/>
      <c r="OH394" s="9"/>
      <c r="OI394" s="9"/>
      <c r="OJ394" s="10"/>
    </row>
    <row r="395" spans="1:400" x14ac:dyDescent="0.2">
      <c r="A395" s="50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  <c r="IS395" s="9"/>
      <c r="IT395" s="9"/>
      <c r="IU395" s="9"/>
      <c r="IV395" s="9"/>
      <c r="IW395" s="9"/>
      <c r="IX395" s="9"/>
      <c r="IY395" s="9"/>
      <c r="IZ395" s="9"/>
      <c r="JA395" s="9"/>
      <c r="JB395" s="9"/>
      <c r="JC395" s="9"/>
      <c r="JD395" s="9"/>
      <c r="JE395" s="9"/>
      <c r="JF395" s="9"/>
      <c r="JG395" s="9"/>
      <c r="JH395" s="9"/>
      <c r="JI395" s="9"/>
      <c r="JJ395" s="9"/>
      <c r="JK395" s="9"/>
      <c r="JL395" s="9"/>
      <c r="JM395" s="9"/>
      <c r="JN395" s="9"/>
      <c r="JO395" s="9"/>
      <c r="JP395" s="9"/>
      <c r="JQ395" s="9"/>
      <c r="JR395" s="9"/>
      <c r="JS395" s="9"/>
      <c r="JT395" s="9"/>
      <c r="JU395" s="9"/>
      <c r="JV395" s="9"/>
      <c r="JW395" s="9"/>
      <c r="JX395" s="9"/>
      <c r="JY395" s="9"/>
      <c r="JZ395" s="9"/>
      <c r="KA395" s="9"/>
      <c r="KB395" s="9"/>
      <c r="KC395" s="9"/>
      <c r="KD395" s="9"/>
      <c r="KE395" s="9"/>
      <c r="KF395" s="9"/>
      <c r="KG395" s="9"/>
      <c r="KH395" s="9"/>
      <c r="KI395" s="9"/>
      <c r="KJ395" s="9"/>
      <c r="KK395" s="9"/>
      <c r="KL395" s="9"/>
      <c r="KM395" s="9"/>
      <c r="KN395" s="9"/>
      <c r="KO395" s="9"/>
      <c r="KP395" s="9"/>
      <c r="KQ395" s="9"/>
      <c r="KR395" s="9"/>
      <c r="KS395" s="9"/>
      <c r="KT395" s="9"/>
      <c r="KU395" s="9"/>
      <c r="KV395" s="9"/>
      <c r="KW395" s="9"/>
      <c r="KX395" s="9"/>
      <c r="KY395" s="9"/>
      <c r="KZ395" s="9"/>
      <c r="LA395" s="9"/>
      <c r="LB395" s="9"/>
      <c r="LC395" s="9"/>
      <c r="LD395" s="9"/>
      <c r="LE395" s="9"/>
      <c r="LF395" s="9"/>
      <c r="LG395" s="9"/>
      <c r="LH395" s="9"/>
      <c r="LI395" s="9"/>
      <c r="LJ395" s="9"/>
      <c r="LK395" s="9"/>
      <c r="LL395" s="9"/>
      <c r="LM395" s="9"/>
      <c r="LN395" s="9"/>
      <c r="LO395" s="9"/>
      <c r="LP395" s="9"/>
      <c r="LQ395" s="9"/>
      <c r="LR395" s="9"/>
      <c r="LS395" s="9"/>
      <c r="LT395" s="9"/>
      <c r="LU395" s="9"/>
      <c r="LV395" s="9"/>
      <c r="LW395" s="9"/>
      <c r="LX395" s="9"/>
      <c r="LY395" s="9"/>
      <c r="LZ395" s="9"/>
      <c r="MA395" s="9"/>
      <c r="MB395" s="9"/>
      <c r="MC395" s="9"/>
      <c r="MD395" s="9"/>
      <c r="ME395" s="9"/>
      <c r="MF395" s="9"/>
      <c r="MG395" s="9"/>
      <c r="MH395" s="9"/>
      <c r="MI395" s="9"/>
      <c r="MJ395" s="9"/>
      <c r="MK395" s="9"/>
      <c r="ML395" s="9"/>
      <c r="MM395" s="9"/>
      <c r="MN395" s="9"/>
      <c r="MO395" s="9"/>
      <c r="MP395" s="9"/>
      <c r="MQ395" s="9"/>
      <c r="MR395" s="9"/>
      <c r="MS395" s="9"/>
      <c r="MT395" s="9"/>
      <c r="MU395" s="9"/>
      <c r="MV395" s="9"/>
      <c r="MW395" s="9"/>
      <c r="MX395" s="9"/>
      <c r="MY395" s="9"/>
      <c r="MZ395" s="9"/>
      <c r="NA395" s="9"/>
      <c r="NB395" s="9"/>
      <c r="NC395" s="9"/>
      <c r="ND395" s="9"/>
      <c r="NE395" s="9"/>
      <c r="NF395" s="9"/>
      <c r="NG395" s="9"/>
      <c r="NH395" s="9"/>
      <c r="NI395" s="9"/>
      <c r="NJ395" s="9"/>
      <c r="NK395" s="9"/>
      <c r="NL395" s="9"/>
      <c r="NM395" s="9"/>
      <c r="NN395" s="9"/>
      <c r="NO395" s="9"/>
      <c r="NP395" s="9"/>
      <c r="NQ395" s="9"/>
      <c r="NR395" s="9"/>
      <c r="NS395" s="9"/>
      <c r="NT395" s="9"/>
      <c r="NU395" s="9"/>
      <c r="NV395" s="9"/>
      <c r="NW395" s="9"/>
      <c r="NX395" s="9"/>
      <c r="NY395" s="9"/>
      <c r="NZ395" s="9"/>
      <c r="OA395" s="9"/>
      <c r="OB395" s="9"/>
      <c r="OC395" s="9"/>
      <c r="OD395" s="9"/>
      <c r="OE395" s="9"/>
      <c r="OF395" s="9"/>
      <c r="OG395" s="9"/>
      <c r="OH395" s="9"/>
      <c r="OI395" s="9"/>
      <c r="OJ395" s="10"/>
    </row>
    <row r="396" spans="1:400" x14ac:dyDescent="0.2">
      <c r="A396" s="50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  <c r="IS396" s="9"/>
      <c r="IT396" s="9"/>
      <c r="IU396" s="9"/>
      <c r="IV396" s="9"/>
      <c r="IW396" s="9"/>
      <c r="IX396" s="9"/>
      <c r="IY396" s="9"/>
      <c r="IZ396" s="9"/>
      <c r="JA396" s="9"/>
      <c r="JB396" s="9"/>
      <c r="JC396" s="9"/>
      <c r="JD396" s="9"/>
      <c r="JE396" s="9"/>
      <c r="JF396" s="9"/>
      <c r="JG396" s="9"/>
      <c r="JH396" s="9"/>
      <c r="JI396" s="9"/>
      <c r="JJ396" s="9"/>
      <c r="JK396" s="9"/>
      <c r="JL396" s="9"/>
      <c r="JM396" s="9"/>
      <c r="JN396" s="9"/>
      <c r="JO396" s="9"/>
      <c r="JP396" s="9"/>
      <c r="JQ396" s="9"/>
      <c r="JR396" s="9"/>
      <c r="JS396" s="9"/>
      <c r="JT396" s="9"/>
      <c r="JU396" s="9"/>
      <c r="JV396" s="9"/>
      <c r="JW396" s="9"/>
      <c r="JX396" s="9"/>
      <c r="JY396" s="9"/>
      <c r="JZ396" s="9"/>
      <c r="KA396" s="9"/>
      <c r="KB396" s="9"/>
      <c r="KC396" s="9"/>
      <c r="KD396" s="9"/>
      <c r="KE396" s="9"/>
      <c r="KF396" s="9"/>
      <c r="KG396" s="9"/>
      <c r="KH396" s="9"/>
      <c r="KI396" s="9"/>
      <c r="KJ396" s="9"/>
      <c r="KK396" s="9"/>
      <c r="KL396" s="9"/>
      <c r="KM396" s="9"/>
      <c r="KN396" s="9"/>
      <c r="KO396" s="9"/>
      <c r="KP396" s="9"/>
      <c r="KQ396" s="9"/>
      <c r="KR396" s="9"/>
      <c r="KS396" s="9"/>
      <c r="KT396" s="9"/>
      <c r="KU396" s="9"/>
      <c r="KV396" s="9"/>
      <c r="KW396" s="9"/>
      <c r="KX396" s="9"/>
      <c r="KY396" s="9"/>
      <c r="KZ396" s="9"/>
      <c r="LA396" s="9"/>
      <c r="LB396" s="9"/>
      <c r="LC396" s="9"/>
      <c r="LD396" s="9"/>
      <c r="LE396" s="9"/>
      <c r="LF396" s="9"/>
      <c r="LG396" s="9"/>
      <c r="LH396" s="9"/>
      <c r="LI396" s="9"/>
      <c r="LJ396" s="9"/>
      <c r="LK396" s="9"/>
      <c r="LL396" s="9"/>
      <c r="LM396" s="9"/>
      <c r="LN396" s="9"/>
      <c r="LO396" s="9"/>
      <c r="LP396" s="9"/>
      <c r="LQ396" s="9"/>
      <c r="LR396" s="9"/>
      <c r="LS396" s="9"/>
      <c r="LT396" s="9"/>
      <c r="LU396" s="9"/>
      <c r="LV396" s="9"/>
      <c r="LW396" s="9"/>
      <c r="LX396" s="9"/>
      <c r="LY396" s="9"/>
      <c r="LZ396" s="9"/>
      <c r="MA396" s="9"/>
      <c r="MB396" s="9"/>
      <c r="MC396" s="9"/>
      <c r="MD396" s="9"/>
      <c r="ME396" s="9"/>
      <c r="MF396" s="9"/>
      <c r="MG396" s="9"/>
      <c r="MH396" s="9"/>
      <c r="MI396" s="9"/>
      <c r="MJ396" s="9"/>
      <c r="MK396" s="9"/>
      <c r="ML396" s="9"/>
      <c r="MM396" s="9"/>
      <c r="MN396" s="9"/>
      <c r="MO396" s="9"/>
      <c r="MP396" s="9"/>
      <c r="MQ396" s="9"/>
      <c r="MR396" s="9"/>
      <c r="MS396" s="9"/>
      <c r="MT396" s="9"/>
      <c r="MU396" s="9"/>
      <c r="MV396" s="9"/>
      <c r="MW396" s="9"/>
      <c r="MX396" s="9"/>
      <c r="MY396" s="9"/>
      <c r="MZ396" s="9"/>
      <c r="NA396" s="9"/>
      <c r="NB396" s="9"/>
      <c r="NC396" s="9"/>
      <c r="ND396" s="9"/>
      <c r="NE396" s="9"/>
      <c r="NF396" s="9"/>
      <c r="NG396" s="9"/>
      <c r="NH396" s="9"/>
      <c r="NI396" s="9"/>
      <c r="NJ396" s="9"/>
      <c r="NK396" s="9"/>
      <c r="NL396" s="9"/>
      <c r="NM396" s="9"/>
      <c r="NN396" s="9"/>
      <c r="NO396" s="9"/>
      <c r="NP396" s="9"/>
      <c r="NQ396" s="9"/>
      <c r="NR396" s="9"/>
      <c r="NS396" s="9"/>
      <c r="NT396" s="9"/>
      <c r="NU396" s="9"/>
      <c r="NV396" s="9"/>
      <c r="NW396" s="9"/>
      <c r="NX396" s="9"/>
      <c r="NY396" s="9"/>
      <c r="NZ396" s="9"/>
      <c r="OA396" s="9"/>
      <c r="OB396" s="9"/>
      <c r="OC396" s="9"/>
      <c r="OD396" s="9"/>
      <c r="OE396" s="9"/>
      <c r="OF396" s="9"/>
      <c r="OG396" s="9"/>
      <c r="OH396" s="9"/>
      <c r="OI396" s="9"/>
      <c r="OJ396" s="10"/>
    </row>
    <row r="397" spans="1:400" x14ac:dyDescent="0.2">
      <c r="A397" s="50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  <c r="GM397" s="9"/>
      <c r="GN397" s="9"/>
      <c r="GO397" s="9"/>
      <c r="GP397" s="9"/>
      <c r="GQ397" s="9"/>
      <c r="GR397" s="9"/>
      <c r="GS397" s="9"/>
      <c r="GT397" s="9"/>
      <c r="GU397" s="9"/>
      <c r="GV397" s="9"/>
      <c r="GW397" s="9"/>
      <c r="GX397" s="9"/>
      <c r="GY397" s="9"/>
      <c r="GZ397" s="9"/>
      <c r="HA397" s="9"/>
      <c r="HB397" s="9"/>
      <c r="HC397" s="9"/>
      <c r="HD397" s="9"/>
      <c r="HE397" s="9"/>
      <c r="HF397" s="9"/>
      <c r="HG397" s="9"/>
      <c r="HH397" s="9"/>
      <c r="HI397" s="9"/>
      <c r="HJ397" s="9"/>
      <c r="HK397" s="9"/>
      <c r="HL397" s="9"/>
      <c r="HM397" s="9"/>
      <c r="HN397" s="9"/>
      <c r="HO397" s="9"/>
      <c r="HP397" s="9"/>
      <c r="HQ397" s="9"/>
      <c r="HR397" s="9"/>
      <c r="HS397" s="9"/>
      <c r="HT397" s="9"/>
      <c r="HU397" s="9"/>
      <c r="HV397" s="9"/>
      <c r="HW397" s="9"/>
      <c r="HX397" s="9"/>
      <c r="HY397" s="9"/>
      <c r="HZ397" s="9"/>
      <c r="IA397" s="9"/>
      <c r="IB397" s="9"/>
      <c r="IC397" s="9"/>
      <c r="ID397" s="9"/>
      <c r="IE397" s="9"/>
      <c r="IF397" s="9"/>
      <c r="IG397" s="9"/>
      <c r="IH397" s="9"/>
      <c r="II397" s="9"/>
      <c r="IJ397" s="9"/>
      <c r="IK397" s="9"/>
      <c r="IL397" s="9"/>
      <c r="IM397" s="9"/>
      <c r="IN397" s="9"/>
      <c r="IO397" s="9"/>
      <c r="IP397" s="9"/>
      <c r="IQ397" s="9"/>
      <c r="IR397" s="9"/>
      <c r="IS397" s="9"/>
      <c r="IT397" s="9"/>
      <c r="IU397" s="9"/>
      <c r="IV397" s="9"/>
      <c r="IW397" s="9"/>
      <c r="IX397" s="9"/>
      <c r="IY397" s="9"/>
      <c r="IZ397" s="9"/>
      <c r="JA397" s="9"/>
      <c r="JB397" s="9"/>
      <c r="JC397" s="9"/>
      <c r="JD397" s="9"/>
      <c r="JE397" s="9"/>
      <c r="JF397" s="9"/>
      <c r="JG397" s="9"/>
      <c r="JH397" s="9"/>
      <c r="JI397" s="9"/>
      <c r="JJ397" s="9"/>
      <c r="JK397" s="9"/>
      <c r="JL397" s="9"/>
      <c r="JM397" s="9"/>
      <c r="JN397" s="9"/>
      <c r="JO397" s="9"/>
      <c r="JP397" s="9"/>
      <c r="JQ397" s="9"/>
      <c r="JR397" s="9"/>
      <c r="JS397" s="9"/>
      <c r="JT397" s="9"/>
      <c r="JU397" s="9"/>
      <c r="JV397" s="9"/>
      <c r="JW397" s="9"/>
      <c r="JX397" s="9"/>
      <c r="JY397" s="9"/>
      <c r="JZ397" s="9"/>
      <c r="KA397" s="9"/>
      <c r="KB397" s="9"/>
      <c r="KC397" s="9"/>
      <c r="KD397" s="9"/>
      <c r="KE397" s="9"/>
      <c r="KF397" s="9"/>
      <c r="KG397" s="9"/>
      <c r="KH397" s="9"/>
      <c r="KI397" s="9"/>
      <c r="KJ397" s="9"/>
      <c r="KK397" s="9"/>
      <c r="KL397" s="9"/>
      <c r="KM397" s="9"/>
      <c r="KN397" s="9"/>
      <c r="KO397" s="9"/>
      <c r="KP397" s="9"/>
      <c r="KQ397" s="9"/>
      <c r="KR397" s="9"/>
      <c r="KS397" s="9"/>
      <c r="KT397" s="9"/>
      <c r="KU397" s="9"/>
      <c r="KV397" s="9"/>
      <c r="KW397" s="9"/>
      <c r="KX397" s="9"/>
      <c r="KY397" s="9"/>
      <c r="KZ397" s="9"/>
      <c r="LA397" s="9"/>
      <c r="LB397" s="9"/>
      <c r="LC397" s="9"/>
      <c r="LD397" s="9"/>
      <c r="LE397" s="9"/>
      <c r="LF397" s="9"/>
      <c r="LG397" s="9"/>
      <c r="LH397" s="9"/>
      <c r="LI397" s="9"/>
      <c r="LJ397" s="9"/>
      <c r="LK397" s="9"/>
      <c r="LL397" s="9"/>
      <c r="LM397" s="9"/>
      <c r="LN397" s="9"/>
      <c r="LO397" s="9"/>
      <c r="LP397" s="9"/>
      <c r="LQ397" s="9"/>
      <c r="LR397" s="9"/>
      <c r="LS397" s="9"/>
      <c r="LT397" s="9"/>
      <c r="LU397" s="9"/>
      <c r="LV397" s="9"/>
      <c r="LW397" s="9"/>
      <c r="LX397" s="9"/>
      <c r="LY397" s="9"/>
      <c r="LZ397" s="9"/>
      <c r="MA397" s="9"/>
      <c r="MB397" s="9"/>
      <c r="MC397" s="9"/>
      <c r="MD397" s="9"/>
      <c r="ME397" s="9"/>
      <c r="MF397" s="9"/>
      <c r="MG397" s="9"/>
      <c r="MH397" s="9"/>
      <c r="MI397" s="9"/>
      <c r="MJ397" s="9"/>
      <c r="MK397" s="9"/>
      <c r="ML397" s="9"/>
      <c r="MM397" s="9"/>
      <c r="MN397" s="9"/>
      <c r="MO397" s="9"/>
      <c r="MP397" s="9"/>
      <c r="MQ397" s="9"/>
      <c r="MR397" s="9"/>
      <c r="MS397" s="9"/>
      <c r="MT397" s="9"/>
      <c r="MU397" s="9"/>
      <c r="MV397" s="9"/>
      <c r="MW397" s="9"/>
      <c r="MX397" s="9"/>
      <c r="MY397" s="9"/>
      <c r="MZ397" s="9"/>
      <c r="NA397" s="9"/>
      <c r="NB397" s="9"/>
      <c r="NC397" s="9"/>
      <c r="ND397" s="9"/>
      <c r="NE397" s="9"/>
      <c r="NF397" s="9"/>
      <c r="NG397" s="9"/>
      <c r="NH397" s="9"/>
      <c r="NI397" s="9"/>
      <c r="NJ397" s="9"/>
      <c r="NK397" s="9"/>
      <c r="NL397" s="9"/>
      <c r="NM397" s="9"/>
      <c r="NN397" s="9"/>
      <c r="NO397" s="9"/>
      <c r="NP397" s="9"/>
      <c r="NQ397" s="9"/>
      <c r="NR397" s="9"/>
      <c r="NS397" s="9"/>
      <c r="NT397" s="9"/>
      <c r="NU397" s="9"/>
      <c r="NV397" s="9"/>
      <c r="NW397" s="9"/>
      <c r="NX397" s="9"/>
      <c r="NY397" s="9"/>
      <c r="NZ397" s="9"/>
      <c r="OA397" s="9"/>
      <c r="OB397" s="9"/>
      <c r="OC397" s="9"/>
      <c r="OD397" s="9"/>
      <c r="OE397" s="9"/>
      <c r="OF397" s="9"/>
      <c r="OG397" s="9"/>
      <c r="OH397" s="9"/>
      <c r="OI397" s="9"/>
      <c r="OJ397" s="10"/>
    </row>
    <row r="398" spans="1:400" x14ac:dyDescent="0.2">
      <c r="A398" s="50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  <c r="GM398" s="9"/>
      <c r="GN398" s="9"/>
      <c r="GO398" s="9"/>
      <c r="GP398" s="9"/>
      <c r="GQ398" s="9"/>
      <c r="GR398" s="9"/>
      <c r="GS398" s="9"/>
      <c r="GT398" s="9"/>
      <c r="GU398" s="9"/>
      <c r="GV398" s="9"/>
      <c r="GW398" s="9"/>
      <c r="GX398" s="9"/>
      <c r="GY398" s="9"/>
      <c r="GZ398" s="9"/>
      <c r="HA398" s="9"/>
      <c r="HB398" s="9"/>
      <c r="HC398" s="9"/>
      <c r="HD398" s="9"/>
      <c r="HE398" s="9"/>
      <c r="HF398" s="9"/>
      <c r="HG398" s="9"/>
      <c r="HH398" s="9"/>
      <c r="HI398" s="9"/>
      <c r="HJ398" s="9"/>
      <c r="HK398" s="9"/>
      <c r="HL398" s="9"/>
      <c r="HM398" s="9"/>
      <c r="HN398" s="9"/>
      <c r="HO398" s="9"/>
      <c r="HP398" s="9"/>
      <c r="HQ398" s="9"/>
      <c r="HR398" s="9"/>
      <c r="HS398" s="9"/>
      <c r="HT398" s="9"/>
      <c r="HU398" s="9"/>
      <c r="HV398" s="9"/>
      <c r="HW398" s="9"/>
      <c r="HX398" s="9"/>
      <c r="HY398" s="9"/>
      <c r="HZ398" s="9"/>
      <c r="IA398" s="9"/>
      <c r="IB398" s="9"/>
      <c r="IC398" s="9"/>
      <c r="ID398" s="9"/>
      <c r="IE398" s="9"/>
      <c r="IF398" s="9"/>
      <c r="IG398" s="9"/>
      <c r="IH398" s="9"/>
      <c r="II398" s="9"/>
      <c r="IJ398" s="9"/>
      <c r="IK398" s="9"/>
      <c r="IL398" s="9"/>
      <c r="IM398" s="9"/>
      <c r="IN398" s="9"/>
      <c r="IO398" s="9"/>
      <c r="IP398" s="9"/>
      <c r="IQ398" s="9"/>
      <c r="IR398" s="9"/>
      <c r="IS398" s="9"/>
      <c r="IT398" s="9"/>
      <c r="IU398" s="9"/>
      <c r="IV398" s="9"/>
      <c r="IW398" s="9"/>
      <c r="IX398" s="9"/>
      <c r="IY398" s="9"/>
      <c r="IZ398" s="9"/>
      <c r="JA398" s="9"/>
      <c r="JB398" s="9"/>
      <c r="JC398" s="9"/>
      <c r="JD398" s="9"/>
      <c r="JE398" s="9"/>
      <c r="JF398" s="9"/>
      <c r="JG398" s="9"/>
      <c r="JH398" s="9"/>
      <c r="JI398" s="9"/>
      <c r="JJ398" s="9"/>
      <c r="JK398" s="9"/>
      <c r="JL398" s="9"/>
      <c r="JM398" s="9"/>
      <c r="JN398" s="9"/>
      <c r="JO398" s="9"/>
      <c r="JP398" s="9"/>
      <c r="JQ398" s="9"/>
      <c r="JR398" s="9"/>
      <c r="JS398" s="9"/>
      <c r="JT398" s="9"/>
      <c r="JU398" s="9"/>
      <c r="JV398" s="9"/>
      <c r="JW398" s="9"/>
      <c r="JX398" s="9"/>
      <c r="JY398" s="9"/>
      <c r="JZ398" s="9"/>
      <c r="KA398" s="9"/>
      <c r="KB398" s="9"/>
      <c r="KC398" s="9"/>
      <c r="KD398" s="9"/>
      <c r="KE398" s="9"/>
      <c r="KF398" s="9"/>
      <c r="KG398" s="9"/>
      <c r="KH398" s="9"/>
      <c r="KI398" s="9"/>
      <c r="KJ398" s="9"/>
      <c r="KK398" s="9"/>
      <c r="KL398" s="9"/>
      <c r="KM398" s="9"/>
      <c r="KN398" s="9"/>
      <c r="KO398" s="9"/>
      <c r="KP398" s="9"/>
      <c r="KQ398" s="9"/>
      <c r="KR398" s="9"/>
      <c r="KS398" s="9"/>
      <c r="KT398" s="9"/>
      <c r="KU398" s="9"/>
      <c r="KV398" s="9"/>
      <c r="KW398" s="9"/>
      <c r="KX398" s="9"/>
      <c r="KY398" s="9"/>
      <c r="KZ398" s="9"/>
      <c r="LA398" s="9"/>
      <c r="LB398" s="9"/>
      <c r="LC398" s="9"/>
      <c r="LD398" s="9"/>
      <c r="LE398" s="9"/>
      <c r="LF398" s="9"/>
      <c r="LG398" s="9"/>
      <c r="LH398" s="9"/>
      <c r="LI398" s="9"/>
      <c r="LJ398" s="9"/>
      <c r="LK398" s="9"/>
      <c r="LL398" s="9"/>
      <c r="LM398" s="9"/>
      <c r="LN398" s="9"/>
      <c r="LO398" s="9"/>
      <c r="LP398" s="9"/>
      <c r="LQ398" s="9"/>
      <c r="LR398" s="9"/>
      <c r="LS398" s="9"/>
      <c r="LT398" s="9"/>
      <c r="LU398" s="9"/>
      <c r="LV398" s="9"/>
      <c r="LW398" s="9"/>
      <c r="LX398" s="9"/>
      <c r="LY398" s="9"/>
      <c r="LZ398" s="9"/>
      <c r="MA398" s="9"/>
      <c r="MB398" s="9"/>
      <c r="MC398" s="9"/>
      <c r="MD398" s="9"/>
      <c r="ME398" s="9"/>
      <c r="MF398" s="9"/>
      <c r="MG398" s="9"/>
      <c r="MH398" s="9"/>
      <c r="MI398" s="9"/>
      <c r="MJ398" s="9"/>
      <c r="MK398" s="9"/>
      <c r="ML398" s="9"/>
      <c r="MM398" s="9"/>
      <c r="MN398" s="9"/>
      <c r="MO398" s="9"/>
      <c r="MP398" s="9"/>
      <c r="MQ398" s="9"/>
      <c r="MR398" s="9"/>
      <c r="MS398" s="9"/>
      <c r="MT398" s="9"/>
      <c r="MU398" s="9"/>
      <c r="MV398" s="9"/>
      <c r="MW398" s="9"/>
      <c r="MX398" s="9"/>
      <c r="MY398" s="9"/>
      <c r="MZ398" s="9"/>
      <c r="NA398" s="9"/>
      <c r="NB398" s="9"/>
      <c r="NC398" s="9"/>
      <c r="ND398" s="9"/>
      <c r="NE398" s="9"/>
      <c r="NF398" s="9"/>
      <c r="NG398" s="9"/>
      <c r="NH398" s="9"/>
      <c r="NI398" s="9"/>
      <c r="NJ398" s="9"/>
      <c r="NK398" s="9"/>
      <c r="NL398" s="9"/>
      <c r="NM398" s="9"/>
      <c r="NN398" s="9"/>
      <c r="NO398" s="9"/>
      <c r="NP398" s="9"/>
      <c r="NQ398" s="9"/>
      <c r="NR398" s="9"/>
      <c r="NS398" s="9"/>
      <c r="NT398" s="9"/>
      <c r="NU398" s="9"/>
      <c r="NV398" s="9"/>
      <c r="NW398" s="9"/>
      <c r="NX398" s="9"/>
      <c r="NY398" s="9"/>
      <c r="NZ398" s="9"/>
      <c r="OA398" s="9"/>
      <c r="OB398" s="9"/>
      <c r="OC398" s="9"/>
      <c r="OD398" s="9"/>
      <c r="OE398" s="9"/>
      <c r="OF398" s="9"/>
      <c r="OG398" s="9"/>
      <c r="OH398" s="9"/>
      <c r="OI398" s="9"/>
      <c r="OJ398" s="10"/>
    </row>
    <row r="399" spans="1:400" x14ac:dyDescent="0.2">
      <c r="A399" s="50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  <c r="GM399" s="9"/>
      <c r="GN399" s="9"/>
      <c r="GO399" s="9"/>
      <c r="GP399" s="9"/>
      <c r="GQ399" s="9"/>
      <c r="GR399" s="9"/>
      <c r="GS399" s="9"/>
      <c r="GT399" s="9"/>
      <c r="GU399" s="9"/>
      <c r="GV399" s="9"/>
      <c r="GW399" s="9"/>
      <c r="GX399" s="9"/>
      <c r="GY399" s="9"/>
      <c r="GZ399" s="9"/>
      <c r="HA399" s="9"/>
      <c r="HB399" s="9"/>
      <c r="HC399" s="9"/>
      <c r="HD399" s="9"/>
      <c r="HE399" s="9"/>
      <c r="HF399" s="9"/>
      <c r="HG399" s="9"/>
      <c r="HH399" s="9"/>
      <c r="HI399" s="9"/>
      <c r="HJ399" s="9"/>
      <c r="HK399" s="9"/>
      <c r="HL399" s="9"/>
      <c r="HM399" s="9"/>
      <c r="HN399" s="9"/>
      <c r="HO399" s="9"/>
      <c r="HP399" s="9"/>
      <c r="HQ399" s="9"/>
      <c r="HR399" s="9"/>
      <c r="HS399" s="9"/>
      <c r="HT399" s="9"/>
      <c r="HU399" s="9"/>
      <c r="HV399" s="9"/>
      <c r="HW399" s="9"/>
      <c r="HX399" s="9"/>
      <c r="HY399" s="9"/>
      <c r="HZ399" s="9"/>
      <c r="IA399" s="9"/>
      <c r="IB399" s="9"/>
      <c r="IC399" s="9"/>
      <c r="ID399" s="9"/>
      <c r="IE399" s="9"/>
      <c r="IF399" s="9"/>
      <c r="IG399" s="9"/>
      <c r="IH399" s="9"/>
      <c r="II399" s="9"/>
      <c r="IJ399" s="9"/>
      <c r="IK399" s="9"/>
      <c r="IL399" s="9"/>
      <c r="IM399" s="9"/>
      <c r="IN399" s="9"/>
      <c r="IO399" s="9"/>
      <c r="IP399" s="9"/>
      <c r="IQ399" s="9"/>
      <c r="IR399" s="9"/>
      <c r="IS399" s="9"/>
      <c r="IT399" s="9"/>
      <c r="IU399" s="9"/>
      <c r="IV399" s="9"/>
      <c r="IW399" s="9"/>
      <c r="IX399" s="9"/>
      <c r="IY399" s="9"/>
      <c r="IZ399" s="9"/>
      <c r="JA399" s="9"/>
      <c r="JB399" s="9"/>
      <c r="JC399" s="9"/>
      <c r="JD399" s="9"/>
      <c r="JE399" s="9"/>
      <c r="JF399" s="9"/>
      <c r="JG399" s="9"/>
      <c r="JH399" s="9"/>
      <c r="JI399" s="9"/>
      <c r="JJ399" s="9"/>
      <c r="JK399" s="9"/>
      <c r="JL399" s="9"/>
      <c r="JM399" s="9"/>
      <c r="JN399" s="9"/>
      <c r="JO399" s="9"/>
      <c r="JP399" s="9"/>
      <c r="JQ399" s="9"/>
      <c r="JR399" s="9"/>
      <c r="JS399" s="9"/>
      <c r="JT399" s="9"/>
      <c r="JU399" s="9"/>
      <c r="JV399" s="9"/>
      <c r="JW399" s="9"/>
      <c r="JX399" s="9"/>
      <c r="JY399" s="9"/>
      <c r="JZ399" s="9"/>
      <c r="KA399" s="9"/>
      <c r="KB399" s="9"/>
      <c r="KC399" s="9"/>
      <c r="KD399" s="9"/>
      <c r="KE399" s="9"/>
      <c r="KF399" s="9"/>
      <c r="KG399" s="9"/>
      <c r="KH399" s="9"/>
      <c r="KI399" s="9"/>
      <c r="KJ399" s="9"/>
      <c r="KK399" s="9"/>
      <c r="KL399" s="9"/>
      <c r="KM399" s="9"/>
      <c r="KN399" s="9"/>
      <c r="KO399" s="9"/>
      <c r="KP399" s="9"/>
      <c r="KQ399" s="9"/>
      <c r="KR399" s="9"/>
      <c r="KS399" s="9"/>
      <c r="KT399" s="9"/>
      <c r="KU399" s="9"/>
      <c r="KV399" s="9"/>
      <c r="KW399" s="9"/>
      <c r="KX399" s="9"/>
      <c r="KY399" s="9"/>
      <c r="KZ399" s="9"/>
      <c r="LA399" s="9"/>
      <c r="LB399" s="9"/>
      <c r="LC399" s="9"/>
      <c r="LD399" s="9"/>
      <c r="LE399" s="9"/>
      <c r="LF399" s="9"/>
      <c r="LG399" s="9"/>
      <c r="LH399" s="9"/>
      <c r="LI399" s="9"/>
      <c r="LJ399" s="9"/>
      <c r="LK399" s="9"/>
      <c r="LL399" s="9"/>
      <c r="LM399" s="9"/>
      <c r="LN399" s="9"/>
      <c r="LO399" s="9"/>
      <c r="LP399" s="9"/>
      <c r="LQ399" s="9"/>
      <c r="LR399" s="9"/>
      <c r="LS399" s="9"/>
      <c r="LT399" s="9"/>
      <c r="LU399" s="9"/>
      <c r="LV399" s="9"/>
      <c r="LW399" s="9"/>
      <c r="LX399" s="9"/>
      <c r="LY399" s="9"/>
      <c r="LZ399" s="9"/>
      <c r="MA399" s="9"/>
      <c r="MB399" s="9"/>
      <c r="MC399" s="9"/>
      <c r="MD399" s="9"/>
      <c r="ME399" s="9"/>
      <c r="MF399" s="9"/>
      <c r="MG399" s="9"/>
      <c r="MH399" s="9"/>
      <c r="MI399" s="9"/>
      <c r="MJ399" s="9"/>
      <c r="MK399" s="9"/>
      <c r="ML399" s="9"/>
      <c r="MM399" s="9"/>
      <c r="MN399" s="9"/>
      <c r="MO399" s="9"/>
      <c r="MP399" s="9"/>
      <c r="MQ399" s="9"/>
      <c r="MR399" s="9"/>
      <c r="MS399" s="9"/>
      <c r="MT399" s="9"/>
      <c r="MU399" s="9"/>
      <c r="MV399" s="9"/>
      <c r="MW399" s="9"/>
      <c r="MX399" s="9"/>
      <c r="MY399" s="9"/>
      <c r="MZ399" s="9"/>
      <c r="NA399" s="9"/>
      <c r="NB399" s="9"/>
      <c r="NC399" s="9"/>
      <c r="ND399" s="9"/>
      <c r="NE399" s="9"/>
      <c r="NF399" s="9"/>
      <c r="NG399" s="9"/>
      <c r="NH399" s="9"/>
      <c r="NI399" s="9"/>
      <c r="NJ399" s="9"/>
      <c r="NK399" s="9"/>
      <c r="NL399" s="9"/>
      <c r="NM399" s="9"/>
      <c r="NN399" s="9"/>
      <c r="NO399" s="9"/>
      <c r="NP399" s="9"/>
      <c r="NQ399" s="9"/>
      <c r="NR399" s="9"/>
      <c r="NS399" s="9"/>
      <c r="NT399" s="9"/>
      <c r="NU399" s="9"/>
      <c r="NV399" s="9"/>
      <c r="NW399" s="9"/>
      <c r="NX399" s="9"/>
      <c r="NY399" s="9"/>
      <c r="NZ399" s="9"/>
      <c r="OA399" s="9"/>
      <c r="OB399" s="9"/>
      <c r="OC399" s="9"/>
      <c r="OD399" s="9"/>
      <c r="OE399" s="9"/>
      <c r="OF399" s="9"/>
      <c r="OG399" s="9"/>
      <c r="OH399" s="9"/>
      <c r="OI399" s="9"/>
      <c r="OJ399" s="10"/>
    </row>
    <row r="400" spans="1:400" ht="13.5" thickBot="1" x14ac:dyDescent="0.25">
      <c r="A400" s="575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6"/>
      <c r="FP400" s="26"/>
      <c r="FQ400" s="26"/>
      <c r="FR400" s="26"/>
      <c r="FS400" s="26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6"/>
      <c r="GH400" s="26"/>
      <c r="GI400" s="26"/>
      <c r="GJ400" s="26"/>
      <c r="GK400" s="26"/>
      <c r="GL400" s="26"/>
      <c r="GM400" s="26"/>
      <c r="GN400" s="26"/>
      <c r="GO400" s="26"/>
      <c r="GP400" s="26"/>
      <c r="GQ400" s="26"/>
      <c r="GR400" s="26"/>
      <c r="GS400" s="26"/>
      <c r="GT400" s="26"/>
      <c r="GU400" s="26"/>
      <c r="GV400" s="26"/>
      <c r="GW400" s="26"/>
      <c r="GX400" s="26"/>
      <c r="GY400" s="26"/>
      <c r="GZ400" s="26"/>
      <c r="HA400" s="26"/>
      <c r="HB400" s="26"/>
      <c r="HC400" s="26"/>
      <c r="HD400" s="26"/>
      <c r="HE400" s="26"/>
      <c r="HF400" s="26"/>
      <c r="HG400" s="26"/>
      <c r="HH400" s="26"/>
      <c r="HI400" s="26"/>
      <c r="HJ400" s="26"/>
      <c r="HK400" s="26"/>
      <c r="HL400" s="26"/>
      <c r="HM400" s="26"/>
      <c r="HN400" s="26"/>
      <c r="HO400" s="26"/>
      <c r="HP400" s="26"/>
      <c r="HQ400" s="26"/>
      <c r="HR400" s="26"/>
      <c r="HS400" s="26"/>
      <c r="HT400" s="26"/>
      <c r="HU400" s="26"/>
      <c r="HV400" s="26"/>
      <c r="HW400" s="26"/>
      <c r="HX400" s="26"/>
      <c r="HY400" s="26"/>
      <c r="HZ400" s="26"/>
      <c r="IA400" s="26"/>
      <c r="IB400" s="26"/>
      <c r="IC400" s="26"/>
      <c r="ID400" s="26"/>
      <c r="IE400" s="26"/>
      <c r="IF400" s="26"/>
      <c r="IG400" s="26"/>
      <c r="IH400" s="26"/>
      <c r="II400" s="26"/>
      <c r="IJ400" s="26"/>
      <c r="IK400" s="26"/>
      <c r="IL400" s="26"/>
      <c r="IM400" s="26"/>
      <c r="IN400" s="26"/>
      <c r="IO400" s="26"/>
      <c r="IP400" s="26"/>
      <c r="IQ400" s="26"/>
      <c r="IR400" s="26"/>
      <c r="IS400" s="26"/>
      <c r="IT400" s="26"/>
      <c r="IU400" s="26"/>
      <c r="IV400" s="26"/>
      <c r="IW400" s="26"/>
      <c r="IX400" s="26"/>
      <c r="IY400" s="26"/>
      <c r="IZ400" s="26"/>
      <c r="JA400" s="26"/>
      <c r="JB400" s="26"/>
      <c r="JC400" s="26"/>
      <c r="JD400" s="26"/>
      <c r="JE400" s="26"/>
      <c r="JF400" s="26"/>
      <c r="JG400" s="26"/>
      <c r="JH400" s="26"/>
      <c r="JI400" s="26"/>
      <c r="JJ400" s="26"/>
      <c r="JK400" s="26"/>
      <c r="JL400" s="26"/>
      <c r="JM400" s="26"/>
      <c r="JN400" s="26"/>
      <c r="JO400" s="26"/>
      <c r="JP400" s="26"/>
      <c r="JQ400" s="26"/>
      <c r="JR400" s="26"/>
      <c r="JS400" s="26"/>
      <c r="JT400" s="26"/>
      <c r="JU400" s="26"/>
      <c r="JV400" s="26"/>
      <c r="JW400" s="26"/>
      <c r="JX400" s="26"/>
      <c r="JY400" s="26"/>
      <c r="JZ400" s="26"/>
      <c r="KA400" s="26"/>
      <c r="KB400" s="26"/>
      <c r="KC400" s="26"/>
      <c r="KD400" s="26"/>
      <c r="KE400" s="26"/>
      <c r="KF400" s="26"/>
      <c r="KG400" s="26"/>
      <c r="KH400" s="26"/>
      <c r="KI400" s="26"/>
      <c r="KJ400" s="26"/>
      <c r="KK400" s="26"/>
      <c r="KL400" s="26"/>
      <c r="KM400" s="26"/>
      <c r="KN400" s="26"/>
      <c r="KO400" s="26"/>
      <c r="KP400" s="26"/>
      <c r="KQ400" s="26"/>
      <c r="KR400" s="26"/>
      <c r="KS400" s="26"/>
      <c r="KT400" s="26"/>
      <c r="KU400" s="26"/>
      <c r="KV400" s="26"/>
      <c r="KW400" s="26"/>
      <c r="KX400" s="26"/>
      <c r="KY400" s="26"/>
      <c r="KZ400" s="26"/>
      <c r="LA400" s="26"/>
      <c r="LB400" s="26"/>
      <c r="LC400" s="26"/>
      <c r="LD400" s="26"/>
      <c r="LE400" s="26"/>
      <c r="LF400" s="26"/>
      <c r="LG400" s="26"/>
      <c r="LH400" s="26"/>
      <c r="LI400" s="26"/>
      <c r="LJ400" s="26"/>
      <c r="LK400" s="26"/>
      <c r="LL400" s="26"/>
      <c r="LM400" s="26"/>
      <c r="LN400" s="26"/>
      <c r="LO400" s="26"/>
      <c r="LP400" s="26"/>
      <c r="LQ400" s="26"/>
      <c r="LR400" s="26"/>
      <c r="LS400" s="26"/>
      <c r="LT400" s="26"/>
      <c r="LU400" s="26"/>
      <c r="LV400" s="26"/>
      <c r="LW400" s="26"/>
      <c r="LX400" s="26"/>
      <c r="LY400" s="26"/>
      <c r="LZ400" s="26"/>
      <c r="MA400" s="26"/>
      <c r="MB400" s="26"/>
      <c r="MC400" s="26"/>
      <c r="MD400" s="26"/>
      <c r="ME400" s="26"/>
      <c r="MF400" s="26"/>
      <c r="MG400" s="26"/>
      <c r="MH400" s="26"/>
      <c r="MI400" s="26"/>
      <c r="MJ400" s="26"/>
      <c r="MK400" s="26"/>
      <c r="ML400" s="26"/>
      <c r="MM400" s="26"/>
      <c r="MN400" s="26"/>
      <c r="MO400" s="26"/>
      <c r="MP400" s="26"/>
      <c r="MQ400" s="26"/>
      <c r="MR400" s="26"/>
      <c r="MS400" s="26"/>
      <c r="MT400" s="26"/>
      <c r="MU400" s="26"/>
      <c r="MV400" s="26"/>
      <c r="MW400" s="26"/>
      <c r="MX400" s="26"/>
      <c r="MY400" s="26"/>
      <c r="MZ400" s="26"/>
      <c r="NA400" s="26"/>
      <c r="NB400" s="26"/>
      <c r="NC400" s="26"/>
      <c r="ND400" s="26"/>
      <c r="NE400" s="26"/>
      <c r="NF400" s="26"/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57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IK126"/>
  <sheetViews>
    <sheetView zoomScale="85" zoomScaleNormal="85" workbookViewId="0">
      <pane xSplit="1" topLeftCell="EC1" activePane="topRight" state="frozen"/>
      <selection pane="topRight" activeCell="ER6" sqref="ER6"/>
    </sheetView>
  </sheetViews>
  <sheetFormatPr defaultRowHeight="12.75" x14ac:dyDescent="0.2"/>
  <cols>
    <col min="1" max="1" width="29" style="2" customWidth="1"/>
    <col min="2" max="2" width="34.28515625" style="2" customWidth="1"/>
    <col min="3" max="3" width="31.42578125" style="2" customWidth="1"/>
    <col min="4" max="4" width="47" style="2" customWidth="1"/>
    <col min="5" max="5" width="29.5703125" style="2" customWidth="1"/>
    <col min="6" max="6" width="20.85546875" style="2" customWidth="1"/>
    <col min="7" max="7" width="19" style="2" customWidth="1"/>
    <col min="8" max="8" width="20.28515625" style="2" customWidth="1"/>
    <col min="9" max="9" width="22.85546875" style="2" customWidth="1"/>
    <col min="10" max="10" width="21.140625" style="2" customWidth="1"/>
    <col min="11" max="11" width="18.42578125" style="2" customWidth="1"/>
    <col min="12" max="12" width="19.140625" style="2" customWidth="1"/>
    <col min="13" max="13" width="15.140625" style="2" customWidth="1"/>
    <col min="14" max="14" width="13.140625" style="2" customWidth="1"/>
    <col min="15" max="16" width="13.42578125" style="2" customWidth="1"/>
    <col min="17" max="17" width="15.140625" style="2" customWidth="1"/>
    <col min="18" max="18" width="14.5703125" style="2" customWidth="1"/>
    <col min="19" max="23" width="7.7109375" style="2" customWidth="1"/>
    <col min="24" max="26" width="9.7109375" style="2" customWidth="1"/>
    <col min="27" max="27" width="24" style="2" customWidth="1"/>
    <col min="28" max="28" width="7.7109375" style="2" customWidth="1"/>
    <col min="29" max="32" width="8.7109375" style="2" customWidth="1"/>
    <col min="33" max="34" width="9.7109375" style="2" customWidth="1"/>
    <col min="35" max="42" width="7.7109375" style="2" customWidth="1"/>
    <col min="43" max="43" width="25.7109375" style="2" customWidth="1"/>
    <col min="44" max="44" width="12.7109375" style="2" customWidth="1"/>
    <col min="45" max="46" width="7.7109375" style="2" customWidth="1"/>
    <col min="47" max="47" width="15.28515625" style="2" customWidth="1"/>
    <col min="48" max="48" width="34.140625" style="2" customWidth="1"/>
    <col min="49" max="49" width="29.28515625" style="2" customWidth="1"/>
    <col min="50" max="50" width="23.140625" style="2" customWidth="1"/>
    <col min="51" max="51" width="24.42578125" style="2" customWidth="1"/>
    <col min="52" max="52" width="22.42578125" style="2" customWidth="1"/>
    <col min="53" max="55" width="7.7109375" style="2" customWidth="1"/>
    <col min="56" max="56" width="8.5703125" style="2" customWidth="1"/>
    <col min="57" max="57" width="9.7109375" style="2" customWidth="1"/>
    <col min="58" max="58" width="9.5703125" style="2" customWidth="1"/>
    <col min="59" max="59" width="13.42578125" style="2" customWidth="1"/>
    <col min="60" max="60" width="12.85546875" style="2" customWidth="1"/>
    <col min="61" max="61" width="15.140625" style="2" customWidth="1"/>
    <col min="62" max="62" width="16.5703125" style="2" customWidth="1"/>
    <col min="63" max="63" width="16.85546875" style="2" customWidth="1"/>
    <col min="64" max="73" width="15.7109375" style="553" customWidth="1"/>
    <col min="74" max="74" width="17.5703125" style="2" customWidth="1"/>
    <col min="75" max="75" width="15.7109375" style="2" customWidth="1"/>
    <col min="76" max="76" width="17.7109375" style="2" customWidth="1"/>
    <col min="77" max="77" width="13.7109375" style="2" customWidth="1"/>
    <col min="78" max="78" width="15.5703125" style="2" customWidth="1"/>
    <col min="79" max="80" width="21.7109375" style="2" customWidth="1"/>
    <col min="81" max="85" width="16.7109375" style="2" customWidth="1"/>
    <col min="86" max="86" width="7.7109375" style="2" customWidth="1"/>
    <col min="87" max="87" width="25.85546875" style="2" customWidth="1"/>
    <col min="88" max="88" width="21.7109375" style="2" customWidth="1"/>
    <col min="89" max="90" width="7.7109375" style="2" customWidth="1"/>
    <col min="91" max="91" width="21.7109375" style="2" customWidth="1"/>
    <col min="92" max="93" width="7.7109375" style="2" customWidth="1"/>
    <col min="94" max="94" width="21.7109375" style="2" customWidth="1"/>
    <col min="95" max="96" width="7.7109375" style="2" customWidth="1"/>
    <col min="97" max="97" width="21.7109375" style="2" customWidth="1"/>
    <col min="98" max="99" width="7.7109375" style="2" customWidth="1"/>
    <col min="100" max="100" width="21.7109375" style="2" customWidth="1"/>
    <col min="101" max="102" width="7.7109375" style="2" customWidth="1"/>
    <col min="103" max="103" width="21.7109375" style="2" customWidth="1"/>
    <col min="104" max="105" width="7.7109375" style="2" customWidth="1"/>
    <col min="106" max="106" width="21.7109375" style="2" customWidth="1"/>
    <col min="107" max="108" width="7.7109375" style="2" customWidth="1"/>
    <col min="109" max="109" width="21.7109375" style="2" customWidth="1"/>
    <col min="110" max="111" width="7.7109375" style="2" customWidth="1"/>
    <col min="112" max="112" width="21.7109375" style="2" customWidth="1"/>
    <col min="113" max="114" width="7.7109375" style="2" customWidth="1"/>
    <col min="115" max="115" width="21.7109375" style="2" customWidth="1"/>
    <col min="116" max="117" width="7.7109375" style="2" customWidth="1"/>
    <col min="118" max="118" width="9.140625" style="2"/>
    <col min="119" max="121" width="12.85546875" style="2" customWidth="1"/>
    <col min="122" max="122" width="9.140625" style="2"/>
    <col min="123" max="123" width="10.85546875" style="2" customWidth="1"/>
    <col min="124" max="124" width="11.5703125" style="2" customWidth="1"/>
    <col min="125" max="125" width="9.140625" style="2"/>
    <col min="126" max="126" width="11.7109375" style="2" customWidth="1"/>
    <col min="127" max="127" width="9.140625" style="2"/>
    <col min="128" max="128" width="11.140625" style="2" customWidth="1"/>
    <col min="129" max="129" width="12" style="2" customWidth="1"/>
    <col min="130" max="130" width="9.140625" style="2"/>
    <col min="131" max="131" width="11.42578125" style="2" customWidth="1"/>
    <col min="132" max="132" width="9.140625" style="2"/>
    <col min="133" max="133" width="15.140625" style="2" customWidth="1"/>
    <col min="134" max="140" width="9.140625" style="2"/>
    <col min="141" max="141" width="21.7109375" style="2" customWidth="1"/>
    <col min="142" max="142" width="15.140625" style="2" customWidth="1"/>
    <col min="143" max="143" width="15.28515625" style="2" customWidth="1"/>
    <col min="144" max="144" width="15" style="2" customWidth="1"/>
    <col min="145" max="145" width="14.5703125" style="2" customWidth="1"/>
    <col min="146" max="146" width="9.140625" style="2"/>
    <col min="147" max="147" width="21.85546875" style="2" customWidth="1"/>
    <col min="148" max="148" width="24" style="2" customWidth="1"/>
    <col min="149" max="149" width="12.5703125" style="2" customWidth="1"/>
    <col min="150" max="150" width="19" style="2" customWidth="1"/>
    <col min="151" max="151" width="15.5703125" style="2" customWidth="1"/>
    <col min="152" max="152" width="13.140625" style="2" customWidth="1"/>
    <col min="153" max="162" width="9.140625" style="2"/>
    <col min="163" max="163" width="14.42578125" style="2" customWidth="1"/>
    <col min="164" max="164" width="9.140625" style="2"/>
    <col min="165" max="165" width="17.85546875" style="2" customWidth="1"/>
    <col min="166" max="174" width="9.140625" style="2"/>
    <col min="175" max="176" width="14.7109375" style="2" customWidth="1"/>
    <col min="177" max="177" width="16" style="2" customWidth="1"/>
    <col min="178" max="178" width="9.140625" style="2"/>
    <col min="179" max="180" width="16.7109375" style="2" customWidth="1"/>
    <col min="181" max="181" width="23.5703125" style="2" customWidth="1"/>
    <col min="182" max="182" width="9.140625" style="2"/>
    <col min="183" max="183" width="9.140625" style="565"/>
    <col min="184" max="184" width="12" style="565" customWidth="1"/>
    <col min="185" max="185" width="9.140625" style="2"/>
    <col min="186" max="186" width="17.42578125" style="565" customWidth="1"/>
    <col min="187" max="187" width="14.85546875" style="565" customWidth="1"/>
    <col min="188" max="188" width="18.85546875" style="565" customWidth="1"/>
    <col min="189" max="189" width="9.140625" style="565" customWidth="1"/>
    <col min="191" max="191" width="16.42578125" style="2" customWidth="1"/>
    <col min="192" max="192" width="14.42578125" style="2" customWidth="1"/>
    <col min="193" max="193" width="9.140625" style="565"/>
    <col min="194" max="194" width="13.28515625" style="565" customWidth="1"/>
    <col min="195" max="195" width="13.7109375" style="565" customWidth="1"/>
    <col min="197" max="197" width="13.28515625" style="2" customWidth="1"/>
    <col min="198" max="198" width="9.140625" style="2" customWidth="1"/>
    <col min="199" max="200" width="9.140625" style="2"/>
    <col min="201" max="203" width="10.7109375" style="565" customWidth="1"/>
    <col min="205" max="205" width="15.7109375" style="565" customWidth="1"/>
    <col min="206" max="206" width="16.7109375" style="565" customWidth="1"/>
    <col min="207" max="207" width="16.85546875" style="565" customWidth="1"/>
    <col min="208" max="211" width="8.7109375" style="565" customWidth="1"/>
    <col min="212" max="213" width="12.7109375" style="565" customWidth="1"/>
    <col min="214" max="214" width="24.7109375" style="565" customWidth="1"/>
    <col min="215" max="215" width="9.140625" style="565"/>
    <col min="216" max="216" width="15.7109375" style="565" customWidth="1"/>
    <col min="217" max="217" width="16.7109375" style="565" customWidth="1"/>
    <col min="218" max="218" width="16.85546875" style="565" customWidth="1"/>
    <col min="219" max="222" width="8.7109375" style="565" customWidth="1"/>
    <col min="223" max="224" width="12.7109375" style="565" customWidth="1"/>
    <col min="225" max="225" width="24.7109375" style="565" customWidth="1"/>
    <col min="226" max="226" width="9.140625" style="565"/>
    <col min="227" max="227" width="15.7109375" style="565" customWidth="1"/>
    <col min="228" max="228" width="16.7109375" style="565" customWidth="1"/>
    <col min="229" max="229" width="16.85546875" style="565" customWidth="1"/>
    <col min="230" max="233" width="8.7109375" style="565" customWidth="1"/>
    <col min="234" max="235" width="12.7109375" style="565" customWidth="1"/>
    <col min="236" max="236" width="24.7109375" style="565" customWidth="1"/>
    <col min="237" max="237" width="9.140625" style="565"/>
    <col min="238" max="238" width="70.7109375" style="565" customWidth="1"/>
    <col min="239" max="239" width="36.140625" style="565" customWidth="1"/>
    <col min="240" max="240" width="38.5703125" style="565" customWidth="1"/>
    <col min="241" max="241" width="32.42578125" style="565" customWidth="1"/>
    <col min="242" max="242" width="32.140625" style="565" customWidth="1"/>
    <col min="243" max="245" width="9.140625" style="565"/>
    <col min="246" max="16384" width="9.140625" style="2"/>
  </cols>
  <sheetData>
    <row r="1" spans="1:245" ht="13.5" thickBot="1" x14ac:dyDescent="0.25">
      <c r="H1" s="117"/>
      <c r="W1" s="117"/>
      <c r="X1" s="1160" t="s">
        <v>444</v>
      </c>
      <c r="Y1" s="1205"/>
      <c r="Z1" s="1205"/>
      <c r="AA1" s="1205"/>
      <c r="AB1" s="1205"/>
      <c r="AC1" s="1205"/>
      <c r="AD1" s="1205"/>
      <c r="AE1" s="1205"/>
      <c r="AF1" s="1205"/>
      <c r="AG1" s="1205"/>
      <c r="AH1" s="1205"/>
      <c r="AI1" s="1205"/>
      <c r="AJ1" s="1205"/>
      <c r="AK1" s="1205"/>
      <c r="AL1" s="1205"/>
      <c r="AM1" s="1205"/>
      <c r="AN1" s="1261"/>
      <c r="AO1" s="7"/>
      <c r="AP1" s="7"/>
      <c r="BD1" s="1259" t="s">
        <v>892</v>
      </c>
      <c r="BE1" s="1259"/>
      <c r="BF1" s="1259"/>
      <c r="BG1" s="1259"/>
      <c r="BH1" s="1259"/>
      <c r="BI1" s="1259"/>
      <c r="BJ1" s="1259"/>
      <c r="BK1" s="1259"/>
      <c r="BL1" s="1259"/>
      <c r="BM1" s="1259"/>
      <c r="BN1" s="1259"/>
      <c r="BO1" s="1259"/>
      <c r="BP1" s="1259"/>
      <c r="BQ1" s="1259"/>
      <c r="BR1" s="1259"/>
      <c r="BS1" s="1259"/>
      <c r="BT1" s="1259"/>
      <c r="BU1" s="1259"/>
      <c r="BV1" s="1259"/>
      <c r="BW1" s="1259"/>
      <c r="BX1" s="1259"/>
      <c r="BY1" s="1259"/>
      <c r="BZ1" s="1259"/>
      <c r="CA1" s="1259"/>
      <c r="CB1" s="1259"/>
      <c r="CC1" s="1259"/>
      <c r="CD1" s="1259"/>
      <c r="CE1" s="1259"/>
      <c r="CF1" s="1259"/>
      <c r="CG1" s="1259"/>
      <c r="GO1" s="1250" t="s">
        <v>1203</v>
      </c>
      <c r="GP1" s="1251"/>
      <c r="GQ1" s="1251"/>
      <c r="GR1" s="1251"/>
      <c r="GS1" s="1251"/>
      <c r="GT1" s="1251"/>
      <c r="GU1" s="1251"/>
      <c r="GV1" s="1251"/>
      <c r="GW1" s="1251"/>
      <c r="GX1" s="1251"/>
      <c r="GY1" s="1251"/>
      <c r="GZ1" s="1251"/>
      <c r="HA1" s="1251"/>
      <c r="HB1" s="1251"/>
      <c r="HC1" s="1251"/>
      <c r="HD1" s="1251"/>
      <c r="HE1" s="1251"/>
      <c r="HF1" s="1251"/>
      <c r="HG1" s="1251"/>
      <c r="HH1" s="1251"/>
      <c r="HI1" s="1251"/>
      <c r="HJ1" s="1251"/>
      <c r="HK1" s="1251"/>
      <c r="HL1" s="1251"/>
      <c r="HM1" s="1251"/>
      <c r="HN1" s="1251"/>
      <c r="HO1" s="1251"/>
      <c r="HP1" s="1251"/>
      <c r="HQ1" s="1251"/>
      <c r="HR1" s="1251"/>
      <c r="HS1" s="1251"/>
      <c r="HT1" s="1251"/>
      <c r="HU1" s="1251"/>
      <c r="HV1" s="1251"/>
      <c r="HW1" s="1251"/>
      <c r="HX1" s="1251"/>
      <c r="HY1" s="1251"/>
      <c r="HZ1" s="1251"/>
      <c r="IA1" s="1251"/>
      <c r="IB1" s="1252"/>
    </row>
    <row r="2" spans="1:245" ht="13.5" thickBot="1" x14ac:dyDescent="0.25">
      <c r="H2" s="117"/>
      <c r="I2" s="1287" t="s">
        <v>628</v>
      </c>
      <c r="J2" s="1287"/>
      <c r="K2" s="1287"/>
      <c r="L2" s="1287"/>
      <c r="M2" s="1287"/>
      <c r="N2" s="1287"/>
      <c r="O2" s="1287"/>
      <c r="P2" s="1287"/>
      <c r="Q2" s="1287"/>
      <c r="R2" s="1287"/>
      <c r="S2" s="1287"/>
      <c r="T2" s="1287"/>
      <c r="U2" s="1287"/>
      <c r="V2" s="1287"/>
      <c r="W2" s="1288"/>
      <c r="X2" s="1160" t="s">
        <v>450</v>
      </c>
      <c r="Y2" s="1205"/>
      <c r="Z2" s="1205"/>
      <c r="AA2" s="1205"/>
      <c r="AB2" s="1205"/>
      <c r="AC2" s="1205"/>
      <c r="AD2" s="1205"/>
      <c r="AE2" s="1205"/>
      <c r="AF2" s="1205"/>
      <c r="AG2" s="1205"/>
      <c r="AH2" s="1205"/>
      <c r="AI2" s="1205"/>
      <c r="AJ2" s="1205"/>
      <c r="AK2" s="1205"/>
      <c r="AL2" s="1261"/>
      <c r="AM2" s="1262" t="s">
        <v>451</v>
      </c>
      <c r="AN2" s="1264"/>
      <c r="AO2" s="1264"/>
      <c r="AP2" s="1263"/>
      <c r="BD2" s="1273" t="s">
        <v>936</v>
      </c>
      <c r="BE2" s="1273"/>
      <c r="BF2" s="1273"/>
      <c r="BG2" s="1272" t="s">
        <v>274</v>
      </c>
      <c r="BH2" s="1272" t="s">
        <v>891</v>
      </c>
      <c r="BI2" s="1272"/>
      <c r="BJ2" s="1272"/>
      <c r="BK2" s="1272"/>
      <c r="BL2" s="1272"/>
      <c r="BM2" s="1272"/>
      <c r="BN2" s="1272"/>
      <c r="BO2" s="1272"/>
      <c r="BP2" s="1272"/>
      <c r="BQ2" s="1272"/>
      <c r="BR2" s="1272"/>
      <c r="BS2" s="1272"/>
      <c r="BT2" s="1272"/>
      <c r="BU2" s="1272"/>
      <c r="BV2" s="1272"/>
      <c r="BW2" s="1272"/>
      <c r="BX2" s="1272"/>
      <c r="BY2" s="1272" t="s">
        <v>933</v>
      </c>
      <c r="BZ2" s="1272"/>
      <c r="CA2" s="1272"/>
      <c r="CB2" s="1272"/>
      <c r="CC2" s="1272"/>
      <c r="CD2" s="1272"/>
      <c r="CE2" s="1272"/>
      <c r="CF2" s="1272"/>
      <c r="CG2" s="1272"/>
      <c r="FI2" s="1253" t="s">
        <v>521</v>
      </c>
      <c r="FJ2" s="973">
        <v>122</v>
      </c>
      <c r="FK2" s="974">
        <v>88</v>
      </c>
      <c r="FL2" s="974">
        <v>82</v>
      </c>
      <c r="FM2" s="974">
        <v>75</v>
      </c>
      <c r="FN2" s="974">
        <v>70</v>
      </c>
      <c r="FO2" s="974">
        <v>55</v>
      </c>
      <c r="FP2" s="974">
        <v>44</v>
      </c>
      <c r="FQ2" s="974">
        <v>38</v>
      </c>
      <c r="FR2" s="975">
        <v>35</v>
      </c>
      <c r="GW2" s="1296" t="s">
        <v>1002</v>
      </c>
      <c r="GX2" s="1297"/>
      <c r="GY2" s="1297"/>
      <c r="GZ2" s="1297"/>
      <c r="HA2" s="1297"/>
      <c r="HB2" s="1297"/>
      <c r="HC2" s="1297"/>
      <c r="HD2" s="1297"/>
      <c r="HE2" s="1297"/>
      <c r="HF2" s="1298"/>
      <c r="HH2" s="1296" t="s">
        <v>1004</v>
      </c>
      <c r="HI2" s="1297"/>
      <c r="HJ2" s="1297"/>
      <c r="HK2" s="1297"/>
      <c r="HL2" s="1297"/>
      <c r="HM2" s="1297"/>
      <c r="HN2" s="1297"/>
      <c r="HO2" s="1297"/>
      <c r="HP2" s="1297"/>
      <c r="HQ2" s="1298"/>
      <c r="HS2" s="1296" t="s">
        <v>1003</v>
      </c>
      <c r="HT2" s="1297"/>
      <c r="HU2" s="1297"/>
      <c r="HV2" s="1297"/>
      <c r="HW2" s="1297"/>
      <c r="HX2" s="1297"/>
      <c r="HY2" s="1297"/>
      <c r="HZ2" s="1297"/>
      <c r="IA2" s="1297"/>
      <c r="IB2" s="1298"/>
    </row>
    <row r="3" spans="1:245" ht="13.5" customHeight="1" thickBot="1" x14ac:dyDescent="0.25">
      <c r="H3" s="117"/>
      <c r="I3" s="1252" t="s">
        <v>617</v>
      </c>
      <c r="J3" s="1259"/>
      <c r="K3" s="1259"/>
      <c r="L3" s="1259"/>
      <c r="M3" s="1250" t="s">
        <v>619</v>
      </c>
      <c r="N3" s="1251"/>
      <c r="O3" s="1259" t="s">
        <v>624</v>
      </c>
      <c r="P3" s="1259"/>
      <c r="Q3" s="1259"/>
      <c r="R3" s="1251" t="s">
        <v>618</v>
      </c>
      <c r="S3" s="1251"/>
      <c r="T3" s="1252"/>
      <c r="U3" s="1259" t="s">
        <v>437</v>
      </c>
      <c r="V3" s="1259"/>
      <c r="W3" s="1260"/>
      <c r="X3" s="414" t="s">
        <v>806</v>
      </c>
      <c r="Y3" s="411" t="s">
        <v>149</v>
      </c>
      <c r="Z3" s="411" t="s">
        <v>149</v>
      </c>
      <c r="AA3" s="411" t="s">
        <v>837</v>
      </c>
      <c r="AB3" s="411" t="s">
        <v>105</v>
      </c>
      <c r="AC3" s="1250" t="s">
        <v>149</v>
      </c>
      <c r="AD3" s="1251"/>
      <c r="AE3" s="1251"/>
      <c r="AF3" s="1252"/>
      <c r="AG3" s="411" t="s">
        <v>814</v>
      </c>
      <c r="AH3" s="411" t="s">
        <v>362</v>
      </c>
      <c r="AI3" s="1250" t="s">
        <v>807</v>
      </c>
      <c r="AJ3" s="1251"/>
      <c r="AK3" s="1251"/>
      <c r="AL3" s="1295"/>
      <c r="AM3" s="1262" t="s">
        <v>113</v>
      </c>
      <c r="AN3" s="1263"/>
      <c r="AO3" s="1262" t="s">
        <v>114</v>
      </c>
      <c r="AP3" s="1263"/>
      <c r="AU3" s="1266" t="s">
        <v>950</v>
      </c>
      <c r="AV3" s="1267"/>
      <c r="AW3" s="1267"/>
      <c r="AX3" s="1267"/>
      <c r="AY3" s="1267"/>
      <c r="AZ3" s="1268"/>
      <c r="BD3" s="1273"/>
      <c r="BE3" s="1273"/>
      <c r="BF3" s="1273"/>
      <c r="BG3" s="1272"/>
      <c r="BH3" s="1272" t="s">
        <v>932</v>
      </c>
      <c r="BI3" s="1272"/>
      <c r="BJ3" s="1272"/>
      <c r="BK3" s="1272"/>
      <c r="BL3" s="1272" t="s">
        <v>893</v>
      </c>
      <c r="BM3" s="1272"/>
      <c r="BN3" s="1272"/>
      <c r="BO3" s="1272"/>
      <c r="BP3" s="1272"/>
      <c r="BQ3" s="1272"/>
      <c r="BR3" s="1272"/>
      <c r="BS3" s="1272"/>
      <c r="BT3" s="1272"/>
      <c r="BU3" s="1272"/>
      <c r="BV3" s="1272"/>
      <c r="BW3" s="1272"/>
      <c r="BX3" s="1272"/>
      <c r="BY3" s="1272" t="s">
        <v>932</v>
      </c>
      <c r="BZ3" s="1272"/>
      <c r="CA3" s="1272"/>
      <c r="CB3" s="1272"/>
      <c r="CC3" s="1272" t="s">
        <v>893</v>
      </c>
      <c r="CD3" s="1272"/>
      <c r="CE3" s="1272"/>
      <c r="CF3" s="1272"/>
      <c r="CG3" s="1272"/>
      <c r="CI3" s="1265" t="s">
        <v>636</v>
      </c>
      <c r="CJ3" s="1265"/>
      <c r="CK3" s="1265"/>
      <c r="CL3" s="1265"/>
      <c r="CM3" s="1265"/>
      <c r="CN3" s="1265"/>
      <c r="CO3" s="1265"/>
      <c r="CP3" s="1265"/>
      <c r="CQ3" s="1265"/>
      <c r="CR3" s="1265"/>
      <c r="CS3" s="1265"/>
      <c r="CT3" s="1265"/>
      <c r="CU3" s="1265"/>
      <c r="CV3" s="1265"/>
      <c r="CW3" s="1265"/>
      <c r="CX3" s="1265"/>
      <c r="CY3" s="1265"/>
      <c r="CZ3" s="1265"/>
      <c r="DA3" s="1265"/>
      <c r="DB3" s="1265"/>
      <c r="DC3" s="1265"/>
      <c r="DD3" s="1265"/>
      <c r="DE3" s="1265"/>
      <c r="DF3" s="1265"/>
      <c r="DG3" s="1265"/>
      <c r="DH3" s="1265"/>
      <c r="DI3" s="1265"/>
      <c r="DJ3" s="1265"/>
      <c r="DK3" s="1265"/>
      <c r="DL3" s="1265"/>
      <c r="DM3" s="1265"/>
      <c r="DN3" s="578"/>
      <c r="DO3" s="1239" t="s">
        <v>424</v>
      </c>
      <c r="DP3" s="1224"/>
      <c r="DQ3" s="1240"/>
      <c r="DR3" s="578"/>
      <c r="DS3" s="1213" t="s">
        <v>784</v>
      </c>
      <c r="DT3" s="1213"/>
      <c r="DU3" s="1213"/>
      <c r="DV3" s="1213"/>
      <c r="DW3" s="357"/>
      <c r="DX3" s="1213" t="s">
        <v>783</v>
      </c>
      <c r="DY3" s="1213"/>
      <c r="DZ3" s="1213"/>
      <c r="EA3" s="1213"/>
      <c r="EC3" s="1243" t="s">
        <v>762</v>
      </c>
      <c r="ED3" s="1244"/>
      <c r="EE3" s="1245"/>
      <c r="EF3" s="560"/>
      <c r="EG3" s="1246" t="s">
        <v>100</v>
      </c>
      <c r="EH3" s="1248" t="s">
        <v>239</v>
      </c>
      <c r="EI3" s="1235" t="s">
        <v>229</v>
      </c>
      <c r="EJ3" s="1235" t="s">
        <v>230</v>
      </c>
      <c r="EK3" s="1241" t="s">
        <v>773</v>
      </c>
      <c r="EL3" s="1233" t="s">
        <v>772</v>
      </c>
      <c r="EM3" s="1233" t="s">
        <v>767</v>
      </c>
      <c r="EN3" s="1233" t="s">
        <v>766</v>
      </c>
      <c r="EO3" s="1233" t="s">
        <v>768</v>
      </c>
      <c r="EP3" s="1235" t="s">
        <v>231</v>
      </c>
      <c r="EQ3" s="1233" t="s">
        <v>770</v>
      </c>
      <c r="ER3" s="1237" t="s">
        <v>771</v>
      </c>
      <c r="ES3" s="1233" t="s">
        <v>769</v>
      </c>
      <c r="ET3" s="1224" t="s">
        <v>781</v>
      </c>
      <c r="EU3" s="1224" t="s">
        <v>765</v>
      </c>
      <c r="EV3" s="1226" t="s">
        <v>428</v>
      </c>
      <c r="EW3" s="1228" t="s">
        <v>232</v>
      </c>
      <c r="EX3" s="1229"/>
      <c r="EY3" s="1229"/>
      <c r="EZ3" s="1229"/>
      <c r="FA3" s="1229"/>
      <c r="FB3" s="1229"/>
      <c r="FC3" s="1229"/>
      <c r="FD3" s="1229"/>
      <c r="FE3" s="1230"/>
      <c r="FF3" s="9"/>
      <c r="FG3" s="26"/>
      <c r="FH3" s="26"/>
      <c r="FI3" s="1254"/>
      <c r="FJ3" s="1205" t="s">
        <v>1205</v>
      </c>
      <c r="FK3" s="1205"/>
      <c r="FL3" s="1205"/>
      <c r="FM3" s="1205"/>
      <c r="FN3" s="1205"/>
      <c r="FO3" s="1205"/>
      <c r="FP3" s="1205"/>
      <c r="FQ3" s="1205"/>
      <c r="FR3" s="1205"/>
      <c r="FS3" s="1231" t="s">
        <v>523</v>
      </c>
      <c r="FT3" s="1232"/>
      <c r="FU3" s="26"/>
      <c r="FV3" s="9"/>
      <c r="FY3" s="578"/>
      <c r="FZ3" s="578"/>
      <c r="GA3" s="1216" t="s">
        <v>1204</v>
      </c>
      <c r="GB3" s="1159"/>
      <c r="GC3" s="1159"/>
      <c r="GD3" s="1159"/>
      <c r="GE3" s="1159"/>
      <c r="GF3" s="1159"/>
      <c r="GG3" s="1159"/>
      <c r="GH3" s="1159"/>
      <c r="GI3" s="1159"/>
      <c r="GJ3" s="1159"/>
      <c r="GK3" s="1159"/>
      <c r="GL3" s="1159"/>
      <c r="GM3" s="1160"/>
      <c r="GO3" s="1308" t="s">
        <v>1022</v>
      </c>
      <c r="GP3" s="1278" t="s">
        <v>456</v>
      </c>
      <c r="GQ3" s="1279"/>
      <c r="GR3" s="1280"/>
      <c r="GS3" s="1278" t="s">
        <v>1010</v>
      </c>
      <c r="GT3" s="1279"/>
      <c r="GU3" s="1280"/>
      <c r="GW3" s="805"/>
      <c r="GX3" s="805"/>
      <c r="GY3" s="806"/>
      <c r="GZ3" s="1281" t="s">
        <v>456</v>
      </c>
      <c r="HA3" s="1282"/>
      <c r="HB3" s="1281" t="s">
        <v>999</v>
      </c>
      <c r="HC3" s="1283"/>
      <c r="HD3" s="1304" t="s">
        <v>1015</v>
      </c>
      <c r="HE3" s="1304"/>
      <c r="HF3" s="1304" t="s">
        <v>1014</v>
      </c>
      <c r="HH3" s="805"/>
      <c r="HI3" s="805"/>
      <c r="HJ3" s="806"/>
      <c r="HK3" s="1281" t="s">
        <v>456</v>
      </c>
      <c r="HL3" s="1282"/>
      <c r="HM3" s="1281" t="s">
        <v>999</v>
      </c>
      <c r="HN3" s="1283"/>
      <c r="HO3" s="1304" t="s">
        <v>1015</v>
      </c>
      <c r="HP3" s="1304"/>
      <c r="HQ3" s="1304" t="s">
        <v>1014</v>
      </c>
      <c r="HS3" s="805"/>
      <c r="HT3" s="805"/>
      <c r="HU3" s="806"/>
      <c r="HV3" s="1281" t="s">
        <v>456</v>
      </c>
      <c r="HW3" s="1282"/>
      <c r="HX3" s="1281" t="s">
        <v>999</v>
      </c>
      <c r="HY3" s="1283"/>
      <c r="HZ3" s="1304" t="s">
        <v>1015</v>
      </c>
      <c r="IA3" s="1304"/>
      <c r="IB3" s="1304" t="s">
        <v>1014</v>
      </c>
      <c r="IC3" s="41"/>
      <c r="IE3" s="41"/>
      <c r="IJ3" s="41"/>
      <c r="IK3" s="41"/>
    </row>
    <row r="4" spans="1:245" ht="39" customHeight="1" thickBot="1" x14ac:dyDescent="0.25">
      <c r="A4" s="1289" t="s">
        <v>445</v>
      </c>
      <c r="B4" s="1289" t="s">
        <v>446</v>
      </c>
      <c r="C4" s="1289" t="s">
        <v>466</v>
      </c>
      <c r="D4" s="1289" t="s">
        <v>95</v>
      </c>
      <c r="E4" s="1294" t="s">
        <v>634</v>
      </c>
      <c r="F4" s="1289" t="s">
        <v>456</v>
      </c>
      <c r="G4" s="1289" t="s">
        <v>1070</v>
      </c>
      <c r="H4" s="277" t="s">
        <v>446</v>
      </c>
      <c r="I4" s="579" t="s">
        <v>616</v>
      </c>
      <c r="J4" s="580" t="s">
        <v>620</v>
      </c>
      <c r="K4" s="580" t="s">
        <v>621</v>
      </c>
      <c r="L4" s="580" t="s">
        <v>622</v>
      </c>
      <c r="M4" s="580" t="s">
        <v>180</v>
      </c>
      <c r="N4" s="580" t="s">
        <v>623</v>
      </c>
      <c r="O4" s="580" t="s">
        <v>626</v>
      </c>
      <c r="P4" s="580" t="s">
        <v>625</v>
      </c>
      <c r="Q4" s="580" t="s">
        <v>627</v>
      </c>
      <c r="R4" s="580" t="s">
        <v>435</v>
      </c>
      <c r="S4" s="580" t="s">
        <v>436</v>
      </c>
      <c r="T4" s="580" t="s">
        <v>447</v>
      </c>
      <c r="U4" s="581" t="s">
        <v>448</v>
      </c>
      <c r="V4" s="581" t="s">
        <v>449</v>
      </c>
      <c r="W4" s="582" t="s">
        <v>447</v>
      </c>
      <c r="X4" s="579" t="s">
        <v>808</v>
      </c>
      <c r="Y4" s="580" t="s">
        <v>805</v>
      </c>
      <c r="Z4" s="580" t="s">
        <v>809</v>
      </c>
      <c r="AA4" s="580" t="s">
        <v>180</v>
      </c>
      <c r="AB4" s="580" t="s">
        <v>183</v>
      </c>
      <c r="AC4" s="580" t="s">
        <v>810</v>
      </c>
      <c r="AD4" s="580" t="s">
        <v>811</v>
      </c>
      <c r="AE4" s="580" t="s">
        <v>810</v>
      </c>
      <c r="AF4" s="580" t="s">
        <v>811</v>
      </c>
      <c r="AG4" s="580" t="s">
        <v>181</v>
      </c>
      <c r="AH4" s="580" t="s">
        <v>181</v>
      </c>
      <c r="AI4" s="580" t="s">
        <v>808</v>
      </c>
      <c r="AJ4" s="580" t="s">
        <v>180</v>
      </c>
      <c r="AK4" s="580" t="s">
        <v>183</v>
      </c>
      <c r="AL4" s="583" t="s">
        <v>181</v>
      </c>
      <c r="AM4" s="579" t="s">
        <v>183</v>
      </c>
      <c r="AN4" s="582" t="s">
        <v>181</v>
      </c>
      <c r="AO4" s="579" t="s">
        <v>183</v>
      </c>
      <c r="AP4" s="582" t="s">
        <v>181</v>
      </c>
      <c r="AQ4" s="584" t="s">
        <v>345</v>
      </c>
      <c r="AR4" s="584"/>
      <c r="AS4" s="585"/>
      <c r="AT4" s="7"/>
      <c r="AU4" s="1269"/>
      <c r="AV4" s="1270"/>
      <c r="AW4" s="1270"/>
      <c r="AX4" s="1270"/>
      <c r="AY4" s="1270"/>
      <c r="AZ4" s="1271"/>
      <c r="BA4" s="7"/>
      <c r="BB4" s="7"/>
      <c r="BC4" s="7"/>
      <c r="BD4" s="535" t="s">
        <v>761</v>
      </c>
      <c r="BE4" s="535" t="s">
        <v>239</v>
      </c>
      <c r="BF4" s="535" t="s">
        <v>894</v>
      </c>
      <c r="BG4" s="536" t="s">
        <v>168</v>
      </c>
      <c r="BH4" s="536" t="s">
        <v>168</v>
      </c>
      <c r="BI4" s="536" t="s">
        <v>160</v>
      </c>
      <c r="BJ4" s="536" t="s">
        <v>161</v>
      </c>
      <c r="BK4" s="536" t="s">
        <v>169</v>
      </c>
      <c r="BL4" s="535" t="s">
        <v>956</v>
      </c>
      <c r="BM4" s="535" t="s">
        <v>946</v>
      </c>
      <c r="BN4" s="535" t="s">
        <v>957</v>
      </c>
      <c r="BO4" s="535" t="s">
        <v>945</v>
      </c>
      <c r="BP4" s="535" t="s">
        <v>958</v>
      </c>
      <c r="BQ4" s="535" t="s">
        <v>945</v>
      </c>
      <c r="BR4" s="535" t="s">
        <v>959</v>
      </c>
      <c r="BS4" s="535" t="s">
        <v>944</v>
      </c>
      <c r="BT4" s="535" t="s">
        <v>960</v>
      </c>
      <c r="BU4" s="535" t="s">
        <v>943</v>
      </c>
      <c r="BV4" s="535" t="s">
        <v>961</v>
      </c>
      <c r="BW4" s="535" t="s">
        <v>963</v>
      </c>
      <c r="BX4" s="535" t="s">
        <v>962</v>
      </c>
      <c r="BY4" s="536" t="s">
        <v>168</v>
      </c>
      <c r="BZ4" s="536" t="s">
        <v>942</v>
      </c>
      <c r="CA4" s="536" t="s">
        <v>934</v>
      </c>
      <c r="CB4" s="536" t="s">
        <v>935</v>
      </c>
      <c r="CC4" s="535" t="s">
        <v>951</v>
      </c>
      <c r="CD4" s="535" t="s">
        <v>952</v>
      </c>
      <c r="CE4" s="535" t="s">
        <v>953</v>
      </c>
      <c r="CF4" s="535" t="s">
        <v>954</v>
      </c>
      <c r="CG4" s="535" t="s">
        <v>955</v>
      </c>
      <c r="CI4" s="1274" t="s">
        <v>482</v>
      </c>
      <c r="CJ4" s="1206" t="s">
        <v>460</v>
      </c>
      <c r="CK4" s="1207"/>
      <c r="CL4" s="1208"/>
      <c r="CM4" s="1207" t="s">
        <v>471</v>
      </c>
      <c r="CN4" s="1207"/>
      <c r="CO4" s="1208"/>
      <c r="CP4" s="1207" t="s">
        <v>472</v>
      </c>
      <c r="CQ4" s="1207"/>
      <c r="CR4" s="1208"/>
      <c r="CS4" s="1207" t="s">
        <v>473</v>
      </c>
      <c r="CT4" s="1207"/>
      <c r="CU4" s="1208"/>
      <c r="CV4" s="1207" t="s">
        <v>474</v>
      </c>
      <c r="CW4" s="1207"/>
      <c r="CX4" s="1208"/>
      <c r="CY4" s="1207" t="s">
        <v>479</v>
      </c>
      <c r="CZ4" s="1207"/>
      <c r="DA4" s="1208"/>
      <c r="DB4" s="1207" t="s">
        <v>478</v>
      </c>
      <c r="DC4" s="1207"/>
      <c r="DD4" s="1208"/>
      <c r="DE4" s="1207" t="s">
        <v>477</v>
      </c>
      <c r="DF4" s="1207"/>
      <c r="DG4" s="1208"/>
      <c r="DH4" s="1207" t="s">
        <v>476</v>
      </c>
      <c r="DI4" s="1207"/>
      <c r="DJ4" s="1208"/>
      <c r="DK4" s="1207" t="s">
        <v>480</v>
      </c>
      <c r="DL4" s="1207"/>
      <c r="DM4" s="1208"/>
      <c r="DO4" s="57" t="s">
        <v>218</v>
      </c>
      <c r="DP4" s="566" t="s">
        <v>428</v>
      </c>
      <c r="DQ4" s="58" t="s">
        <v>429</v>
      </c>
      <c r="DS4" s="567" t="s">
        <v>580</v>
      </c>
      <c r="DT4" s="567" t="s">
        <v>2</v>
      </c>
      <c r="DU4" s="567" t="s">
        <v>761</v>
      </c>
      <c r="DV4" s="567" t="s">
        <v>782</v>
      </c>
      <c r="DW4" s="357"/>
      <c r="DX4" s="567" t="s">
        <v>580</v>
      </c>
      <c r="DY4" s="567" t="s">
        <v>2</v>
      </c>
      <c r="DZ4" s="567" t="s">
        <v>761</v>
      </c>
      <c r="EA4" s="567" t="s">
        <v>782</v>
      </c>
      <c r="EC4" s="558" t="s">
        <v>578</v>
      </c>
      <c r="ED4" s="558" t="s">
        <v>764</v>
      </c>
      <c r="EE4" s="558" t="s">
        <v>635</v>
      </c>
      <c r="EF4" s="9"/>
      <c r="EG4" s="1247"/>
      <c r="EH4" s="1249"/>
      <c r="EI4" s="1236"/>
      <c r="EJ4" s="1236"/>
      <c r="EK4" s="1242"/>
      <c r="EL4" s="1234"/>
      <c r="EM4" s="1234"/>
      <c r="EN4" s="1234"/>
      <c r="EO4" s="1234"/>
      <c r="EP4" s="1236"/>
      <c r="EQ4" s="1234"/>
      <c r="ER4" s="1238"/>
      <c r="ES4" s="1234"/>
      <c r="ET4" s="1225"/>
      <c r="EU4" s="1225"/>
      <c r="EV4" s="1227"/>
      <c r="EW4" s="16" t="s">
        <v>221</v>
      </c>
      <c r="EX4" s="12" t="s">
        <v>220</v>
      </c>
      <c r="EY4" s="12" t="s">
        <v>222</v>
      </c>
      <c r="EZ4" s="12" t="s">
        <v>223</v>
      </c>
      <c r="FA4" s="12" t="s">
        <v>224</v>
      </c>
      <c r="FB4" s="12" t="s">
        <v>225</v>
      </c>
      <c r="FC4" s="12" t="s">
        <v>226</v>
      </c>
      <c r="FD4" s="12" t="s">
        <v>227</v>
      </c>
      <c r="FE4" s="17" t="s">
        <v>228</v>
      </c>
      <c r="FF4" s="26"/>
      <c r="FG4" s="165" t="s">
        <v>231</v>
      </c>
      <c r="FH4" s="166" t="s">
        <v>241</v>
      </c>
      <c r="FI4" s="171" t="s">
        <v>232</v>
      </c>
      <c r="FJ4" s="177" t="s">
        <v>221</v>
      </c>
      <c r="FK4" s="172" t="s">
        <v>220</v>
      </c>
      <c r="FL4" s="172" t="s">
        <v>222</v>
      </c>
      <c r="FM4" s="172" t="s">
        <v>223</v>
      </c>
      <c r="FN4" s="172" t="s">
        <v>224</v>
      </c>
      <c r="FO4" s="172" t="s">
        <v>225</v>
      </c>
      <c r="FP4" s="172" t="s">
        <v>226</v>
      </c>
      <c r="FQ4" s="172" t="s">
        <v>227</v>
      </c>
      <c r="FR4" s="171" t="s">
        <v>228</v>
      </c>
      <c r="FS4" s="159" t="s">
        <v>861</v>
      </c>
      <c r="FT4" s="176" t="s">
        <v>522</v>
      </c>
      <c r="FU4" s="590" t="s">
        <v>242</v>
      </c>
      <c r="FV4" s="50"/>
      <c r="FW4" s="446" t="s">
        <v>507</v>
      </c>
      <c r="FX4" s="2" t="s">
        <v>578</v>
      </c>
      <c r="FY4" s="445" t="s">
        <v>978</v>
      </c>
      <c r="GA4" s="527" t="s">
        <v>997</v>
      </c>
      <c r="GB4" s="527" t="s">
        <v>998</v>
      </c>
      <c r="GC4" s="527" t="s">
        <v>999</v>
      </c>
      <c r="GD4" s="942" t="s">
        <v>1027</v>
      </c>
      <c r="GE4" s="942" t="s">
        <v>1028</v>
      </c>
      <c r="GF4" s="942" t="s">
        <v>1029</v>
      </c>
      <c r="GG4" s="941" t="s">
        <v>997</v>
      </c>
      <c r="GH4" s="101"/>
      <c r="GI4" s="942" t="s">
        <v>1024</v>
      </c>
      <c r="GJ4" s="942" t="s">
        <v>1023</v>
      </c>
      <c r="GK4" s="817"/>
      <c r="GL4" s="943" t="s">
        <v>578</v>
      </c>
      <c r="GM4" s="943" t="s">
        <v>1025</v>
      </c>
      <c r="GO4" s="1309"/>
      <c r="GP4" s="779" t="s">
        <v>1002</v>
      </c>
      <c r="GQ4" s="581" t="s">
        <v>1004</v>
      </c>
      <c r="GR4" s="582" t="s">
        <v>1003</v>
      </c>
      <c r="GS4" s="779" t="s">
        <v>1002</v>
      </c>
      <c r="GT4" s="581" t="s">
        <v>1004</v>
      </c>
      <c r="GU4" s="582" t="s">
        <v>1003</v>
      </c>
      <c r="GW4" s="527" t="s">
        <v>1011</v>
      </c>
      <c r="GX4" s="756" t="s">
        <v>1013</v>
      </c>
      <c r="GY4" s="804" t="s">
        <v>1012</v>
      </c>
      <c r="GZ4" s="796" t="s">
        <v>1000</v>
      </c>
      <c r="HA4" s="778" t="s">
        <v>1001</v>
      </c>
      <c r="HB4" s="796" t="s">
        <v>1000</v>
      </c>
      <c r="HC4" s="801" t="s">
        <v>1001</v>
      </c>
      <c r="HD4" s="1289"/>
      <c r="HE4" s="1289"/>
      <c r="HF4" s="1289"/>
      <c r="HG4" s="800"/>
      <c r="HH4" s="527" t="s">
        <v>1011</v>
      </c>
      <c r="HI4" s="756" t="s">
        <v>1013</v>
      </c>
      <c r="HJ4" s="804" t="s">
        <v>1012</v>
      </c>
      <c r="HK4" s="796" t="s">
        <v>1000</v>
      </c>
      <c r="HL4" s="778" t="s">
        <v>1001</v>
      </c>
      <c r="HM4" s="796" t="s">
        <v>1000</v>
      </c>
      <c r="HN4" s="801" t="s">
        <v>1001</v>
      </c>
      <c r="HO4" s="1289"/>
      <c r="HP4" s="1289"/>
      <c r="HQ4" s="1289"/>
      <c r="HS4" s="527" t="s">
        <v>1011</v>
      </c>
      <c r="HT4" s="756" t="s">
        <v>1013</v>
      </c>
      <c r="HU4" s="804" t="s">
        <v>1012</v>
      </c>
      <c r="HV4" s="796" t="s">
        <v>1000</v>
      </c>
      <c r="HW4" s="778" t="s">
        <v>1001</v>
      </c>
      <c r="HX4" s="796" t="s">
        <v>1000</v>
      </c>
      <c r="HY4" s="801" t="s">
        <v>1001</v>
      </c>
      <c r="HZ4" s="1289"/>
      <c r="IA4" s="1289"/>
      <c r="IB4" s="1289"/>
      <c r="IC4" s="741"/>
      <c r="ID4" s="875" t="s">
        <v>1089</v>
      </c>
      <c r="IE4" s="741"/>
      <c r="IJ4" s="741"/>
      <c r="IK4" s="741"/>
    </row>
    <row r="5" spans="1:245" ht="13.5" customHeight="1" thickBot="1" x14ac:dyDescent="0.25">
      <c r="A5" s="1289"/>
      <c r="B5" s="1289"/>
      <c r="C5" s="1289"/>
      <c r="D5" s="1289"/>
      <c r="E5" s="1294"/>
      <c r="F5" s="1289"/>
      <c r="G5" s="1289"/>
      <c r="H5" s="148" t="s">
        <v>100</v>
      </c>
      <c r="I5" s="263">
        <v>27</v>
      </c>
      <c r="J5" s="264">
        <v>36</v>
      </c>
      <c r="K5" s="264">
        <v>54</v>
      </c>
      <c r="L5" s="264">
        <v>63</v>
      </c>
      <c r="M5" s="264">
        <v>36</v>
      </c>
      <c r="N5" s="264">
        <v>90</v>
      </c>
      <c r="O5" s="264">
        <v>45</v>
      </c>
      <c r="P5" s="264">
        <v>81</v>
      </c>
      <c r="Q5" s="264">
        <v>99</v>
      </c>
      <c r="R5" s="264">
        <v>9</v>
      </c>
      <c r="S5" s="264">
        <v>9</v>
      </c>
      <c r="T5" s="265">
        <v>18</v>
      </c>
      <c r="U5" s="262">
        <v>15.3</v>
      </c>
      <c r="V5" s="264">
        <v>15.3</v>
      </c>
      <c r="W5" s="278">
        <v>33</v>
      </c>
      <c r="X5" s="263">
        <v>18</v>
      </c>
      <c r="Y5" s="264">
        <v>18</v>
      </c>
      <c r="Z5" s="264">
        <v>36</v>
      </c>
      <c r="AA5" s="264">
        <v>36</v>
      </c>
      <c r="AB5" s="264">
        <v>54</v>
      </c>
      <c r="AC5" s="264">
        <v>36</v>
      </c>
      <c r="AD5" s="264">
        <v>54</v>
      </c>
      <c r="AE5" s="264">
        <v>36</v>
      </c>
      <c r="AF5" s="264">
        <v>54</v>
      </c>
      <c r="AG5" s="264">
        <v>72</v>
      </c>
      <c r="AH5" s="264">
        <v>90</v>
      </c>
      <c r="AI5" s="264">
        <v>27</v>
      </c>
      <c r="AJ5" s="264">
        <v>54</v>
      </c>
      <c r="AK5" s="264">
        <v>81</v>
      </c>
      <c r="AL5" s="278">
        <v>108</v>
      </c>
      <c r="AM5" s="263">
        <f>35*3</f>
        <v>105</v>
      </c>
      <c r="AN5" s="278">
        <f>35*4</f>
        <v>140</v>
      </c>
      <c r="AO5" s="263">
        <f>140</f>
        <v>140</v>
      </c>
      <c r="AP5" s="278">
        <f>185</f>
        <v>185</v>
      </c>
      <c r="AQ5" s="425" t="s">
        <v>629</v>
      </c>
      <c r="AR5" s="137" t="s">
        <v>142</v>
      </c>
      <c r="AS5" s="145" t="s">
        <v>83</v>
      </c>
      <c r="AT5" s="7"/>
      <c r="AU5" s="280" t="s">
        <v>464</v>
      </c>
      <c r="AV5" s="1250" t="s">
        <v>461</v>
      </c>
      <c r="AW5" s="1252"/>
      <c r="AX5" s="440" t="s">
        <v>462</v>
      </c>
      <c r="AY5" s="440" t="s">
        <v>467</v>
      </c>
      <c r="AZ5" s="444" t="s">
        <v>463</v>
      </c>
      <c r="BA5" s="7"/>
      <c r="BB5" s="7"/>
      <c r="BC5" s="510">
        <f>IF($C$6&amp;Бланк!$E$36&amp;IF(Габариты!$AS$6="снизу",Габариты!$AS$6,"сверху")=$BD5&amp;$BE5&amp;$BF5,1,0)</f>
        <v>0</v>
      </c>
      <c r="BD5" s="423">
        <v>3</v>
      </c>
      <c r="BE5" s="532" t="s">
        <v>43</v>
      </c>
      <c r="BF5" s="532" t="s">
        <v>79</v>
      </c>
      <c r="BG5" s="533">
        <v>200</v>
      </c>
      <c r="BH5" s="533">
        <v>250</v>
      </c>
      <c r="BI5" s="533">
        <v>500</v>
      </c>
      <c r="BJ5" s="533">
        <v>500</v>
      </c>
      <c r="BK5" s="533">
        <v>650</v>
      </c>
      <c r="BL5" s="549">
        <v>400</v>
      </c>
      <c r="BM5" s="549">
        <v>600</v>
      </c>
      <c r="BN5" s="549">
        <v>400</v>
      </c>
      <c r="BO5" s="549">
        <v>600</v>
      </c>
      <c r="BP5" s="549">
        <v>400</v>
      </c>
      <c r="BQ5" s="549">
        <v>600</v>
      </c>
      <c r="BR5" s="549">
        <v>400</v>
      </c>
      <c r="BS5" s="549">
        <v>600</v>
      </c>
      <c r="BT5" s="549">
        <v>400</v>
      </c>
      <c r="BU5" s="549">
        <v>600</v>
      </c>
      <c r="BV5" s="532">
        <v>700</v>
      </c>
      <c r="BW5" s="532">
        <v>725</v>
      </c>
      <c r="BX5" s="532">
        <v>725</v>
      </c>
      <c r="BY5" s="533">
        <v>250</v>
      </c>
      <c r="BZ5" s="533">
        <v>450</v>
      </c>
      <c r="CA5" s="533">
        <v>550</v>
      </c>
      <c r="CB5" s="533">
        <v>675</v>
      </c>
      <c r="CC5" s="532">
        <v>825</v>
      </c>
      <c r="CD5" s="532">
        <v>825</v>
      </c>
      <c r="CE5" s="532">
        <v>825</v>
      </c>
      <c r="CF5" s="532">
        <v>825</v>
      </c>
      <c r="CG5" s="532">
        <v>925</v>
      </c>
      <c r="CI5" s="1275"/>
      <c r="CJ5" s="158" t="s">
        <v>469</v>
      </c>
      <c r="CK5" s="158" t="s">
        <v>286</v>
      </c>
      <c r="CL5" s="158" t="s">
        <v>99</v>
      </c>
      <c r="CM5" s="158" t="s">
        <v>469</v>
      </c>
      <c r="CN5" s="158" t="s">
        <v>286</v>
      </c>
      <c r="CO5" s="158" t="s">
        <v>99</v>
      </c>
      <c r="CP5" s="158" t="s">
        <v>469</v>
      </c>
      <c r="CQ5" s="158" t="s">
        <v>286</v>
      </c>
      <c r="CR5" s="158" t="s">
        <v>99</v>
      </c>
      <c r="CS5" s="158" t="s">
        <v>469</v>
      </c>
      <c r="CT5" s="158" t="s">
        <v>286</v>
      </c>
      <c r="CU5" s="158" t="s">
        <v>99</v>
      </c>
      <c r="CV5" s="158" t="s">
        <v>469</v>
      </c>
      <c r="CW5" s="158" t="s">
        <v>286</v>
      </c>
      <c r="CX5" s="158" t="s">
        <v>99</v>
      </c>
      <c r="CY5" s="158" t="s">
        <v>469</v>
      </c>
      <c r="CZ5" s="158" t="s">
        <v>286</v>
      </c>
      <c r="DA5" s="158" t="s">
        <v>99</v>
      </c>
      <c r="DB5" s="158" t="s">
        <v>469</v>
      </c>
      <c r="DC5" s="158" t="s">
        <v>286</v>
      </c>
      <c r="DD5" s="158" t="s">
        <v>99</v>
      </c>
      <c r="DE5" s="158" t="s">
        <v>469</v>
      </c>
      <c r="DF5" s="158" t="s">
        <v>286</v>
      </c>
      <c r="DG5" s="158" t="s">
        <v>99</v>
      </c>
      <c r="DH5" s="158" t="s">
        <v>469</v>
      </c>
      <c r="DI5" s="158" t="s">
        <v>286</v>
      </c>
      <c r="DJ5" s="158" t="s">
        <v>99</v>
      </c>
      <c r="DK5" s="158" t="s">
        <v>469</v>
      </c>
      <c r="DL5" s="158" t="s">
        <v>286</v>
      </c>
      <c r="DM5" s="158" t="s">
        <v>99</v>
      </c>
      <c r="DO5" s="55" t="s">
        <v>228</v>
      </c>
      <c r="DP5" s="24">
        <v>35</v>
      </c>
      <c r="DQ5" s="46" t="s">
        <v>256</v>
      </c>
      <c r="DS5" s="352" t="str">
        <f>DT5&amp;DU5</f>
        <v>TN-C1</v>
      </c>
      <c r="DT5" s="569" t="s">
        <v>6</v>
      </c>
      <c r="DU5" s="569">
        <v>1</v>
      </c>
      <c r="DV5" s="569">
        <v>2</v>
      </c>
      <c r="DW5" s="358"/>
      <c r="DX5" s="352" t="str">
        <f>DY5&amp;DZ5</f>
        <v>TN-C1</v>
      </c>
      <c r="DY5" s="569" t="s">
        <v>6</v>
      </c>
      <c r="DZ5" s="569">
        <v>1</v>
      </c>
      <c r="EA5" s="569">
        <v>2</v>
      </c>
      <c r="EC5" s="559">
        <v>0.5</v>
      </c>
      <c r="ED5" s="559">
        <v>1</v>
      </c>
      <c r="EE5" s="352">
        <v>1.5</v>
      </c>
      <c r="EF5" s="9"/>
      <c r="EG5" s="49">
        <f>Бланк!$H$46</f>
        <v>400</v>
      </c>
      <c r="EH5" s="32" t="str">
        <f>Бланк!$E$36</f>
        <v>IP41</v>
      </c>
      <c r="EI5" s="23" t="s">
        <v>116</v>
      </c>
      <c r="EJ5" s="23">
        <f>Бланк!$O$11</f>
        <v>1</v>
      </c>
      <c r="EK5" s="320">
        <f>IFERROR(VALUE(MID(Бланк!$L$11,1,1)),1)*$EJ5</f>
        <v>1</v>
      </c>
      <c r="EL5" s="577" t="str">
        <f>IF(EJ5=EK5,MID(Бланк!$L$11,1,100),MID(Бланк!$L$11,3,100))</f>
        <v/>
      </c>
      <c r="EM5" s="23">
        <f>Бланк!$M$11</f>
        <v>0</v>
      </c>
      <c r="EN5" s="365" t="str">
        <f>_xlfn.IFNA(VLOOKUP(Бланк!$K$3&amp;Габариты!$C6,$DS:$DV,4,FALSE)&amp;"x"&amp;VLOOKUP(Проверки!$D4,$EC:$EE,3,FALSE),0)</f>
        <v>5x120</v>
      </c>
      <c r="EO5" s="354" t="str">
        <f>IF(ISTEXT(EM5),EM5,EN5)</f>
        <v>5x120</v>
      </c>
      <c r="EP5" s="24" t="str">
        <f>Бланк!$N$11</f>
        <v>сверху</v>
      </c>
      <c r="EQ5" s="353">
        <f>_xlfn.IFNA(VLOOKUP(EL5&amp;" "&amp;EO5,'Список кабелей'!$I:$J,2,FALSE),0)</f>
        <v>0</v>
      </c>
      <c r="ER5" s="353" t="str">
        <f>IF(OR(EL5="-",EO5="-",EP5="-",Проверки!$D4=""),0,VLOOKUP(EO5,'Список кабелей'!$D:$J,7,FALSE))</f>
        <v>MG63</v>
      </c>
      <c r="ES5" s="356" t="str">
        <f>IF(ISTEXT(EQ5),EQ5,ER5)</f>
        <v>MG63</v>
      </c>
      <c r="ET5" s="360">
        <f>EK5*_xlfn.IFNA(VLOOKUP(Проверки!$D4,$EC:$EE,2,FALSE),0)</f>
        <v>1</v>
      </c>
      <c r="EU5" s="44">
        <f>IF(EK5,EK5,ET5)</f>
        <v>1</v>
      </c>
      <c r="EV5" s="56">
        <f>IF(ER5=0,0,VLOOKUP(ER5,$DO$5:$DP$13,2,0))</f>
        <v>88</v>
      </c>
      <c r="EW5" s="55">
        <f>IF($ES5=EW$4,$EK5,0)</f>
        <v>0</v>
      </c>
      <c r="EX5" s="24">
        <f t="shared" ref="EX5:FE21" si="0">IF($ES5=EX$4,$EK5,0)</f>
        <v>1</v>
      </c>
      <c r="EY5" s="24">
        <f t="shared" si="0"/>
        <v>0</v>
      </c>
      <c r="EZ5" s="24">
        <f t="shared" si="0"/>
        <v>0</v>
      </c>
      <c r="FA5" s="24">
        <f t="shared" si="0"/>
        <v>0</v>
      </c>
      <c r="FB5" s="24">
        <f t="shared" si="0"/>
        <v>0</v>
      </c>
      <c r="FC5" s="24">
        <f t="shared" si="0"/>
        <v>0</v>
      </c>
      <c r="FD5" s="24">
        <f t="shared" si="0"/>
        <v>0</v>
      </c>
      <c r="FE5" s="46">
        <f t="shared" si="0"/>
        <v>0</v>
      </c>
      <c r="FF5" s="9"/>
      <c r="FG5" s="1201" t="s">
        <v>79</v>
      </c>
      <c r="FH5" s="1185" t="s">
        <v>234</v>
      </c>
      <c r="FI5" s="167" t="s">
        <v>240</v>
      </c>
      <c r="FJ5" s="946">
        <f t="shared" ref="FJ5:FR5" si="1">SUMIF($EP$5:$EP$20,"сверху",EW$5:EW$20)</f>
        <v>0</v>
      </c>
      <c r="FK5" s="947">
        <f t="shared" si="1"/>
        <v>1</v>
      </c>
      <c r="FL5" s="947">
        <f t="shared" si="1"/>
        <v>0</v>
      </c>
      <c r="FM5" s="947">
        <f t="shared" si="1"/>
        <v>0</v>
      </c>
      <c r="FN5" s="947">
        <f t="shared" si="1"/>
        <v>0</v>
      </c>
      <c r="FO5" s="947">
        <f t="shared" si="1"/>
        <v>0</v>
      </c>
      <c r="FP5" s="947">
        <f t="shared" si="1"/>
        <v>3</v>
      </c>
      <c r="FQ5" s="947">
        <f t="shared" si="1"/>
        <v>0</v>
      </c>
      <c r="FR5" s="948">
        <f t="shared" si="1"/>
        <v>9</v>
      </c>
      <c r="FS5" s="174"/>
      <c r="FT5" s="1195">
        <f>MID($FH5,1,3)-70</f>
        <v>130</v>
      </c>
      <c r="FU5" s="1198" t="b">
        <f>AND(NOT(ISERROR(SUM(FJ6:FR9))),MAX(FS6,FS9)&lt;($EG$5-100))</f>
        <v>1</v>
      </c>
      <c r="FV5" s="9"/>
      <c r="FW5" s="280" t="s">
        <v>544</v>
      </c>
      <c r="FX5" s="565"/>
      <c r="FY5" s="747">
        <v>10</v>
      </c>
      <c r="GA5" s="785" t="s">
        <v>85</v>
      </c>
      <c r="GB5" s="785" t="str">
        <f>Бланк!C13</f>
        <v>1 (пофазно)</v>
      </c>
      <c r="GC5" s="785">
        <f>Бланк!D13</f>
        <v>40</v>
      </c>
      <c r="GD5" s="786">
        <f t="shared" ref="GD5:GD19" si="2">VLOOKUP(GC5,GL$5:GM$30,2,FALSE)</f>
        <v>11</v>
      </c>
      <c r="GE5" s="786" t="b">
        <f>NOT(ISERR(SEARCH("пофазно",GB5)))</f>
        <v>1</v>
      </c>
      <c r="GF5" s="786">
        <f>GD5*GE5</f>
        <v>11</v>
      </c>
      <c r="GG5" s="785">
        <v>1</v>
      </c>
      <c r="GI5" s="785">
        <f>SMALL(GF$5:GF$24,ROW(GI1))</f>
        <v>0</v>
      </c>
      <c r="GJ5" s="786">
        <f ca="1">VLOOKUP(GI5,IF(GI5=GI4,OFFSET(GF$5,GJ4,0,ROWS(GF$5:GG$24)-GJ4,COLUMNS(GF$5:GG$24)),GF$5:GG$24),COLUMNS(GF$5:GG$24),FALSE)</f>
        <v>3</v>
      </c>
      <c r="GL5" s="498">
        <v>630</v>
      </c>
      <c r="GM5" s="786">
        <v>1</v>
      </c>
      <c r="GO5" s="748">
        <v>125</v>
      </c>
      <c r="GP5" s="280">
        <f ca="1">SUMIFS(D!BY$85:BY$104,D!$BR$85:$BR$104,$GO5)</f>
        <v>0</v>
      </c>
      <c r="GQ5" s="757">
        <f ca="1">SUMIFS(D!BZ$85:BZ$99,D!$BR$85:$BR$99,$GO5)</f>
        <v>0</v>
      </c>
      <c r="GR5" s="758">
        <f ca="1">SUMIFS(D!CA$85:CA$99,D!$BR$85:$BR$99,$GO5)</f>
        <v>0</v>
      </c>
      <c r="GS5" s="759">
        <f>SUMIFS(D!BY$85:BY$99,D!$BP$85:$BP$99,TRUE,D!$BR$85:$BR$99,Габариты!$GO5)</f>
        <v>0</v>
      </c>
      <c r="GT5" s="269">
        <f>SUMIFS(D!BZ$85:BZ$99,D!$BP$85:$BP$99,TRUE,D!$BR$85:$BR$99,Габариты!$GO5)</f>
        <v>0</v>
      </c>
      <c r="GU5" s="424">
        <f>SUMIFS(D!CA$85:CA$99,D!$BP$85:$BP$99,TRUE,D!$BR$85:$BR$99,Габариты!$GO5)</f>
        <v>0</v>
      </c>
      <c r="GW5" s="737">
        <v>0</v>
      </c>
      <c r="GX5" s="757">
        <f>ROUNDDOWN(ABS(GW5)/$GO5,0)</f>
        <v>0</v>
      </c>
      <c r="GY5" s="753">
        <f ca="1">IF($GP5-GX5&gt;0,$GP5-GX5,0)</f>
        <v>0</v>
      </c>
      <c r="GZ5" s="280">
        <f ca="1">IF(AND(GW5&lt;=0,$GP5),MIN($GP5,GX5),0)+ROUNDUP(GY5/2,0)</f>
        <v>0</v>
      </c>
      <c r="HA5" s="758">
        <f ca="1">IF(AND(GW5&gt;0,$GP5),MIN($GP5,GX5),0)+ROUNDDOWN(GY5/2,0)</f>
        <v>0</v>
      </c>
      <c r="HB5" s="280">
        <f ca="1">$GO5*GZ5</f>
        <v>0</v>
      </c>
      <c r="HC5" s="753">
        <f ca="1">$GO5*HA5</f>
        <v>0</v>
      </c>
      <c r="HD5" s="802" t="b">
        <f t="shared" ref="HD5:HD24" ca="1" si="3">AND($GS5,GZ5)</f>
        <v>0</v>
      </c>
      <c r="HE5" s="802" t="b">
        <f t="shared" ref="HE5:HE24" ca="1" si="4">AND($GS5,HA5)</f>
        <v>0</v>
      </c>
      <c r="HF5" s="754" t="b">
        <f ca="1">AND($GS5&gt;=2,GZ5,HA5)</f>
        <v>0</v>
      </c>
      <c r="HH5" s="737">
        <v>0</v>
      </c>
      <c r="HI5" s="757">
        <f>ROUNDDOWN(ABS(HH5)/$GO5,0)</f>
        <v>0</v>
      </c>
      <c r="HJ5" s="753">
        <f ca="1">IF($GQ5-HI5&gt;0,$GQ5-HI5,0)</f>
        <v>0</v>
      </c>
      <c r="HK5" s="280">
        <f t="shared" ref="HK5:HK10" ca="1" si="5">IF(AND(HH5&lt;=0,$GQ5),MIN($GQ5,HI5),0)+ROUNDUP(HJ5/2,0)</f>
        <v>0</v>
      </c>
      <c r="HL5" s="758">
        <f t="shared" ref="HL5:HL10" ca="1" si="6">IF(AND(HH5&gt;0,$GQ5),MIN($GQ5,HI5),0)+ROUNDDOWN(HJ5/2,0)</f>
        <v>0</v>
      </c>
      <c r="HM5" s="280">
        <f ca="1">$GO5*HK5</f>
        <v>0</v>
      </c>
      <c r="HN5" s="753">
        <f ca="1">$GO5*HL5</f>
        <v>0</v>
      </c>
      <c r="HO5" s="802" t="b">
        <f t="shared" ref="HO5:HO24" ca="1" si="7">AND($GS5,HK5)</f>
        <v>0</v>
      </c>
      <c r="HP5" s="802" t="b">
        <f t="shared" ref="HP5:HP24" ca="1" si="8">AND($GS5,HL5)</f>
        <v>0</v>
      </c>
      <c r="HQ5" s="754" t="b">
        <f ca="1">AND($GS5&gt;=2,HK5,HL5)</f>
        <v>0</v>
      </c>
      <c r="HS5" s="737">
        <v>0</v>
      </c>
      <c r="HT5" s="757">
        <f>ROUNDDOWN(ABS(HS5)/$GO5,0)</f>
        <v>0</v>
      </c>
      <c r="HU5" s="753">
        <f ca="1">IF($GR5-HT5&gt;0,$GR5-HT5,0)</f>
        <v>0</v>
      </c>
      <c r="HV5" s="280">
        <f ca="1">IF(AND(HS5&lt;=0,$GR5),MIN($GR5,HT5),0)+ROUNDUP(HU5/2,0)</f>
        <v>0</v>
      </c>
      <c r="HW5" s="758">
        <f ca="1">IF(AND(HS5&gt;0,$GR5),MIN($GR5,HT5),0)+ROUNDDOWN(HU5/2,0)</f>
        <v>0</v>
      </c>
      <c r="HX5" s="280">
        <f ca="1">$GO5*HV5</f>
        <v>0</v>
      </c>
      <c r="HY5" s="753">
        <f ca="1">$GO5*HW5</f>
        <v>0</v>
      </c>
      <c r="HZ5" s="802" t="b">
        <f t="shared" ref="HZ5:HZ24" ca="1" si="9">AND($GS5,HV5)</f>
        <v>0</v>
      </c>
      <c r="IA5" s="802" t="b">
        <f t="shared" ref="IA5:IA24" ca="1" si="10">AND($GS5,HW5)</f>
        <v>0</v>
      </c>
      <c r="IB5" s="754" t="b">
        <f ca="1">AND($GS5&gt;=2,HV5,HW5)</f>
        <v>0</v>
      </c>
      <c r="ID5" s="61" t="s">
        <v>1076</v>
      </c>
    </row>
    <row r="6" spans="1:245" x14ac:dyDescent="0.2">
      <c r="A6" s="65" t="s">
        <v>135</v>
      </c>
      <c r="B6" s="141" t="str">
        <f>MID(Бланк!B11,1,3)</f>
        <v>NSX</v>
      </c>
      <c r="C6" s="149" t="str">
        <f>IF(ISBLANK(Бланк!$C11),0,MID(Бланк!$C11,1,1))</f>
        <v>3</v>
      </c>
      <c r="D6" s="60">
        <f>Бланк!D11</f>
        <v>250</v>
      </c>
      <c r="E6" s="267" t="b">
        <f>AND(MID(Бланк!$H11,1,3)&lt;&gt;"-",MID(Бланк!$H11,1,3)&lt;&gt;"")</f>
        <v>0</v>
      </c>
      <c r="F6" s="149">
        <f>Бланк!$O11</f>
        <v>1</v>
      </c>
      <c r="G6" s="60">
        <f t="shared" ref="G6:G16" si="11">IF($F6&gt;0,SUMPRODUCT($I$5:$AP$5,$I6:$AP6)/$F6,0)</f>
        <v>105</v>
      </c>
      <c r="H6" s="413">
        <f t="shared" ref="H6:H20" si="12">SUMPRODUCT($I$5:$AP$5,I6:AP6)</f>
        <v>105</v>
      </c>
      <c r="I6" s="266">
        <f>IF(AND($E6,Проверки!$I4,$D6&lt;=25,$C6="2"),$F6,0)</f>
        <v>0</v>
      </c>
      <c r="J6" s="267">
        <f>IF(AND($E6,Проверки!I4,$D6&lt;=63,$C6="2",I6=0),$F6,0)</f>
        <v>0</v>
      </c>
      <c r="K6" s="267">
        <f>IF(AND($E6,Проверки!$I4,$D6&lt;=25,$C6&gt;="3"),$F6,0)</f>
        <v>0</v>
      </c>
      <c r="L6" s="267">
        <f>IF(AND($E6,Проверки!$I4,$D6&lt;=63,C6&gt;="3",K6=0),$F6,0)</f>
        <v>0</v>
      </c>
      <c r="M6" s="267">
        <f>IF(AND($E6,Проверки!L4,$C6="2"),$F6,0)</f>
        <v>0</v>
      </c>
      <c r="N6" s="267">
        <f>IF(AND($E6,Проверки!$L4,$C6&gt;="3"),$F6,0)</f>
        <v>0</v>
      </c>
      <c r="O6" s="267">
        <f>IF(AND($E6,Проверки!$M4,$C6="2"),1,0)</f>
        <v>0</v>
      </c>
      <c r="P6" s="267">
        <f>IF(AND($E6,Проверки!$M4,$C6&gt;="3",$D6&lt;=63,ISERR(SEARCH("si",Бланк!H11))),1,0)</f>
        <v>0</v>
      </c>
      <c r="Q6" s="267">
        <f>IF(AND($E6,Проверки!$M4,$C6&gt;="3",P6=0),1,0)</f>
        <v>0</v>
      </c>
      <c r="R6" s="267">
        <f>IF(AND(Бланк!I11="+",OR(Проверки!$I4:$L4,Проверки!$O4)),$F6,0)</f>
        <v>0</v>
      </c>
      <c r="S6" s="267">
        <f>IF(AND(Бланк!J11="+",OR(Проверки!$I4:$L4,Проверки!$O4)),$F6,0)</f>
        <v>0</v>
      </c>
      <c r="T6" s="267">
        <f>IF(AND(Бланк!K11="+",OR(Проверки!$I4:$L4,Проверки!$O4)),$F6,0)</f>
        <v>0</v>
      </c>
      <c r="U6" s="269">
        <f>IF(AND(Бланк!I11="+",Проверки!$M4),Бланк!$O11,0)</f>
        <v>0</v>
      </c>
      <c r="V6" s="269">
        <f>IF(AND(Бланк!J11="+",Проверки!$M4),Бланк!$O11,0)</f>
        <v>0</v>
      </c>
      <c r="W6" s="424">
        <f>IF(AND(Бланк!K11="+",Проверки!$M4),Бланк!$O11,0)</f>
        <v>0</v>
      </c>
      <c r="X6" s="414">
        <f>IF(OR($B6="iC6",$B6="iSW"),IF(VALUE($C6)=1,$F6,0),0)</f>
        <v>0</v>
      </c>
      <c r="Y6" s="411">
        <f>IF(AND($B6="iSW",VALUE($C6)=2,$D6&lt;=32),$F6,0)</f>
        <v>0</v>
      </c>
      <c r="Z6" s="411">
        <f>IF(AND($B6="iSW",VALUE($C6)=2,$D6&gt;32),$F6,0)</f>
        <v>0</v>
      </c>
      <c r="AA6" s="276">
        <f>IF(OR($B6="iC6",$B6="C60",$B6="iID",$B6="iDP"),IF(VALUE($C6)=2,$F6,0),0)</f>
        <v>0</v>
      </c>
      <c r="AB6" s="276">
        <f>IF($B6="iC6",IF(VALUE($C6)=3,$F6,0),0)</f>
        <v>0</v>
      </c>
      <c r="AC6" s="411">
        <f>IF(AND($B6="iSW",VALUE($C6)=3,$D6&lt;=32),$F6,0)</f>
        <v>0</v>
      </c>
      <c r="AD6" s="411">
        <f>IF(AND($B6="iSW",VALUE($C6)=3,$D6&gt;32),$F6,0)</f>
        <v>0</v>
      </c>
      <c r="AE6" s="421">
        <f>IF(AND($B6="iSW",VALUE($C6)=4,$D6&lt;=32),$F6,0)</f>
        <v>0</v>
      </c>
      <c r="AF6" s="421">
        <f>IF(AND($B6="iSW",VALUE($C6)=4,$D6&gt;32),$F6,0)</f>
        <v>0</v>
      </c>
      <c r="AG6" s="276">
        <f>IF(OR($B6="iC6",$B6="iID"),IF(VALUE($C6)=4,$F6,0),0)</f>
        <v>0</v>
      </c>
      <c r="AH6" s="276">
        <f>IF($B6="DPN",IF(VALUE($C6)=4,$F6,0),0)</f>
        <v>0</v>
      </c>
      <c r="AI6" s="276">
        <f>IF(OR($B6="C12",$B6="NG1"),IF(VALUE($C6)=1,$F6,0),0)</f>
        <v>0</v>
      </c>
      <c r="AJ6" s="276">
        <f>IF(OR($B6="C12",$B6="NG1"),IF(VALUE($C6)=2,$F6,0),0)</f>
        <v>0</v>
      </c>
      <c r="AK6" s="276">
        <f>IF(OR($B6="C12",$B6="NG1"),IF(VALUE($C6)=3,$F6,0),0)</f>
        <v>0</v>
      </c>
      <c r="AL6" s="281">
        <f>IF(OR($B6="C12",$B6="NG1"),IF(VALUE($C6)=4,$F6,0),0)</f>
        <v>0</v>
      </c>
      <c r="AM6" s="414">
        <f>IF(AND($B6="NSX",$D6&lt;=250,VALUE($C6)=3),$F6,0)</f>
        <v>1</v>
      </c>
      <c r="AN6" s="281">
        <f>IF(AND($B6="NSX",$D6&lt;=250,VALUE($C6)=4),$F6,0)</f>
        <v>0</v>
      </c>
      <c r="AO6" s="443">
        <f>IF(AND($B6="NSX",$D6&gt;250,VALUE($C6)=3),$F6,0)</f>
        <v>0</v>
      </c>
      <c r="AP6" s="444">
        <f>IF(AND($B6="NSX",$D6&gt;250,VALUE($C6)=4),$F6,0)</f>
        <v>0</v>
      </c>
      <c r="AQ6" s="416">
        <f>IF(MID(Бланк!L11,1,1)="3",3,IF(MID(Бланк!L11,1,1)="2",2,1))</f>
        <v>1</v>
      </c>
      <c r="AR6" s="62">
        <f>IF(ISERROR(VALUE(MID(Бланк!M11,3,LEN(Бланк!M11)-SEARCH("x",Бланк!M11)))),0,VALUE(MID(Бланк!M11,3,LEN(Бланк!M11)-SEARCH("x",Бланк!M11))))</f>
        <v>0</v>
      </c>
      <c r="AS6" s="62" t="str">
        <f>Бланк!N11</f>
        <v>сверху</v>
      </c>
      <c r="AT6" s="7"/>
      <c r="AU6" s="280" t="s">
        <v>84</v>
      </c>
      <c r="AV6" s="440">
        <v>25</v>
      </c>
      <c r="AW6" s="440">
        <v>35</v>
      </c>
      <c r="AX6" s="440">
        <v>50</v>
      </c>
      <c r="AY6" s="440">
        <v>70</v>
      </c>
      <c r="AZ6" s="444">
        <v>95</v>
      </c>
      <c r="BA6" s="7"/>
      <c r="BB6" s="7"/>
      <c r="BC6" s="510">
        <f>IF($C$6&amp;Бланк!$E$36&amp;IF(Габариты!$AS$6="снизу",Габариты!$AS$6,"сверху")=$BD6&amp;$BE6&amp;$BF6,1,0)</f>
        <v>0</v>
      </c>
      <c r="BD6" s="509">
        <v>3</v>
      </c>
      <c r="BE6" s="528" t="s">
        <v>43</v>
      </c>
      <c r="BF6" s="528" t="s">
        <v>80</v>
      </c>
      <c r="BG6" s="530">
        <v>200</v>
      </c>
      <c r="BH6" s="530">
        <v>250</v>
      </c>
      <c r="BI6" s="530">
        <v>300</v>
      </c>
      <c r="BJ6" s="530">
        <v>500</v>
      </c>
      <c r="BK6" s="530">
        <v>450</v>
      </c>
      <c r="BL6" s="550">
        <v>400</v>
      </c>
      <c r="BM6" s="550">
        <v>400</v>
      </c>
      <c r="BN6" s="550">
        <v>400</v>
      </c>
      <c r="BO6" s="550">
        <v>400</v>
      </c>
      <c r="BP6" s="550">
        <v>400</v>
      </c>
      <c r="BQ6" s="550">
        <v>400</v>
      </c>
      <c r="BR6" s="550">
        <v>400</v>
      </c>
      <c r="BS6" s="550">
        <v>400</v>
      </c>
      <c r="BT6" s="550">
        <v>400</v>
      </c>
      <c r="BU6" s="550">
        <v>400</v>
      </c>
      <c r="BV6" s="528">
        <v>700</v>
      </c>
      <c r="BW6" s="528">
        <v>725</v>
      </c>
      <c r="BX6" s="528">
        <v>725</v>
      </c>
      <c r="BY6" s="530">
        <v>250</v>
      </c>
      <c r="BZ6" s="530">
        <v>250</v>
      </c>
      <c r="CA6" s="530">
        <v>550</v>
      </c>
      <c r="CB6" s="530">
        <v>675</v>
      </c>
      <c r="CC6" s="528">
        <v>825</v>
      </c>
      <c r="CD6" s="528">
        <v>825</v>
      </c>
      <c r="CE6" s="528">
        <v>825</v>
      </c>
      <c r="CF6" s="528">
        <v>825</v>
      </c>
      <c r="CG6" s="528">
        <v>925</v>
      </c>
      <c r="CI6" s="279" t="s">
        <v>685</v>
      </c>
      <c r="CJ6" s="279">
        <f>IF(OR($G6=0,$B6="NSX",Проверки!$B$2),0,ROUNDDOWN($A$68/$G6,0))</f>
        <v>0</v>
      </c>
      <c r="CK6" s="279">
        <f t="shared" ref="CK6:CK21" si="13">IF(CJ6&gt;=$F6,$F6,CJ6)</f>
        <v>0</v>
      </c>
      <c r="CL6" s="279">
        <f>IF(OR(ISNUMBER(SEARCH("АВР",Бланк!B11)),$B$6="NSX"),0,$G6)</f>
        <v>0</v>
      </c>
      <c r="CM6" s="450">
        <v>0</v>
      </c>
      <c r="CN6" s="450">
        <v>0</v>
      </c>
      <c r="CO6" s="450">
        <v>0</v>
      </c>
      <c r="CP6" s="450">
        <v>0</v>
      </c>
      <c r="CQ6" s="450">
        <v>0</v>
      </c>
      <c r="CR6" s="450">
        <v>0</v>
      </c>
      <c r="CS6" s="450">
        <v>0</v>
      </c>
      <c r="CT6" s="450">
        <v>0</v>
      </c>
      <c r="CU6" s="450">
        <v>0</v>
      </c>
      <c r="CV6" s="450">
        <v>0</v>
      </c>
      <c r="CW6" s="450">
        <v>0</v>
      </c>
      <c r="CX6" s="450">
        <v>0</v>
      </c>
      <c r="CY6" s="450">
        <v>0</v>
      </c>
      <c r="CZ6" s="450">
        <v>0</v>
      </c>
      <c r="DA6" s="450">
        <v>0</v>
      </c>
      <c r="DB6" s="450">
        <v>0</v>
      </c>
      <c r="DC6" s="450">
        <v>0</v>
      </c>
      <c r="DD6" s="450">
        <v>0</v>
      </c>
      <c r="DE6" s="450">
        <v>0</v>
      </c>
      <c r="DF6" s="450">
        <v>0</v>
      </c>
      <c r="DG6" s="450">
        <v>0</v>
      </c>
      <c r="DH6" s="450">
        <v>0</v>
      </c>
      <c r="DI6" s="450">
        <v>0</v>
      </c>
      <c r="DJ6" s="450">
        <v>0</v>
      </c>
      <c r="DK6" s="450">
        <v>0</v>
      </c>
      <c r="DL6" s="450">
        <v>0</v>
      </c>
      <c r="DM6" s="450">
        <v>0</v>
      </c>
      <c r="DO6" s="29" t="s">
        <v>227</v>
      </c>
      <c r="DP6" s="4">
        <v>38</v>
      </c>
      <c r="DQ6" s="52" t="s">
        <v>257</v>
      </c>
      <c r="DS6" s="352" t="str">
        <f t="shared" ref="DS6:DS14" si="14">DT6&amp;DU6</f>
        <v>TN-C3</v>
      </c>
      <c r="DT6" s="569" t="s">
        <v>6</v>
      </c>
      <c r="DU6" s="569">
        <v>3</v>
      </c>
      <c r="DV6" s="569">
        <v>4</v>
      </c>
      <c r="DW6" s="358"/>
      <c r="DX6" s="352" t="str">
        <f t="shared" ref="DX6:DX22" si="15">DY6&amp;DZ6</f>
        <v>TN-C3</v>
      </c>
      <c r="DY6" s="569" t="s">
        <v>6</v>
      </c>
      <c r="DZ6" s="569">
        <v>3</v>
      </c>
      <c r="EA6" s="569">
        <v>4</v>
      </c>
      <c r="EC6" s="559">
        <v>1</v>
      </c>
      <c r="ED6" s="559">
        <v>1</v>
      </c>
      <c r="EE6" s="352">
        <v>1.5</v>
      </c>
      <c r="EF6" s="9"/>
      <c r="EG6" s="1246" t="s">
        <v>101</v>
      </c>
      <c r="EH6" s="32"/>
      <c r="EI6" s="21" t="s">
        <v>85</v>
      </c>
      <c r="EJ6" s="21">
        <f>Бланк!$O$13</f>
        <v>3</v>
      </c>
      <c r="EK6" s="296">
        <f>IFERROR(VALUE(MID(Бланк!$L13,1,1)),1)*EJ6</f>
        <v>3</v>
      </c>
      <c r="EL6" s="21" t="str">
        <f>IF(EJ6=EK6,MID(Бланк!$L13,1,100),MID(Бланк!$L13,3,100))</f>
        <v/>
      </c>
      <c r="EM6" s="21">
        <f>Бланк!$M13</f>
        <v>0</v>
      </c>
      <c r="EN6" s="354" t="str">
        <f>_xlfn.IFNA(VLOOKUP(Бланк!$K$3&amp;Габариты!$C7,$DX:$EA,4,FALSE)&amp;"x"&amp;VLOOKUP(Проверки!$D5,$EC:$EE,3,FALSE),0)</f>
        <v>3x10</v>
      </c>
      <c r="EO6" s="354" t="str">
        <f t="shared" ref="EO6:EO20" si="16">IF(ISTEXT(EM6),EM6,EN6)</f>
        <v>3x10</v>
      </c>
      <c r="EP6" s="4" t="str">
        <f>Бланк!$N13</f>
        <v>сверху</v>
      </c>
      <c r="EQ6" s="559">
        <f>_xlfn.IFNA(VLOOKUP(EL6&amp;" "&amp;EO6,'Список кабелей'!$I:$J,2,FALSE),0)</f>
        <v>0</v>
      </c>
      <c r="ER6" s="353" t="str">
        <f>IF(OR(EL6="-",EO6="-",EP6="-",Проверки!$D5=""),0,VLOOKUP(EO6,'Список кабелей'!$D:$J,7,FALSE))</f>
        <v>PG21</v>
      </c>
      <c r="ES6" s="559" t="str">
        <f t="shared" ref="ES6:ES20" si="17">IF(ISTEXT(EQ6),EQ6,ER6)</f>
        <v>PG21</v>
      </c>
      <c r="ET6" s="354">
        <f>EK6*_xlfn.IFNA(VLOOKUP(Проверки!$D5,$EC:$EE,2,FALSE),0)</f>
        <v>3</v>
      </c>
      <c r="EU6" s="44">
        <f t="shared" ref="EU6:EU20" si="18">IF(EK6,EK6,ET6)</f>
        <v>3</v>
      </c>
      <c r="EV6" s="56">
        <f t="shared" ref="EV6:EV20" si="19">IF(ER6=0,0,VLOOKUP(ER6,$DO$5:$DP$13,2,0))</f>
        <v>44</v>
      </c>
      <c r="EW6" s="55">
        <f t="shared" ref="EW6:FE22" si="20">IF($ES6=EW$4,$EK6,0)</f>
        <v>0</v>
      </c>
      <c r="EX6" s="24">
        <f t="shared" si="0"/>
        <v>0</v>
      </c>
      <c r="EY6" s="24">
        <f t="shared" si="0"/>
        <v>0</v>
      </c>
      <c r="EZ6" s="24">
        <f t="shared" si="0"/>
        <v>0</v>
      </c>
      <c r="FA6" s="24">
        <f t="shared" si="0"/>
        <v>0</v>
      </c>
      <c r="FB6" s="24">
        <f t="shared" si="0"/>
        <v>0</v>
      </c>
      <c r="FC6" s="24">
        <f t="shared" si="0"/>
        <v>3</v>
      </c>
      <c r="FD6" s="24">
        <f t="shared" si="0"/>
        <v>0</v>
      </c>
      <c r="FE6" s="46">
        <f t="shared" si="0"/>
        <v>0</v>
      </c>
      <c r="FF6" s="561"/>
      <c r="FG6" s="1201"/>
      <c r="FH6" s="1185"/>
      <c r="FI6" s="164" t="s">
        <v>233</v>
      </c>
      <c r="FJ6" s="949">
        <f>FJ$5/FJ$19</f>
        <v>0</v>
      </c>
      <c r="FK6" s="950">
        <f t="shared" ref="FK6:FR6" si="21">FK$5/FK$19</f>
        <v>1</v>
      </c>
      <c r="FL6" s="950">
        <f t="shared" si="21"/>
        <v>0</v>
      </c>
      <c r="FM6" s="950">
        <f t="shared" si="21"/>
        <v>0</v>
      </c>
      <c r="FN6" s="950">
        <f t="shared" si="21"/>
        <v>0</v>
      </c>
      <c r="FO6" s="950">
        <f t="shared" si="21"/>
        <v>0</v>
      </c>
      <c r="FP6" s="950">
        <f t="shared" si="21"/>
        <v>1.5</v>
      </c>
      <c r="FQ6" s="950">
        <f t="shared" si="21"/>
        <v>0</v>
      </c>
      <c r="FR6" s="951">
        <f t="shared" si="21"/>
        <v>3</v>
      </c>
      <c r="FS6" s="1193">
        <f>SUM(FJ7:FR7)</f>
        <v>281</v>
      </c>
      <c r="FT6" s="1196"/>
      <c r="FU6" s="1199"/>
      <c r="FV6" s="561"/>
      <c r="FW6" s="759" t="s">
        <v>542</v>
      </c>
      <c r="FX6" s="565"/>
      <c r="FY6" s="424">
        <v>10</v>
      </c>
      <c r="GA6" s="785" t="s">
        <v>86</v>
      </c>
      <c r="GB6" s="785" t="str">
        <f>Бланк!C14</f>
        <v>1 (пофазно)</v>
      </c>
      <c r="GC6" s="785">
        <f>Бланк!D14</f>
        <v>16</v>
      </c>
      <c r="GD6" s="786">
        <f t="shared" si="2"/>
        <v>15</v>
      </c>
      <c r="GE6" s="786" t="b">
        <f t="shared" ref="GE6:GE19" si="22">NOT(ISERR(SEARCH("пофазно",GB6)))</f>
        <v>1</v>
      </c>
      <c r="GF6" s="786">
        <f t="shared" ref="GF6:GF18" si="23">GD6*GE6</f>
        <v>15</v>
      </c>
      <c r="GG6" s="785">
        <v>2</v>
      </c>
      <c r="GI6" s="1014">
        <f t="shared" ref="GI6:GI24" si="24">SMALL(GF$5:GF$24,ROW(GI2))</f>
        <v>0</v>
      </c>
      <c r="GJ6" s="1018">
        <f t="shared" ref="GJ6:GJ24" ca="1" si="25">VLOOKUP(GI6,IF(GI6=GI5,OFFSET(GF$5,GJ5,0,ROWS(GF$5:GG$24)-GJ5,COLUMNS(GF$5:GG$24)),GF$5:GG$24),COLUMNS(GF$5:GG$24),FALSE)</f>
        <v>4</v>
      </c>
      <c r="GL6" s="498">
        <v>400</v>
      </c>
      <c r="GM6" s="786">
        <v>2</v>
      </c>
      <c r="GO6" s="746">
        <v>100</v>
      </c>
      <c r="GP6" s="280">
        <f ca="1">SUMIFS(D!BY$85:BY$104,D!$BR$85:$BR$104,$GO6)</f>
        <v>0</v>
      </c>
      <c r="GQ6" s="757">
        <f ca="1">SUMIFS(D!BZ$85:BZ$99,D!$BR$85:$BR$99,$GO6)</f>
        <v>0</v>
      </c>
      <c r="GR6" s="758">
        <f ca="1">SUMIFS(D!CA$85:CA$99,D!$BR$85:$BR$99,$GO6)</f>
        <v>0</v>
      </c>
      <c r="GS6" s="280">
        <f>SUMIFS(D!BY$85:BY$99,D!$BP$85:$BP$99,TRUE,D!$BR$85:$BR$99,Габариты!$GO6)</f>
        <v>0</v>
      </c>
      <c r="GT6" s="757">
        <f>SUMIFS(D!BZ$85:BZ$99,D!$BP$85:$BP$99,TRUE,D!$BR$85:$BR$99,Габариты!$GO6)</f>
        <v>0</v>
      </c>
      <c r="GU6" s="758">
        <f>SUMIFS(D!CA$85:CA$99,D!$BP$85:$BP$99,TRUE,D!$BR$85:$BR$99,Габариты!$GO6)</f>
        <v>0</v>
      </c>
      <c r="GW6" s="757">
        <f ca="1">SUM(HB$5:HB5)-SUM(HC$5:HC5)</f>
        <v>0</v>
      </c>
      <c r="GX6" s="757">
        <f ca="1">ROUNDDOWN(ABS(GW6)/$GO6,0)</f>
        <v>0</v>
      </c>
      <c r="GY6" s="753">
        <f t="shared" ref="GY6:GY24" ca="1" si="26">IF($GP6-GX6&gt;0,$GP6-GX6,0)</f>
        <v>0</v>
      </c>
      <c r="GZ6" s="280">
        <f t="shared" ref="GZ6:GZ24" ca="1" si="27">IF(AND(GW6&lt;=0,$GP6),MIN($GP6,GX6),0)+ROUNDUP(GY6/2,0)</f>
        <v>0</v>
      </c>
      <c r="HA6" s="758">
        <f t="shared" ref="HA6:HA24" ca="1" si="28">IF(AND(GW6&gt;0,$GP6),MIN($GP6,GX6),0)+ROUNDDOWN(GY6/2,0)</f>
        <v>0</v>
      </c>
      <c r="HB6" s="280">
        <f t="shared" ref="HB6:HB24" ca="1" si="29">$GO6*GZ6</f>
        <v>0</v>
      </c>
      <c r="HC6" s="753">
        <f t="shared" ref="HC6:HC24" ca="1" si="30">$GO6*HA6</f>
        <v>0</v>
      </c>
      <c r="HD6" s="802" t="b">
        <f t="shared" ca="1" si="3"/>
        <v>0</v>
      </c>
      <c r="HE6" s="802" t="b">
        <f t="shared" ca="1" si="4"/>
        <v>0</v>
      </c>
      <c r="HF6" s="754" t="b">
        <f t="shared" ref="HF6:HF23" ca="1" si="31">AND($GS6&gt;=2,GZ6,HA6)</f>
        <v>0</v>
      </c>
      <c r="HH6" s="757">
        <f ca="1">SUM(HM$5:HM5)-SUM(HN$5:HN5)</f>
        <v>0</v>
      </c>
      <c r="HI6" s="757">
        <f ca="1">ROUNDDOWN(ABS(HH6)/$GO6,0)</f>
        <v>0</v>
      </c>
      <c r="HJ6" s="753">
        <f ca="1">IF($GQ6-HI6&gt;0,$GQ6-HI6,0)</f>
        <v>0</v>
      </c>
      <c r="HK6" s="280">
        <f t="shared" ca="1" si="5"/>
        <v>0</v>
      </c>
      <c r="HL6" s="758">
        <f t="shared" ca="1" si="6"/>
        <v>0</v>
      </c>
      <c r="HM6" s="280">
        <f t="shared" ref="HM6:HM24" ca="1" si="32">$GO6*HK6</f>
        <v>0</v>
      </c>
      <c r="HN6" s="753">
        <f t="shared" ref="HN6:HN24" ca="1" si="33">$GO6*HL6</f>
        <v>0</v>
      </c>
      <c r="HO6" s="802" t="b">
        <f t="shared" ca="1" si="7"/>
        <v>0</v>
      </c>
      <c r="HP6" s="802" t="b">
        <f t="shared" ca="1" si="8"/>
        <v>0</v>
      </c>
      <c r="HQ6" s="754" t="b">
        <f t="shared" ref="HQ6:HQ23" ca="1" si="34">AND($GS6&gt;=2,HK6,HL6)</f>
        <v>0</v>
      </c>
      <c r="HS6" s="757">
        <f ca="1">SUM($HB$5:$HB5)-SUM($HC$5:$HC5)</f>
        <v>0</v>
      </c>
      <c r="HT6" s="757">
        <f ca="1">ROUNDDOWN(ABS(HS6)/$GO6,0)</f>
        <v>0</v>
      </c>
      <c r="HU6" s="753">
        <f t="shared" ref="HU6:HU24" ca="1" si="35">IF($GR6-HT6&gt;0,$GR6-HT6,0)</f>
        <v>0</v>
      </c>
      <c r="HV6" s="280">
        <f t="shared" ref="HV6:HV24" ca="1" si="36">IF(AND(HS6&lt;=0,$GR6),MIN($GR6,HT6),0)+ROUNDUP(HU6/2,0)</f>
        <v>0</v>
      </c>
      <c r="HW6" s="758">
        <f t="shared" ref="HW6:HW24" ca="1" si="37">IF(AND(HS6&gt;0,$GR6),MIN($GR6,HT6),0)+ROUNDDOWN(HU6/2,0)</f>
        <v>0</v>
      </c>
      <c r="HX6" s="280">
        <f t="shared" ref="HX6:HX24" ca="1" si="38">$GO6*HV6</f>
        <v>0</v>
      </c>
      <c r="HY6" s="753">
        <f t="shared" ref="HY6:HY24" ca="1" si="39">$GO6*HW6</f>
        <v>0</v>
      </c>
      <c r="HZ6" s="802" t="b">
        <f t="shared" ca="1" si="9"/>
        <v>0</v>
      </c>
      <c r="IA6" s="802" t="b">
        <f t="shared" ca="1" si="10"/>
        <v>0</v>
      </c>
      <c r="IB6" s="754" t="b">
        <f t="shared" ref="IB6:IB23" ca="1" si="40">AND($GS6&gt;=2,HV6,HW6)</f>
        <v>0</v>
      </c>
      <c r="IC6" s="777"/>
      <c r="ID6" s="61" t="s">
        <v>1073</v>
      </c>
    </row>
    <row r="7" spans="1:245" ht="13.5" thickBot="1" x14ac:dyDescent="0.25">
      <c r="A7" s="65" t="s">
        <v>85</v>
      </c>
      <c r="B7" s="141" t="str">
        <f>MID(Бланк!B13,1,3)</f>
        <v>iC6</v>
      </c>
      <c r="C7" s="149" t="str">
        <f>IF(ISBLANK(Бланк!$C13),0,MID(Бланк!$C13,1,1))</f>
        <v>1</v>
      </c>
      <c r="D7" s="60">
        <f>Бланк!D13</f>
        <v>40</v>
      </c>
      <c r="E7" s="267" t="b">
        <f>AND(MID(Бланк!$H13,1,3)&lt;&gt;"-",MID(Бланк!$H13,1,3)&lt;&gt;"")</f>
        <v>0</v>
      </c>
      <c r="F7" s="149">
        <f>Бланк!$O13</f>
        <v>3</v>
      </c>
      <c r="G7" s="60">
        <f t="shared" si="11"/>
        <v>18</v>
      </c>
      <c r="H7" s="413">
        <f t="shared" si="12"/>
        <v>54</v>
      </c>
      <c r="I7" s="266">
        <f>IF(AND($E7,Проверки!$I5,$D7&lt;=25,$C7="2"),$F7,0)</f>
        <v>0</v>
      </c>
      <c r="J7" s="267">
        <f>IF(AND($E7,Проверки!I5,$D7&lt;=63,$C7="2",I7=0),$F7,0)</f>
        <v>0</v>
      </c>
      <c r="K7" s="267">
        <f>IF(AND($E7,Проверки!$I5,$D7&lt;=25,$C7&gt;="3"),$F7,0)</f>
        <v>0</v>
      </c>
      <c r="L7" s="267">
        <f>IF(AND($E7,Проверки!$I5,$D7&lt;=63,C7&gt;="3",K7=0),$F7,0)</f>
        <v>0</v>
      </c>
      <c r="M7" s="267">
        <f>IF(AND($E7,Проверки!L5,$C7="2"),$F7,0)</f>
        <v>0</v>
      </c>
      <c r="N7" s="267">
        <f>IF(AND($E7,Проверки!$L5,$C7&gt;="3"),$F7,0)</f>
        <v>0</v>
      </c>
      <c r="O7" s="267">
        <f>IF(AND($E7,Проверки!$M5,$C7="2"),1,0)</f>
        <v>0</v>
      </c>
      <c r="P7" s="267">
        <f>IF(AND($E7,Проверки!$M5,$C7&gt;="3",$D7&lt;=63,ISERR(SEARCH("si",Бланк!H13))),1,0)</f>
        <v>0</v>
      </c>
      <c r="Q7" s="267">
        <f>IF(AND($E7,Проверки!$M5,$C7&gt;="3",P7=0),1,0)</f>
        <v>0</v>
      </c>
      <c r="R7" s="267">
        <f>IF(AND(Бланк!I13="+",OR(Проверки!$I5:$L5,Проверки!$O5)),$F7,0)</f>
        <v>0</v>
      </c>
      <c r="S7" s="267">
        <f>IF(AND(Бланк!J13="+",OR(Проверки!$I5:$L5,Проверки!$O5)),$F7,0)</f>
        <v>0</v>
      </c>
      <c r="T7" s="267">
        <f>IF(AND(Бланк!K13="+",OR(Проверки!$I5:$L5,Проверки!$O5)),$F7,0)</f>
        <v>0</v>
      </c>
      <c r="U7" s="267">
        <f>IF(AND(Бланк!I13="+",Проверки!$M5),Бланк!$O13,0)</f>
        <v>0</v>
      </c>
      <c r="V7" s="269">
        <f>IF(AND(Бланк!J13="+",Проверки!$M5),Бланк!$O13,0)</f>
        <v>0</v>
      </c>
      <c r="W7" s="424">
        <f>IF(AND(Бланк!K13="+",Проверки!$M5),Бланк!$O13,0)</f>
        <v>0</v>
      </c>
      <c r="X7" s="414">
        <f t="shared" ref="X7:X26" si="41">IF(OR($B7="iC6",$B7="iSW"),IF(VALUE($C7)=1,$F7,0),0)</f>
        <v>3</v>
      </c>
      <c r="Y7" s="411">
        <f t="shared" ref="Y7:Y26" si="42">IF(AND($B7="iSW",VALUE($C7)=2,$D7&lt;=32),$F7,0)</f>
        <v>0</v>
      </c>
      <c r="Z7" s="411">
        <f t="shared" ref="Z7:Z26" si="43">IF(AND($B7="iSW",VALUE($C7)=2,$D7&gt;32),$F7,0)</f>
        <v>0</v>
      </c>
      <c r="AA7" s="276">
        <f t="shared" ref="AA7:AA26" si="44">IF(OR($B7="iC6",$B7="C60",$B7="iID",$B7="iDP"),IF(VALUE($C7)=2,$F7,0),0)</f>
        <v>0</v>
      </c>
      <c r="AB7" s="276">
        <f t="shared" ref="AB7:AB26" si="45">IF($B7="iC6",IF(VALUE($C7)=3,$F7,0),0)</f>
        <v>0</v>
      </c>
      <c r="AC7" s="411">
        <f t="shared" ref="AC7:AC26" si="46">IF(AND($B7="iSW",VALUE($C7)=3,$D7&lt;=32),$F7,0)</f>
        <v>0</v>
      </c>
      <c r="AD7" s="411">
        <f t="shared" ref="AD7:AD26" si="47">IF(AND($B7="iSW",VALUE($C7)=3,$D7&gt;32),$F7,0)</f>
        <v>0</v>
      </c>
      <c r="AE7" s="421">
        <f t="shared" ref="AE7:AE26" si="48">IF(AND($B7="iSW",VALUE($C7)=4,$D7&lt;=32),$F7,0)</f>
        <v>0</v>
      </c>
      <c r="AF7" s="421">
        <f t="shared" ref="AF7:AF26" si="49">IF(AND($B7="iSW",VALUE($C7)=4,$D7&gt;32),$F7,0)</f>
        <v>0</v>
      </c>
      <c r="AG7" s="276">
        <f t="shared" ref="AG7:AG26" si="50">IF(OR($B7="iC6",$B7="iID"),IF(VALUE($C7)=4,$F7,0),0)</f>
        <v>0</v>
      </c>
      <c r="AH7" s="276">
        <f t="shared" ref="AH7:AH26" si="51">IF($B7="DPN",IF(VALUE($C7)=4,$F7,0),0)</f>
        <v>0</v>
      </c>
      <c r="AI7" s="276">
        <f t="shared" ref="AI7:AI26" si="52">IF(OR($B7="C12",$B7="NG1"),IF(VALUE($C7)=1,$F7,0),0)</f>
        <v>0</v>
      </c>
      <c r="AJ7" s="276">
        <f t="shared" ref="AJ7:AJ26" si="53">IF(OR($B7="C12",$B7="NG1"),IF(VALUE($C7)=2,$F7,0),0)</f>
        <v>0</v>
      </c>
      <c r="AK7" s="276">
        <f t="shared" ref="AK7:AK26" si="54">IF(OR($B7="C12",$B7="NG1"),IF(VALUE($C7)=3,$F7,0),0)</f>
        <v>0</v>
      </c>
      <c r="AL7" s="281">
        <f t="shared" ref="AL7:AL26" si="55">IF(OR($B7="C12",$B7="NG1"),IF(VALUE($C7)=4,$F7,0),0)</f>
        <v>0</v>
      </c>
      <c r="AM7" s="443">
        <f t="shared" ref="AM7:AM26" si="56">IF(AND($B7="NSX",$D7&lt;=250,VALUE($C7)=3),$F7,0)</f>
        <v>0</v>
      </c>
      <c r="AN7" s="444">
        <f t="shared" ref="AN7:AN26" si="57">IF(AND($B7="NSX",$D7&lt;=250,VALUE($C7)=4),$F7,0)</f>
        <v>0</v>
      </c>
      <c r="AO7" s="443">
        <f t="shared" ref="AO7:AO26" si="58">IF(AND($B7="NSX",$D7&gt;250,VALUE($C7)=3),$F7,0)</f>
        <v>0</v>
      </c>
      <c r="AP7" s="444">
        <f t="shared" ref="AP7:AP26" si="59">IF(AND($B7="NSX",$D7&gt;250,VALUE($C7)=4),$F7,0)</f>
        <v>0</v>
      </c>
      <c r="AQ7" s="412">
        <f>IF(MID(Бланк!L13,1,1)="3",3,IF(MID(Бланк!L13,1,1)="2",2,1))</f>
        <v>1</v>
      </c>
      <c r="AR7" s="60">
        <f>IF(ISERROR(VALUE(MID(Бланк!M13,3,LEN(Бланк!M13)-SEARCH("x",Бланк!M13)))),0,VALUE(MID(Бланк!M13,3,LEN(Бланк!M13)-SEARCH("x",Бланк!M13))))</f>
        <v>0</v>
      </c>
      <c r="AS7" s="60" t="str">
        <f>Бланк!N13</f>
        <v>сверху</v>
      </c>
      <c r="AT7" s="7"/>
      <c r="AU7" s="282" t="s">
        <v>465</v>
      </c>
      <c r="AV7" s="283">
        <v>16</v>
      </c>
      <c r="AW7" s="283">
        <v>16</v>
      </c>
      <c r="AX7" s="283">
        <v>18.5</v>
      </c>
      <c r="AY7" s="283">
        <v>20.5</v>
      </c>
      <c r="AZ7" s="284">
        <v>27</v>
      </c>
      <c r="BA7" s="7"/>
      <c r="BB7" s="7"/>
      <c r="BC7" s="510">
        <f>IF($C$6&amp;Бланк!$E$36&amp;IF(Габариты!$AS$6="снизу",Габариты!$AS$6,"сверху")=$BD7&amp;$BE7&amp;$BF7,1,0)</f>
        <v>1</v>
      </c>
      <c r="BD7" s="509">
        <v>3</v>
      </c>
      <c r="BE7" s="528" t="s">
        <v>44</v>
      </c>
      <c r="BF7" s="528" t="s">
        <v>79</v>
      </c>
      <c r="BG7" s="530">
        <v>200</v>
      </c>
      <c r="BH7" s="530">
        <v>250</v>
      </c>
      <c r="BI7" s="530">
        <v>500</v>
      </c>
      <c r="BJ7" s="530">
        <v>500</v>
      </c>
      <c r="BK7" s="530">
        <v>650</v>
      </c>
      <c r="BL7" s="550">
        <v>400</v>
      </c>
      <c r="BM7" s="550">
        <v>600</v>
      </c>
      <c r="BN7" s="550">
        <v>400</v>
      </c>
      <c r="BO7" s="550">
        <v>600</v>
      </c>
      <c r="BP7" s="550">
        <v>400</v>
      </c>
      <c r="BQ7" s="550">
        <v>600</v>
      </c>
      <c r="BR7" s="550">
        <v>400</v>
      </c>
      <c r="BS7" s="550">
        <v>600</v>
      </c>
      <c r="BT7" s="550">
        <v>400</v>
      </c>
      <c r="BU7" s="550">
        <v>600</v>
      </c>
      <c r="BV7" s="528">
        <v>700</v>
      </c>
      <c r="BW7" s="528">
        <v>725</v>
      </c>
      <c r="BX7" s="528">
        <v>725</v>
      </c>
      <c r="BY7" s="530">
        <v>250</v>
      </c>
      <c r="BZ7" s="530">
        <v>450</v>
      </c>
      <c r="CA7" s="530">
        <v>550</v>
      </c>
      <c r="CB7" s="530">
        <v>675</v>
      </c>
      <c r="CC7" s="528">
        <v>825</v>
      </c>
      <c r="CD7" s="528">
        <v>825</v>
      </c>
      <c r="CE7" s="528">
        <v>825</v>
      </c>
      <c r="CF7" s="528">
        <v>825</v>
      </c>
      <c r="CG7" s="528">
        <v>925</v>
      </c>
      <c r="CI7" s="157" t="s">
        <v>85</v>
      </c>
      <c r="CJ7" s="157">
        <f>IF(OR($G7=0,$B7="NSX"),0,ROUNDDOWN(($A$68-SUM(CL$6:CL6))/$G7,0))</f>
        <v>15</v>
      </c>
      <c r="CK7" s="880">
        <f t="shared" si="13"/>
        <v>3</v>
      </c>
      <c r="CL7" s="157">
        <f t="shared" ref="CL7:CL21" si="60">CK7*$G7</f>
        <v>54</v>
      </c>
      <c r="CM7" s="890">
        <f>IF(OR($G7=0,$B7="NSX"),0,ROUNDDOWN(($A$68-SUM(CO$6:CO6))/$G7,0))</f>
        <v>15</v>
      </c>
      <c r="CN7" s="157">
        <f>IF(CM7&gt;=$F7-SUMIF($CK$5:CK$5,"Кол-во",$CK7:CK7),$F7-SUMIF($CK$5:CK$5,"Кол-во",$CK7:CK7),CM7)</f>
        <v>0</v>
      </c>
      <c r="CO7" s="157">
        <f t="shared" ref="CO7:CO21" si="61">CN7*$G7</f>
        <v>0</v>
      </c>
      <c r="CP7" s="890">
        <f>IF(OR($G7=0,$B7="NSX"),0,ROUNDDOWN(($A$68-SUM(CR$6:CR6))/$G7,0))</f>
        <v>15</v>
      </c>
      <c r="CQ7" s="890">
        <f>IF(CP7&gt;=$F7-SUMIF($CK$5:CN$5,"Кол-во",$CK7:CN7),$F7-SUMIF($CK$5:CN$5,"Кол-во",$CK7:CN7),CP7)</f>
        <v>0</v>
      </c>
      <c r="CR7" s="890">
        <f t="shared" ref="CR7:CR21" si="62">CQ7*$G7</f>
        <v>0</v>
      </c>
      <c r="CS7" s="890">
        <f>IF(OR($G7=0,$B7="NSX"),0,ROUNDDOWN(($A$68-SUM(CU$6:CU6))/$G7,0))</f>
        <v>15</v>
      </c>
      <c r="CT7" s="890">
        <f>IF(CS7&gt;=$F7-SUMIF($CK$5:CQ$5,"Кол-во",$CK7:CQ7),$F7-SUMIF($CK$5:CQ$5,"Кол-во",$CK7:CQ7),CS7)</f>
        <v>0</v>
      </c>
      <c r="CU7" s="890">
        <f t="shared" ref="CU7:CU21" si="63">CT7*$G7</f>
        <v>0</v>
      </c>
      <c r="CV7" s="890">
        <f>IF(OR($G7=0,$B7="NSX"),0,ROUNDDOWN(($A$68-SUM(CX$6:CX6))/$G7,0))</f>
        <v>15</v>
      </c>
      <c r="CW7" s="890">
        <f>IF(CV7&gt;=$F7-SUMIF($CK$5:CT$5,"Кол-во",$CK7:CT7),$F7-SUMIF($CK$5:CT$5,"Кол-во",$CK7:CT7),CV7)</f>
        <v>0</v>
      </c>
      <c r="CX7" s="890">
        <f t="shared" ref="CX7:CX21" si="64">CW7*$G7</f>
        <v>0</v>
      </c>
      <c r="CY7" s="890">
        <f>IF(OR($G7=0,$B7="NSX"),0,ROUNDDOWN(($A$68-SUM(DA$6:DA6))/$G7,0))</f>
        <v>15</v>
      </c>
      <c r="CZ7" s="890">
        <f>IF(CY7&gt;=$F7-SUMIF($CK$5:CW$5,"Кол-во",$CK7:CW7),$F7-SUMIF($CK$5:CW$5,"Кол-во",$CK7:CW7),CY7)</f>
        <v>0</v>
      </c>
      <c r="DA7" s="890">
        <f t="shared" ref="DA7:DA21" si="65">CZ7*$G7</f>
        <v>0</v>
      </c>
      <c r="DB7" s="890">
        <f>IF(OR($G7=0,$B7="NSX"),0,ROUNDDOWN(($A$68-SUM(DD$6:DD6))/$G7,0))</f>
        <v>15</v>
      </c>
      <c r="DC7" s="890">
        <f>IF(DB7&gt;=$F7-SUMIF($CK$5:CZ$5,"Кол-во",$CK7:CZ7),$F7-SUMIF($CK$5:CZ$5,"Кол-во",$CK7:CZ7),DB7)</f>
        <v>0</v>
      </c>
      <c r="DD7" s="890">
        <f t="shared" ref="DD7:DD21" si="66">DC7*$G7</f>
        <v>0</v>
      </c>
      <c r="DE7" s="890">
        <f>IF(OR($G7=0,$B7="NSX"),0,ROUNDDOWN(($A$68-SUM(DG$6:DG6))/$G7,0))</f>
        <v>15</v>
      </c>
      <c r="DF7" s="890">
        <f>IF(DE7&gt;=$F7-SUMIF($CK$5:DC$5,"Кол-во",$CK7:DC7),$F7-SUMIF($CK$5:DC$5,"Кол-во",$CK7:DC7),DE7)</f>
        <v>0</v>
      </c>
      <c r="DG7" s="890">
        <f t="shared" ref="DG7:DG21" si="67">DF7*$G7</f>
        <v>0</v>
      </c>
      <c r="DH7" s="890">
        <f>IF(OR($G7=0,$B7="NSX"),0,ROUNDDOWN(($A$68-SUM(DJ$6:DJ6))/$G7,0))</f>
        <v>15</v>
      </c>
      <c r="DI7" s="890">
        <f>IF(DH7&gt;=$F7-SUMIF($CK$5:DF$5,"Кол-во",$CK7:DF7),$F7-SUMIF($CK$5:DF$5,"Кол-во",$CK7:DF7),DH7)</f>
        <v>0</v>
      </c>
      <c r="DJ7" s="890">
        <f t="shared" ref="DJ7:DJ21" si="68">DI7*$G7</f>
        <v>0</v>
      </c>
      <c r="DK7" s="890">
        <f>IF(OR($G7=0,$B7="NSX"),0,ROUNDDOWN(($A$68-SUM(DM$6:DM6))/$G7,0))</f>
        <v>15</v>
      </c>
      <c r="DL7" s="890">
        <f>IF(DK7&gt;=$F7-SUMIF($CK$5:DI$5,"Кол-во",$CK7:DI7),$F7-SUMIF($CK$5:DI$5,"Кол-во",$CK7:DI7),DK7)</f>
        <v>0</v>
      </c>
      <c r="DM7" s="890">
        <f t="shared" ref="DM7:DM21" si="69">DL7*$G7</f>
        <v>0</v>
      </c>
      <c r="DO7" s="29" t="s">
        <v>226</v>
      </c>
      <c r="DP7" s="4">
        <v>44</v>
      </c>
      <c r="DQ7" s="52" t="s">
        <v>258</v>
      </c>
      <c r="DS7" s="352" t="str">
        <f t="shared" si="14"/>
        <v>TN-C-S1</v>
      </c>
      <c r="DT7" s="569" t="s">
        <v>7</v>
      </c>
      <c r="DU7" s="569">
        <v>1</v>
      </c>
      <c r="DV7" s="569">
        <v>2</v>
      </c>
      <c r="DW7" s="358"/>
      <c r="DX7" s="352" t="str">
        <f t="shared" si="15"/>
        <v>TN-C-S1</v>
      </c>
      <c r="DY7" s="569" t="s">
        <v>7</v>
      </c>
      <c r="DZ7" s="569">
        <v>1</v>
      </c>
      <c r="EA7" s="569">
        <v>3</v>
      </c>
      <c r="EC7" s="559">
        <v>1.6</v>
      </c>
      <c r="ED7" s="559">
        <v>1</v>
      </c>
      <c r="EE7" s="352">
        <v>1.5</v>
      </c>
      <c r="EF7" s="9"/>
      <c r="EG7" s="1247"/>
      <c r="EH7" s="32"/>
      <c r="EI7" s="21" t="s">
        <v>86</v>
      </c>
      <c r="EJ7" s="21">
        <f>Бланк!$O$14</f>
        <v>9</v>
      </c>
      <c r="EK7" s="296">
        <f>IFERROR(VALUE(MID(Бланк!$L14,1,1)),1)*EJ7</f>
        <v>9</v>
      </c>
      <c r="EL7" s="21" t="str">
        <f>IF(EJ7=EK7,MID(Бланк!$L14,1,100),MID(Бланк!$L14,3,100))</f>
        <v/>
      </c>
      <c r="EM7" s="21">
        <f>Бланк!$M14</f>
        <v>0</v>
      </c>
      <c r="EN7" s="354" t="str">
        <f>_xlfn.IFNA(VLOOKUP(Бланк!$K$3&amp;Габариты!$C8,$DX:$EA,4,FALSE)&amp;"x"&amp;VLOOKUP(Проверки!$D6,$EC:$EE,3,FALSE),0)</f>
        <v>3x2,5</v>
      </c>
      <c r="EO7" s="354" t="str">
        <f t="shared" si="16"/>
        <v>3x2,5</v>
      </c>
      <c r="EP7" s="4" t="str">
        <f>Бланк!$N14</f>
        <v>сверху</v>
      </c>
      <c r="EQ7" s="559">
        <f>_xlfn.IFNA(VLOOKUP(EL7&amp;" "&amp;EO7,'Список кабелей'!$I:$J,2,FALSE),0)</f>
        <v>0</v>
      </c>
      <c r="ER7" s="353" t="str">
        <f>IF(OR(EL7="-",EO7="-",EP7="-",Проверки!$D6=""),0,VLOOKUP(EO7,'Список кабелей'!$D:$J,7,FALSE))</f>
        <v>PG13</v>
      </c>
      <c r="ES7" s="559" t="str">
        <f t="shared" si="17"/>
        <v>PG13</v>
      </c>
      <c r="ET7" s="354">
        <f>EK7*_xlfn.IFNA(VLOOKUP(Проверки!$D6,$EC:$EE,2,FALSE),0)</f>
        <v>9</v>
      </c>
      <c r="EU7" s="44">
        <f t="shared" si="18"/>
        <v>9</v>
      </c>
      <c r="EV7" s="56">
        <f t="shared" si="19"/>
        <v>35</v>
      </c>
      <c r="EW7" s="55">
        <f t="shared" si="20"/>
        <v>0</v>
      </c>
      <c r="EX7" s="24">
        <f t="shared" si="0"/>
        <v>0</v>
      </c>
      <c r="EY7" s="24">
        <f t="shared" si="0"/>
        <v>0</v>
      </c>
      <c r="EZ7" s="24">
        <f t="shared" si="0"/>
        <v>0</v>
      </c>
      <c r="FA7" s="24">
        <f t="shared" si="0"/>
        <v>0</v>
      </c>
      <c r="FB7" s="24">
        <f t="shared" si="0"/>
        <v>0</v>
      </c>
      <c r="FC7" s="24">
        <f t="shared" si="0"/>
        <v>0</v>
      </c>
      <c r="FD7" s="24">
        <f t="shared" si="0"/>
        <v>0</v>
      </c>
      <c r="FE7" s="46">
        <f t="shared" si="0"/>
        <v>9</v>
      </c>
      <c r="FF7" s="561"/>
      <c r="FG7" s="1210"/>
      <c r="FH7" s="1185"/>
      <c r="FI7" s="168" t="s">
        <v>862</v>
      </c>
      <c r="FJ7" s="952">
        <f>IF(ISERROR(FJ6),0,ROUNDUP(FJ6,0))*VLOOKUP(FJ$4,$DO$5:$DP$13,2,0)</f>
        <v>0</v>
      </c>
      <c r="FK7" s="953">
        <f t="shared" ref="FK7:FR7" si="70">IF(ISERROR(FK6),0,ROUNDUP(FK6,0))*VLOOKUP(FK$4,$DO$5:$DP$13,2,0)</f>
        <v>88</v>
      </c>
      <c r="FL7" s="953">
        <f t="shared" si="70"/>
        <v>0</v>
      </c>
      <c r="FM7" s="953">
        <f t="shared" si="70"/>
        <v>0</v>
      </c>
      <c r="FN7" s="953">
        <f t="shared" si="70"/>
        <v>0</v>
      </c>
      <c r="FO7" s="953">
        <f t="shared" si="70"/>
        <v>0</v>
      </c>
      <c r="FP7" s="953">
        <f t="shared" si="70"/>
        <v>88</v>
      </c>
      <c r="FQ7" s="953">
        <f t="shared" si="70"/>
        <v>0</v>
      </c>
      <c r="FR7" s="239">
        <f t="shared" si="70"/>
        <v>105</v>
      </c>
      <c r="FS7" s="1194"/>
      <c r="FT7" s="1196"/>
      <c r="FU7" s="1199"/>
      <c r="FV7" s="561"/>
      <c r="FW7" s="759" t="s">
        <v>542</v>
      </c>
      <c r="FY7" s="424">
        <v>10</v>
      </c>
      <c r="GA7" s="785" t="s">
        <v>87</v>
      </c>
      <c r="GB7" s="785">
        <f>Бланк!C15</f>
        <v>0</v>
      </c>
      <c r="GC7" s="785">
        <f>Бланк!D15</f>
        <v>0</v>
      </c>
      <c r="GD7" s="786">
        <f t="shared" si="2"/>
        <v>26</v>
      </c>
      <c r="GE7" s="786" t="b">
        <f t="shared" si="22"/>
        <v>0</v>
      </c>
      <c r="GF7" s="786">
        <f t="shared" si="23"/>
        <v>0</v>
      </c>
      <c r="GG7" s="785">
        <v>3</v>
      </c>
      <c r="GI7" s="1014">
        <f t="shared" si="24"/>
        <v>0</v>
      </c>
      <c r="GJ7" s="1018">
        <f t="shared" ca="1" si="25"/>
        <v>5</v>
      </c>
      <c r="GL7" s="498">
        <v>250</v>
      </c>
      <c r="GM7" s="786">
        <v>3</v>
      </c>
      <c r="GO7" s="746">
        <v>80</v>
      </c>
      <c r="GP7" s="280">
        <f ca="1">SUMIFS(D!BY$85:BY$104,D!$BR$85:$BR$104,$GO7)</f>
        <v>0</v>
      </c>
      <c r="GQ7" s="757">
        <f ca="1">SUMIFS(D!BZ$85:BZ$99,D!$BR$85:$BR$99,$GO7)</f>
        <v>0</v>
      </c>
      <c r="GR7" s="758">
        <f ca="1">SUMIFS(D!CA$85:CA$99,D!$BR$85:$BR$99,$GO7)</f>
        <v>0</v>
      </c>
      <c r="GS7" s="280">
        <f>SUMIFS(D!BY$85:BY$99,D!$BP$85:$BP$99,TRUE,D!$BR$85:$BR$99,Габариты!$GO7)</f>
        <v>0</v>
      </c>
      <c r="GT7" s="757">
        <f>SUMIFS(D!BZ$85:BZ$99,D!$BP$85:$BP$99,TRUE,D!$BR$85:$BR$99,Габариты!$GO7)</f>
        <v>0</v>
      </c>
      <c r="GU7" s="758">
        <f>SUMIFS(D!CA$85:CA$99,D!$BP$85:$BP$99,TRUE,D!$BR$85:$BR$99,Габариты!$GO7)</f>
        <v>0</v>
      </c>
      <c r="GW7" s="757">
        <f ca="1">SUM(HB$5:HB6)-SUM(HC$5:HC6)</f>
        <v>0</v>
      </c>
      <c r="GX7" s="757">
        <f t="shared" ref="GX7:GX24" ca="1" si="71">ROUNDDOWN(ABS(GW7)/$GO7,0)</f>
        <v>0</v>
      </c>
      <c r="GY7" s="753">
        <f t="shared" ca="1" si="26"/>
        <v>0</v>
      </c>
      <c r="GZ7" s="280">
        <f t="shared" ca="1" si="27"/>
        <v>0</v>
      </c>
      <c r="HA7" s="758">
        <f t="shared" ca="1" si="28"/>
        <v>0</v>
      </c>
      <c r="HB7" s="280">
        <f t="shared" ca="1" si="29"/>
        <v>0</v>
      </c>
      <c r="HC7" s="753">
        <f t="shared" ca="1" si="30"/>
        <v>0</v>
      </c>
      <c r="HD7" s="802" t="b">
        <f t="shared" ca="1" si="3"/>
        <v>0</v>
      </c>
      <c r="HE7" s="802" t="b">
        <f t="shared" ca="1" si="4"/>
        <v>0</v>
      </c>
      <c r="HF7" s="754" t="b">
        <f t="shared" ca="1" si="31"/>
        <v>0</v>
      </c>
      <c r="HH7" s="757">
        <f ca="1">SUM(HM$5:HM6)-SUM(HN$5:HN6)</f>
        <v>0</v>
      </c>
      <c r="HI7" s="757">
        <f t="shared" ref="HI7:HI24" ca="1" si="72">ROUNDDOWN(ABS(HH7)/$GO7,0)</f>
        <v>0</v>
      </c>
      <c r="HJ7" s="753">
        <f t="shared" ref="HJ7:HJ24" ca="1" si="73">IF($GQ7-HI7&gt;0,$GQ7-HI7,0)</f>
        <v>0</v>
      </c>
      <c r="HK7" s="280">
        <f t="shared" ca="1" si="5"/>
        <v>0</v>
      </c>
      <c r="HL7" s="758">
        <f t="shared" ca="1" si="6"/>
        <v>0</v>
      </c>
      <c r="HM7" s="280">
        <f t="shared" ca="1" si="32"/>
        <v>0</v>
      </c>
      <c r="HN7" s="753">
        <f t="shared" ca="1" si="33"/>
        <v>0</v>
      </c>
      <c r="HO7" s="802" t="b">
        <f t="shared" ca="1" si="7"/>
        <v>0</v>
      </c>
      <c r="HP7" s="802" t="b">
        <f t="shared" ca="1" si="8"/>
        <v>0</v>
      </c>
      <c r="HQ7" s="754" t="b">
        <f t="shared" ca="1" si="34"/>
        <v>0</v>
      </c>
      <c r="HS7" s="757">
        <f ca="1">SUM($HB$5:$HB6)-SUM($HC$5:$HC6)</f>
        <v>0</v>
      </c>
      <c r="HT7" s="757">
        <f t="shared" ref="HT7:HT24" ca="1" si="74">ROUNDDOWN(ABS(HS7)/$GO7,0)</f>
        <v>0</v>
      </c>
      <c r="HU7" s="753">
        <f t="shared" ca="1" si="35"/>
        <v>0</v>
      </c>
      <c r="HV7" s="280">
        <f t="shared" ca="1" si="36"/>
        <v>0</v>
      </c>
      <c r="HW7" s="758">
        <f t="shared" ca="1" si="37"/>
        <v>0</v>
      </c>
      <c r="HX7" s="280">
        <f t="shared" ca="1" si="38"/>
        <v>0</v>
      </c>
      <c r="HY7" s="753">
        <f t="shared" ca="1" si="39"/>
        <v>0</v>
      </c>
      <c r="HZ7" s="802" t="b">
        <f t="shared" ca="1" si="9"/>
        <v>0</v>
      </c>
      <c r="IA7" s="802" t="b">
        <f t="shared" ca="1" si="10"/>
        <v>0</v>
      </c>
      <c r="IB7" s="754" t="b">
        <f t="shared" ca="1" si="40"/>
        <v>0</v>
      </c>
      <c r="IC7" s="777"/>
      <c r="ID7" s="1301" t="s">
        <v>1082</v>
      </c>
    </row>
    <row r="8" spans="1:245" ht="13.5" customHeight="1" thickBot="1" x14ac:dyDescent="0.25">
      <c r="A8" s="65" t="s">
        <v>86</v>
      </c>
      <c r="B8" s="141" t="str">
        <f>MID(Бланк!B14,1,3)</f>
        <v>iC6</v>
      </c>
      <c r="C8" s="149" t="str">
        <f>IF(ISBLANK(Бланк!$C14),0,MID(Бланк!$C14,1,1))</f>
        <v>1</v>
      </c>
      <c r="D8" s="60">
        <f>Бланк!D14</f>
        <v>16</v>
      </c>
      <c r="E8" s="267" t="b">
        <f>AND(MID(Бланк!$H14,1,3)&lt;&gt;"-",MID(Бланк!$H14,1,3)&lt;&gt;"")</f>
        <v>0</v>
      </c>
      <c r="F8" s="149">
        <f>Бланк!$O14</f>
        <v>9</v>
      </c>
      <c r="G8" s="60">
        <f t="shared" si="11"/>
        <v>18</v>
      </c>
      <c r="H8" s="143">
        <f t="shared" si="12"/>
        <v>162</v>
      </c>
      <c r="I8" s="266">
        <f>IF(AND($E8,Проверки!$I6,$D8&lt;=25,$C8="2"),$F8,0)</f>
        <v>0</v>
      </c>
      <c r="J8" s="267">
        <f>IF(AND($E8,Проверки!I6,$D8&lt;=63,$C8="2",I8=0),$F8,0)</f>
        <v>0</v>
      </c>
      <c r="K8" s="267">
        <f>IF(AND($E8,Проверки!$I6,$D8&lt;=25,$C8&gt;="3"),$F8,0)</f>
        <v>0</v>
      </c>
      <c r="L8" s="267">
        <f>IF(AND($E8,Проверки!$I6,$D8&lt;=63,C8&gt;="3",K8=0),$F8,0)</f>
        <v>0</v>
      </c>
      <c r="M8" s="267">
        <f>IF(AND($E8,Проверки!L6,$C8="2"),$F8,0)</f>
        <v>0</v>
      </c>
      <c r="N8" s="267">
        <f>IF(AND($E8,Проверки!$L6,$C8&gt;="3"),$F8,0)</f>
        <v>0</v>
      </c>
      <c r="O8" s="267">
        <f>IF(AND($E8,Проверки!$M6,$C8="2"),1,0)</f>
        <v>0</v>
      </c>
      <c r="P8" s="267">
        <f>IF(AND($E8,Проверки!$M6,$C8&gt;="3",$D8&lt;=63,ISERR(SEARCH("si",Бланк!H14))),1,0)</f>
        <v>0</v>
      </c>
      <c r="Q8" s="267">
        <f>IF(AND($E8,Проверки!$M6,$C8&gt;="3",P8=0),1,0)</f>
        <v>0</v>
      </c>
      <c r="R8" s="267">
        <f>IF(AND(Бланк!I14="+",OR(Проверки!$I6:$L6,Проверки!$O6)),$F8,0)</f>
        <v>0</v>
      </c>
      <c r="S8" s="267">
        <f>IF(AND(Бланк!J14="+",OR(Проверки!$I6:$L6,Проверки!$O6)),$F8,0)</f>
        <v>0</v>
      </c>
      <c r="T8" s="267">
        <f>IF(AND(Бланк!K14="+",OR(Проверки!$I6:$L6,Проверки!$O6)),$F8,0)</f>
        <v>0</v>
      </c>
      <c r="U8" s="267">
        <f>IF(AND(Бланк!I14="+",Проверки!$M6),Бланк!$O14,0)</f>
        <v>0</v>
      </c>
      <c r="V8" s="269">
        <f>IF(AND(Бланк!J14="+",Проверки!$M6),Бланк!$O14,0)</f>
        <v>0</v>
      </c>
      <c r="W8" s="424">
        <f>IF(AND(Бланк!K14="+",Проверки!$M6),Бланк!$O14,0)</f>
        <v>0</v>
      </c>
      <c r="X8" s="414">
        <f t="shared" si="41"/>
        <v>9</v>
      </c>
      <c r="Y8" s="411">
        <f t="shared" si="42"/>
        <v>0</v>
      </c>
      <c r="Z8" s="411">
        <f t="shared" si="43"/>
        <v>0</v>
      </c>
      <c r="AA8" s="276">
        <f t="shared" si="44"/>
        <v>0</v>
      </c>
      <c r="AB8" s="276">
        <f t="shared" si="45"/>
        <v>0</v>
      </c>
      <c r="AC8" s="411">
        <f t="shared" si="46"/>
        <v>0</v>
      </c>
      <c r="AD8" s="411">
        <f t="shared" si="47"/>
        <v>0</v>
      </c>
      <c r="AE8" s="421">
        <f t="shared" si="48"/>
        <v>0</v>
      </c>
      <c r="AF8" s="421">
        <f t="shared" si="49"/>
        <v>0</v>
      </c>
      <c r="AG8" s="276">
        <f t="shared" si="50"/>
        <v>0</v>
      </c>
      <c r="AH8" s="276">
        <f t="shared" si="51"/>
        <v>0</v>
      </c>
      <c r="AI8" s="276">
        <f t="shared" si="52"/>
        <v>0</v>
      </c>
      <c r="AJ8" s="276">
        <f t="shared" si="53"/>
        <v>0</v>
      </c>
      <c r="AK8" s="276">
        <f t="shared" si="54"/>
        <v>0</v>
      </c>
      <c r="AL8" s="281">
        <f t="shared" si="55"/>
        <v>0</v>
      </c>
      <c r="AM8" s="443">
        <f t="shared" si="56"/>
        <v>0</v>
      </c>
      <c r="AN8" s="444">
        <f t="shared" si="57"/>
        <v>0</v>
      </c>
      <c r="AO8" s="443">
        <f t="shared" si="58"/>
        <v>0</v>
      </c>
      <c r="AP8" s="444">
        <f t="shared" si="59"/>
        <v>0</v>
      </c>
      <c r="AQ8" s="412">
        <f>IF(MID(Бланк!L14,1,1)="3",3,IF(MID(Бланк!L14,1,1)="2",2,1))</f>
        <v>1</v>
      </c>
      <c r="AR8" s="60">
        <f>IF(ISERROR(VALUE(MID(Бланк!M14,3,LEN(Бланк!M14)-SEARCH("x",Бланк!M14)))),0,VALUE(MID(Бланк!M14,3,LEN(Бланк!M14)-SEARCH("x",Бланк!M14))))</f>
        <v>0</v>
      </c>
      <c r="AS8" s="60" t="str">
        <f>Бланк!N14</f>
        <v>сверху</v>
      </c>
      <c r="AT8" s="7"/>
      <c r="AU8" s="446" t="s">
        <v>507</v>
      </c>
      <c r="AV8" s="445" t="s">
        <v>514</v>
      </c>
      <c r="AW8" s="446" t="s">
        <v>688</v>
      </c>
      <c r="AX8" s="447" t="s">
        <v>686</v>
      </c>
      <c r="AY8" s="447" t="s">
        <v>690</v>
      </c>
      <c r="AZ8" s="445" t="s">
        <v>689</v>
      </c>
      <c r="BA8" s="7"/>
      <c r="BB8" s="7"/>
      <c r="BC8" s="510">
        <f>IF($C$6&amp;Бланк!$E$36&amp;IF(Габариты!$AS$6="снизу",Габариты!$AS$6,"сверху")=$BD8&amp;$BE8&amp;$BF8,1,0)</f>
        <v>0</v>
      </c>
      <c r="BD8" s="509">
        <v>3</v>
      </c>
      <c r="BE8" s="528" t="s">
        <v>44</v>
      </c>
      <c r="BF8" s="528" t="s">
        <v>80</v>
      </c>
      <c r="BG8" s="530">
        <v>200</v>
      </c>
      <c r="BH8" s="530">
        <v>250</v>
      </c>
      <c r="BI8" s="530">
        <v>300</v>
      </c>
      <c r="BJ8" s="530">
        <v>500</v>
      </c>
      <c r="BK8" s="530">
        <v>450</v>
      </c>
      <c r="BL8" s="550">
        <v>400</v>
      </c>
      <c r="BM8" s="550">
        <v>400</v>
      </c>
      <c r="BN8" s="550">
        <v>400</v>
      </c>
      <c r="BO8" s="550">
        <v>400</v>
      </c>
      <c r="BP8" s="550">
        <v>400</v>
      </c>
      <c r="BQ8" s="550">
        <v>400</v>
      </c>
      <c r="BR8" s="550">
        <v>400</v>
      </c>
      <c r="BS8" s="550">
        <v>400</v>
      </c>
      <c r="BT8" s="550">
        <v>400</v>
      </c>
      <c r="BU8" s="550">
        <v>400</v>
      </c>
      <c r="BV8" s="528">
        <v>700</v>
      </c>
      <c r="BW8" s="528">
        <v>725</v>
      </c>
      <c r="BX8" s="528">
        <v>725</v>
      </c>
      <c r="BY8" s="530">
        <v>250</v>
      </c>
      <c r="BZ8" s="530">
        <v>250</v>
      </c>
      <c r="CA8" s="530">
        <v>550</v>
      </c>
      <c r="CB8" s="530">
        <v>675</v>
      </c>
      <c r="CC8" s="528">
        <v>825</v>
      </c>
      <c r="CD8" s="528">
        <v>825</v>
      </c>
      <c r="CE8" s="528">
        <v>825</v>
      </c>
      <c r="CF8" s="528">
        <v>825</v>
      </c>
      <c r="CG8" s="528">
        <v>925</v>
      </c>
      <c r="CI8" s="157" t="s">
        <v>86</v>
      </c>
      <c r="CJ8" s="890">
        <f>IF(OR($G8=0,$B8="NSX"),0,ROUNDDOWN(($A$68-SUM(CL$6:CL7))/$G8,0))</f>
        <v>12</v>
      </c>
      <c r="CK8" s="880">
        <f t="shared" si="13"/>
        <v>9</v>
      </c>
      <c r="CL8" s="157">
        <f t="shared" si="60"/>
        <v>162</v>
      </c>
      <c r="CM8" s="890">
        <f>IF(OR($G8=0,$B8="NSX"),0,ROUNDDOWN(($A$68-SUM(CO$6:CO7))/$G8,0))</f>
        <v>15</v>
      </c>
      <c r="CN8" s="157">
        <f>IF(CM8&gt;=$F8-SUMIF($CK$5:CK$5,"Кол-во",$CK8:CK8),$F8-SUMIF($CK$5:CK$5,"Кол-во",$CK8:CK8),CM8)</f>
        <v>0</v>
      </c>
      <c r="CO8" s="157">
        <f t="shared" si="61"/>
        <v>0</v>
      </c>
      <c r="CP8" s="890">
        <f>IF(OR($G8=0,$B8="NSX"),0,ROUNDDOWN(($A$68-SUM(CR$6:CR7))/$G8,0))</f>
        <v>15</v>
      </c>
      <c r="CQ8" s="890">
        <f>IF(CP8&gt;=$F8-SUMIF($CK$5:CN$5,"Кол-во",$CK8:CN8),$F8-SUMIF($CK$5:CN$5,"Кол-во",$CK8:CN8),CP8)</f>
        <v>0</v>
      </c>
      <c r="CR8" s="890">
        <f t="shared" si="62"/>
        <v>0</v>
      </c>
      <c r="CS8" s="890">
        <f>IF(OR($G8=0,$B8="NSX"),0,ROUNDDOWN(($A$68-SUM(CU$6:CU7))/$G8,0))</f>
        <v>15</v>
      </c>
      <c r="CT8" s="890">
        <f>IF(CS8&gt;=$F8-SUMIF($CK$5:CQ$5,"Кол-во",$CK8:CQ8),$F8-SUMIF($CK$5:CQ$5,"Кол-во",$CK8:CQ8),CS8)</f>
        <v>0</v>
      </c>
      <c r="CU8" s="890">
        <f t="shared" si="63"/>
        <v>0</v>
      </c>
      <c r="CV8" s="890">
        <f>IF(OR($G8=0,$B8="NSX"),0,ROUNDDOWN(($A$68-SUM(CX$6:CX7))/$G8,0))</f>
        <v>15</v>
      </c>
      <c r="CW8" s="890">
        <f>IF(CV8&gt;=$F8-SUMIF($CK$5:CT$5,"Кол-во",$CK8:CT8),$F8-SUMIF($CK$5:CT$5,"Кол-во",$CK8:CT8),CV8)</f>
        <v>0</v>
      </c>
      <c r="CX8" s="890">
        <f t="shared" si="64"/>
        <v>0</v>
      </c>
      <c r="CY8" s="890">
        <f>IF(OR($G8=0,$B8="NSX"),0,ROUNDDOWN(($A$68-SUM(DA$6:DA7))/$G8,0))</f>
        <v>15</v>
      </c>
      <c r="CZ8" s="890">
        <f>IF(CY8&gt;=$F8-SUMIF($CK$5:CW$5,"Кол-во",$CK8:CW8),$F8-SUMIF($CK$5:CW$5,"Кол-во",$CK8:CW8),CY8)</f>
        <v>0</v>
      </c>
      <c r="DA8" s="890">
        <f t="shared" si="65"/>
        <v>0</v>
      </c>
      <c r="DB8" s="890">
        <f>IF(OR($G8=0,$B8="NSX"),0,ROUNDDOWN(($A$68-SUM(DD$6:DD7))/$G8,0))</f>
        <v>15</v>
      </c>
      <c r="DC8" s="890">
        <f>IF(DB8&gt;=$F8-SUMIF($CK$5:CZ$5,"Кол-во",$CK8:CZ8),$F8-SUMIF($CK$5:CZ$5,"Кол-во",$CK8:CZ8),DB8)</f>
        <v>0</v>
      </c>
      <c r="DD8" s="890">
        <f t="shared" si="66"/>
        <v>0</v>
      </c>
      <c r="DE8" s="890">
        <f>IF(OR($G8=0,$B8="NSX"),0,ROUNDDOWN(($A$68-SUM(DG$6:DG7))/$G8,0))</f>
        <v>15</v>
      </c>
      <c r="DF8" s="890">
        <f>IF(DE8&gt;=$F8-SUMIF($CK$5:DC$5,"Кол-во",$CK8:DC8),$F8-SUMIF($CK$5:DC$5,"Кол-во",$CK8:DC8),DE8)</f>
        <v>0</v>
      </c>
      <c r="DG8" s="890">
        <f t="shared" si="67"/>
        <v>0</v>
      </c>
      <c r="DH8" s="890">
        <f>IF(OR($G8=0,$B8="NSX"),0,ROUNDDOWN(($A$68-SUM(DJ$6:DJ7))/$G8,0))</f>
        <v>15</v>
      </c>
      <c r="DI8" s="890">
        <f>IF(DH8&gt;=$F8-SUMIF($CK$5:DF$5,"Кол-во",$CK8:DF8),$F8-SUMIF($CK$5:DF$5,"Кол-во",$CK8:DF8),DH8)</f>
        <v>0</v>
      </c>
      <c r="DJ8" s="890">
        <f t="shared" si="68"/>
        <v>0</v>
      </c>
      <c r="DK8" s="890">
        <f>IF(OR($G8=0,$B8="NSX"),0,ROUNDDOWN(($A$68-SUM(DM$6:DM7))/$G8,0))</f>
        <v>15</v>
      </c>
      <c r="DL8" s="890">
        <f>IF(DK8&gt;=$F8-SUMIF($CK$5:DI$5,"Кол-во",$CK8:DI8),$F8-SUMIF($CK$5:DI$5,"Кол-во",$CK8:DI8),DK8)</f>
        <v>0</v>
      </c>
      <c r="DM8" s="890">
        <f t="shared" si="69"/>
        <v>0</v>
      </c>
      <c r="DO8" s="29" t="s">
        <v>225</v>
      </c>
      <c r="DP8" s="4">
        <v>55</v>
      </c>
      <c r="DQ8" s="52" t="s">
        <v>259</v>
      </c>
      <c r="DS8" s="352" t="str">
        <f t="shared" si="14"/>
        <v>TN-C-S3</v>
      </c>
      <c r="DT8" s="569" t="s">
        <v>7</v>
      </c>
      <c r="DU8" s="569">
        <v>3</v>
      </c>
      <c r="DV8" s="569">
        <v>4</v>
      </c>
      <c r="DW8" s="358"/>
      <c r="DX8" s="352" t="str">
        <f t="shared" si="15"/>
        <v>TN-C-S2</v>
      </c>
      <c r="DY8" s="569" t="s">
        <v>7</v>
      </c>
      <c r="DZ8" s="569">
        <v>2</v>
      </c>
      <c r="EA8" s="569">
        <v>3</v>
      </c>
      <c r="EC8" s="559">
        <v>2</v>
      </c>
      <c r="ED8" s="559">
        <v>1</v>
      </c>
      <c r="EE8" s="352">
        <v>1.5</v>
      </c>
      <c r="EF8" s="1"/>
      <c r="EG8" s="49">
        <f ca="1">Бланк!$F$46</f>
        <v>200</v>
      </c>
      <c r="EH8" s="32"/>
      <c r="EI8" s="21" t="s">
        <v>87</v>
      </c>
      <c r="EJ8" s="21">
        <f>Бланк!$O$15</f>
        <v>0</v>
      </c>
      <c r="EK8" s="296">
        <f>IFERROR(VALUE(MID(Бланк!$L15,1,1)),1)*EJ8</f>
        <v>0</v>
      </c>
      <c r="EL8" s="21" t="str">
        <f>IF(EJ8=EK8,MID(Бланк!$L15,1,100),MID(Бланк!$L15,3,100))</f>
        <v/>
      </c>
      <c r="EM8" s="21">
        <f>Бланк!$M15</f>
        <v>0</v>
      </c>
      <c r="EN8" s="354">
        <f>_xlfn.IFNA(VLOOKUP(Бланк!$K$3&amp;Габариты!$C9,$DX:$EA,4,FALSE)&amp;"x"&amp;VLOOKUP(Проверки!$D7,$EC:$EE,3,FALSE),0)</f>
        <v>0</v>
      </c>
      <c r="EO8" s="354">
        <f t="shared" si="16"/>
        <v>0</v>
      </c>
      <c r="EP8" s="4">
        <f>Бланк!$N15</f>
        <v>0</v>
      </c>
      <c r="EQ8" s="559">
        <f>_xlfn.IFNA(VLOOKUP(EL8&amp;" "&amp;EO8,'Список кабелей'!$I:$J,2,FALSE),0)</f>
        <v>0</v>
      </c>
      <c r="ER8" s="353">
        <f>IF(OR(EL8="-",EO8="-",EP8="-",Проверки!$D7=""),0,VLOOKUP(EO8,'Список кабелей'!$D:$J,7,FALSE))</f>
        <v>0</v>
      </c>
      <c r="ES8" s="559">
        <f t="shared" si="17"/>
        <v>0</v>
      </c>
      <c r="ET8" s="354">
        <f>EK8*_xlfn.IFNA(VLOOKUP(Проверки!$D7,$EC:$EE,2,FALSE),0)</f>
        <v>0</v>
      </c>
      <c r="EU8" s="44">
        <f t="shared" si="18"/>
        <v>0</v>
      </c>
      <c r="EV8" s="56">
        <f t="shared" si="19"/>
        <v>0</v>
      </c>
      <c r="EW8" s="55">
        <f t="shared" si="20"/>
        <v>0</v>
      </c>
      <c r="EX8" s="24">
        <f t="shared" si="0"/>
        <v>0</v>
      </c>
      <c r="EY8" s="24">
        <f t="shared" si="0"/>
        <v>0</v>
      </c>
      <c r="EZ8" s="24">
        <f t="shared" si="0"/>
        <v>0</v>
      </c>
      <c r="FA8" s="24">
        <f t="shared" si="0"/>
        <v>0</v>
      </c>
      <c r="FB8" s="24">
        <f t="shared" si="0"/>
        <v>0</v>
      </c>
      <c r="FC8" s="24">
        <f t="shared" si="0"/>
        <v>0</v>
      </c>
      <c r="FD8" s="24">
        <f t="shared" si="0"/>
        <v>0</v>
      </c>
      <c r="FE8" s="46">
        <f t="shared" si="0"/>
        <v>0</v>
      </c>
      <c r="FF8" s="561"/>
      <c r="FG8" s="1209" t="s">
        <v>80</v>
      </c>
      <c r="FH8" s="1185"/>
      <c r="FI8" s="167" t="s">
        <v>240</v>
      </c>
      <c r="FJ8" s="946">
        <f t="shared" ref="FJ8:FR8" si="75">SUMIF($EP$5:$EP$20,"снизу",EW$5:EW$20)</f>
        <v>0</v>
      </c>
      <c r="FK8" s="947">
        <f t="shared" si="75"/>
        <v>0</v>
      </c>
      <c r="FL8" s="947">
        <f t="shared" si="75"/>
        <v>0</v>
      </c>
      <c r="FM8" s="947">
        <f t="shared" si="75"/>
        <v>0</v>
      </c>
      <c r="FN8" s="947">
        <f t="shared" si="75"/>
        <v>0</v>
      </c>
      <c r="FO8" s="947">
        <f t="shared" si="75"/>
        <v>0</v>
      </c>
      <c r="FP8" s="947">
        <f t="shared" si="75"/>
        <v>0</v>
      </c>
      <c r="FQ8" s="947">
        <f t="shared" si="75"/>
        <v>0</v>
      </c>
      <c r="FR8" s="954">
        <f t="shared" si="75"/>
        <v>0</v>
      </c>
      <c r="FS8" s="175"/>
      <c r="FT8" s="1196"/>
      <c r="FU8" s="1199"/>
      <c r="FV8" s="561"/>
      <c r="FW8" s="280" t="s">
        <v>105</v>
      </c>
      <c r="FY8" s="747">
        <v>10</v>
      </c>
      <c r="GA8" s="785" t="s">
        <v>88</v>
      </c>
      <c r="GB8" s="785">
        <f>Бланк!C16</f>
        <v>0</v>
      </c>
      <c r="GC8" s="785">
        <f>Бланк!D16</f>
        <v>0</v>
      </c>
      <c r="GD8" s="786">
        <f t="shared" si="2"/>
        <v>26</v>
      </c>
      <c r="GE8" s="786" t="b">
        <f t="shared" si="22"/>
        <v>0</v>
      </c>
      <c r="GF8" s="786">
        <f t="shared" si="23"/>
        <v>0</v>
      </c>
      <c r="GG8" s="785">
        <v>4</v>
      </c>
      <c r="GI8" s="1014">
        <f t="shared" si="24"/>
        <v>0</v>
      </c>
      <c r="GJ8" s="1018">
        <f t="shared" ca="1" si="25"/>
        <v>6</v>
      </c>
      <c r="GL8" s="498">
        <v>200</v>
      </c>
      <c r="GM8" s="786">
        <v>4</v>
      </c>
      <c r="GO8" s="746">
        <v>63</v>
      </c>
      <c r="GP8" s="280">
        <f ca="1">SUMIFS(D!BY$85:BY$104,D!$BR$85:$BR$104,$GO8)</f>
        <v>0</v>
      </c>
      <c r="GQ8" s="757">
        <f ca="1">SUMIFS(D!BZ$85:BZ$99,D!$BR$85:$BR$99,$GO8)</f>
        <v>0</v>
      </c>
      <c r="GR8" s="758">
        <f ca="1">SUMIFS(D!CA$85:CA$99,D!$BR$85:$BR$99,$GO8)</f>
        <v>0</v>
      </c>
      <c r="GS8" s="280">
        <f>SUMIFS(D!BY$85:BY$99,D!$BP$85:$BP$99,TRUE,D!$BR$85:$BR$99,Габариты!$GO8)</f>
        <v>0</v>
      </c>
      <c r="GT8" s="757">
        <f>SUMIFS(D!BZ$85:BZ$99,D!$BP$85:$BP$99,TRUE,D!$BR$85:$BR$99,Габариты!$GO8)</f>
        <v>0</v>
      </c>
      <c r="GU8" s="758">
        <f>SUMIFS(D!CA$85:CA$99,D!$BP$85:$BP$99,TRUE,D!$BR$85:$BR$99,Габариты!$GO8)</f>
        <v>0</v>
      </c>
      <c r="GW8" s="757">
        <f ca="1">SUM(HB$5:HB7)-SUM(HC$5:HC7)</f>
        <v>0</v>
      </c>
      <c r="GX8" s="757">
        <f t="shared" ca="1" si="71"/>
        <v>0</v>
      </c>
      <c r="GY8" s="753">
        <f t="shared" ca="1" si="26"/>
        <v>0</v>
      </c>
      <c r="GZ8" s="280">
        <f t="shared" ca="1" si="27"/>
        <v>0</v>
      </c>
      <c r="HA8" s="758">
        <f t="shared" ca="1" si="28"/>
        <v>0</v>
      </c>
      <c r="HB8" s="280">
        <f t="shared" ca="1" si="29"/>
        <v>0</v>
      </c>
      <c r="HC8" s="753">
        <f t="shared" ca="1" si="30"/>
        <v>0</v>
      </c>
      <c r="HD8" s="802" t="b">
        <f t="shared" ca="1" si="3"/>
        <v>0</v>
      </c>
      <c r="HE8" s="802" t="b">
        <f t="shared" ca="1" si="4"/>
        <v>0</v>
      </c>
      <c r="HF8" s="754" t="b">
        <f t="shared" ca="1" si="31"/>
        <v>0</v>
      </c>
      <c r="HH8" s="757">
        <f ca="1">SUM(HM$5:HM7)-SUM(HN$5:HN7)</f>
        <v>0</v>
      </c>
      <c r="HI8" s="757">
        <f t="shared" ca="1" si="72"/>
        <v>0</v>
      </c>
      <c r="HJ8" s="753">
        <f t="shared" ca="1" si="73"/>
        <v>0</v>
      </c>
      <c r="HK8" s="280">
        <f t="shared" ca="1" si="5"/>
        <v>0</v>
      </c>
      <c r="HL8" s="758">
        <f t="shared" ca="1" si="6"/>
        <v>0</v>
      </c>
      <c r="HM8" s="280">
        <f t="shared" ca="1" si="32"/>
        <v>0</v>
      </c>
      <c r="HN8" s="753">
        <f t="shared" ca="1" si="33"/>
        <v>0</v>
      </c>
      <c r="HO8" s="802" t="b">
        <f t="shared" ca="1" si="7"/>
        <v>0</v>
      </c>
      <c r="HP8" s="802" t="b">
        <f t="shared" ca="1" si="8"/>
        <v>0</v>
      </c>
      <c r="HQ8" s="754" t="b">
        <f t="shared" ca="1" si="34"/>
        <v>0</v>
      </c>
      <c r="HS8" s="757">
        <f ca="1">SUM($HB$5:$HB7)-SUM($HC$5:$HC7)</f>
        <v>0</v>
      </c>
      <c r="HT8" s="757">
        <f t="shared" ca="1" si="74"/>
        <v>0</v>
      </c>
      <c r="HU8" s="753">
        <f t="shared" ca="1" si="35"/>
        <v>0</v>
      </c>
      <c r="HV8" s="280">
        <f t="shared" ca="1" si="36"/>
        <v>0</v>
      </c>
      <c r="HW8" s="758">
        <f t="shared" ca="1" si="37"/>
        <v>0</v>
      </c>
      <c r="HX8" s="280">
        <f t="shared" ca="1" si="38"/>
        <v>0</v>
      </c>
      <c r="HY8" s="753">
        <f t="shared" ca="1" si="39"/>
        <v>0</v>
      </c>
      <c r="HZ8" s="802" t="b">
        <f t="shared" ca="1" si="9"/>
        <v>0</v>
      </c>
      <c r="IA8" s="802" t="b">
        <f t="shared" ca="1" si="10"/>
        <v>0</v>
      </c>
      <c r="IB8" s="754" t="b">
        <f t="shared" ca="1" si="40"/>
        <v>0</v>
      </c>
      <c r="IC8" s="777"/>
      <c r="ID8" s="1301"/>
    </row>
    <row r="9" spans="1:245" ht="13.5" thickBot="1" x14ac:dyDescent="0.25">
      <c r="A9" s="65" t="s">
        <v>87</v>
      </c>
      <c r="B9" s="141" t="str">
        <f>MID(Бланк!B15,1,3)</f>
        <v/>
      </c>
      <c r="C9" s="149">
        <f>IF(ISBLANK(Бланк!$C15),0,MID(Бланк!$C15,1,1))</f>
        <v>0</v>
      </c>
      <c r="D9" s="60">
        <f>Бланк!D15</f>
        <v>0</v>
      </c>
      <c r="E9" s="267" t="b">
        <f>AND(MID(Бланк!$H15,1,3)&lt;&gt;"-",MID(Бланк!$H15,1,3)&lt;&gt;"")</f>
        <v>0</v>
      </c>
      <c r="F9" s="149">
        <f>Бланк!$O15</f>
        <v>0</v>
      </c>
      <c r="G9" s="60">
        <f t="shared" si="11"/>
        <v>0</v>
      </c>
      <c r="H9" s="143">
        <f t="shared" si="12"/>
        <v>0</v>
      </c>
      <c r="I9" s="266">
        <f>IF(AND($E9,Проверки!$I7,$D9&lt;=25,$C9="2"),$F9,0)</f>
        <v>0</v>
      </c>
      <c r="J9" s="267">
        <f>IF(AND($E9,Проверки!I7,$D9&lt;=63,$C9="2",I9=0),$F9,0)</f>
        <v>0</v>
      </c>
      <c r="K9" s="267">
        <f>IF(AND($E9,Проверки!$I7,$D9&lt;=25,$C9&gt;="3"),$F9,0)</f>
        <v>0</v>
      </c>
      <c r="L9" s="267">
        <f>IF(AND($E9,Проверки!$I7,$D9&lt;=63,C9&gt;="3",K9=0),$F9,0)</f>
        <v>0</v>
      </c>
      <c r="M9" s="267">
        <f>IF(AND($E9,Проверки!L7,$C9="2"),$F9,0)</f>
        <v>0</v>
      </c>
      <c r="N9" s="267">
        <f>IF(AND($E9,Проверки!$L7,$C9&gt;="3"),$F9,0)</f>
        <v>0</v>
      </c>
      <c r="O9" s="267">
        <f>IF(AND($E9,Проверки!$M7,$C9="2"),1,0)</f>
        <v>0</v>
      </c>
      <c r="P9" s="267">
        <f>IF(AND($E9,Проверки!$M7,$C9&gt;="3",$D9&lt;=63,ISERR(SEARCH("si",Бланк!H15))),1,0)</f>
        <v>0</v>
      </c>
      <c r="Q9" s="267">
        <f>IF(AND($E9,Проверки!$M7,$C9&gt;="3",P9=0),1,0)</f>
        <v>0</v>
      </c>
      <c r="R9" s="267">
        <f>IF(AND(Бланк!I15="+",OR(Проверки!$I7:$L7,Проверки!$O7)),$F9,0)</f>
        <v>0</v>
      </c>
      <c r="S9" s="267">
        <f>IF(AND(Бланк!J15="+",OR(Проверки!$I7:$L7,Проверки!$O7)),$F9,0)</f>
        <v>0</v>
      </c>
      <c r="T9" s="267">
        <f>IF(AND(Бланк!K15="+",OR(Проверки!$I7:$L7,Проверки!$O7)),$F9,0)</f>
        <v>0</v>
      </c>
      <c r="U9" s="267">
        <f>IF(AND(Бланк!I15="+",Проверки!$M7),Бланк!$O15,0)</f>
        <v>0</v>
      </c>
      <c r="V9" s="269">
        <f>IF(AND(Бланк!J15="+",Проверки!$M7),Бланк!$O15,0)</f>
        <v>0</v>
      </c>
      <c r="W9" s="424">
        <f>IF(AND(Бланк!K15="+",Проверки!$M7),Бланк!$O15,0)</f>
        <v>0</v>
      </c>
      <c r="X9" s="414">
        <f t="shared" si="41"/>
        <v>0</v>
      </c>
      <c r="Y9" s="411">
        <f t="shared" si="42"/>
        <v>0</v>
      </c>
      <c r="Z9" s="411">
        <f t="shared" si="43"/>
        <v>0</v>
      </c>
      <c r="AA9" s="276">
        <f t="shared" si="44"/>
        <v>0</v>
      </c>
      <c r="AB9" s="276">
        <f t="shared" si="45"/>
        <v>0</v>
      </c>
      <c r="AC9" s="411">
        <f t="shared" si="46"/>
        <v>0</v>
      </c>
      <c r="AD9" s="411">
        <f t="shared" si="47"/>
        <v>0</v>
      </c>
      <c r="AE9" s="421">
        <f t="shared" si="48"/>
        <v>0</v>
      </c>
      <c r="AF9" s="421">
        <f t="shared" si="49"/>
        <v>0</v>
      </c>
      <c r="AG9" s="276">
        <f t="shared" si="50"/>
        <v>0</v>
      </c>
      <c r="AH9" s="276">
        <f t="shared" si="51"/>
        <v>0</v>
      </c>
      <c r="AI9" s="276">
        <f t="shared" si="52"/>
        <v>0</v>
      </c>
      <c r="AJ9" s="276">
        <f t="shared" si="53"/>
        <v>0</v>
      </c>
      <c r="AK9" s="276">
        <f t="shared" si="54"/>
        <v>0</v>
      </c>
      <c r="AL9" s="281">
        <f t="shared" si="55"/>
        <v>0</v>
      </c>
      <c r="AM9" s="443">
        <f t="shared" si="56"/>
        <v>0</v>
      </c>
      <c r="AN9" s="444">
        <f t="shared" si="57"/>
        <v>0</v>
      </c>
      <c r="AO9" s="443">
        <f t="shared" si="58"/>
        <v>0</v>
      </c>
      <c r="AP9" s="444">
        <f t="shared" si="59"/>
        <v>0</v>
      </c>
      <c r="AQ9" s="412">
        <f>IF(MID(Бланк!L15,1,1)="3",3,IF(MID(Бланк!L15,1,1)="2",2,1))</f>
        <v>1</v>
      </c>
      <c r="AR9" s="60">
        <f>IF(ISERROR(VALUE(MID(Бланк!M15,3,LEN(Бланк!M15)-SEARCH("x",Бланк!M15)))),0,VALUE(MID(Бланк!M15,3,LEN(Бланк!M15)-SEARCH("x",Бланк!M15))))</f>
        <v>0</v>
      </c>
      <c r="AS9" s="60">
        <f>Бланк!N15</f>
        <v>0</v>
      </c>
      <c r="AT9" s="7"/>
      <c r="AU9" s="285" t="s">
        <v>508</v>
      </c>
      <c r="AV9" s="286">
        <v>10</v>
      </c>
      <c r="AW9" s="282" t="b">
        <f>_xlfn.IFNA(NOT(OR($AR$6&lt;=VLOOKUP($B$6,$AU$9:$AV$17,2,FALSE),$B$6="NSX")),0)</f>
        <v>0</v>
      </c>
      <c r="AX9" s="283">
        <f>IF($AW$9,HLOOKUP($AR$6,$AV$6:$AZ$7,2),0)</f>
        <v>0</v>
      </c>
      <c r="AY9" s="283">
        <f>$AW$9*$C$6*$AQ$6</f>
        <v>0</v>
      </c>
      <c r="AZ9" s="284">
        <f>IF(AND($AS$6="сверху",$AR$6&gt;50),2,1)</f>
        <v>1</v>
      </c>
      <c r="BA9" s="7"/>
      <c r="BB9" s="7"/>
      <c r="BC9" s="510">
        <f>IF($C$6&amp;Бланк!$E$36&amp;IF(Габариты!$AS$6="снизу",Габариты!$AS$6,"сверху")=$BD9&amp;$BE9&amp;$BF9,1,0)</f>
        <v>0</v>
      </c>
      <c r="BD9" s="509">
        <v>3</v>
      </c>
      <c r="BE9" s="528" t="s">
        <v>45</v>
      </c>
      <c r="BF9" s="528" t="s">
        <v>79</v>
      </c>
      <c r="BG9" s="530">
        <v>225</v>
      </c>
      <c r="BH9" s="530">
        <f t="shared" ref="BH9:BK10" si="76">BH7+25</f>
        <v>275</v>
      </c>
      <c r="BI9" s="530">
        <f t="shared" si="76"/>
        <v>525</v>
      </c>
      <c r="BJ9" s="530">
        <f t="shared" si="76"/>
        <v>525</v>
      </c>
      <c r="BK9" s="530">
        <f t="shared" si="76"/>
        <v>675</v>
      </c>
      <c r="BL9" s="550">
        <v>400</v>
      </c>
      <c r="BM9" s="550">
        <v>600</v>
      </c>
      <c r="BN9" s="550">
        <v>400</v>
      </c>
      <c r="BO9" s="550">
        <v>600</v>
      </c>
      <c r="BP9" s="550">
        <v>400</v>
      </c>
      <c r="BQ9" s="550">
        <v>600</v>
      </c>
      <c r="BR9" s="550">
        <v>400</v>
      </c>
      <c r="BS9" s="550">
        <v>600</v>
      </c>
      <c r="BT9" s="550">
        <v>400</v>
      </c>
      <c r="BU9" s="550">
        <v>600</v>
      </c>
      <c r="BV9" s="528">
        <v>725</v>
      </c>
      <c r="BW9" s="528">
        <v>725</v>
      </c>
      <c r="BX9" s="528">
        <v>725</v>
      </c>
      <c r="BY9" s="530">
        <v>250</v>
      </c>
      <c r="BZ9" s="530">
        <v>450</v>
      </c>
      <c r="CA9" s="530">
        <v>550</v>
      </c>
      <c r="CB9" s="530">
        <v>675</v>
      </c>
      <c r="CC9" s="528">
        <v>825</v>
      </c>
      <c r="CD9" s="528">
        <v>825</v>
      </c>
      <c r="CE9" s="528">
        <v>825</v>
      </c>
      <c r="CF9" s="528">
        <v>825</v>
      </c>
      <c r="CG9" s="528">
        <v>925</v>
      </c>
      <c r="CI9" s="157" t="s">
        <v>87</v>
      </c>
      <c r="CJ9" s="890">
        <f>IF(OR($G9=0,$B9="NSX"),0,ROUNDDOWN(($A$68-SUM(CL$6:CL8))/$G9,0))</f>
        <v>0</v>
      </c>
      <c r="CK9" s="880">
        <f t="shared" si="13"/>
        <v>0</v>
      </c>
      <c r="CL9" s="157">
        <f t="shared" si="60"/>
        <v>0</v>
      </c>
      <c r="CM9" s="890">
        <f>IF(OR($G9=0,$B9="NSX"),0,ROUNDDOWN(($A$68-SUM(CO$6:CO8))/$G9,0))</f>
        <v>0</v>
      </c>
      <c r="CN9" s="157">
        <f>IF(CM9&gt;=$F9-SUMIF($CK$5:CK$5,"Кол-во",$CK9:CK9),$F9-SUMIF($CK$5:CK$5,"Кол-во",$CK9:CK9),CM9)</f>
        <v>0</v>
      </c>
      <c r="CO9" s="157">
        <f t="shared" si="61"/>
        <v>0</v>
      </c>
      <c r="CP9" s="890">
        <f>IF(OR($G9=0,$B9="NSX"),0,ROUNDDOWN(($A$68-SUM(CR$6:CR8))/$G9,0))</f>
        <v>0</v>
      </c>
      <c r="CQ9" s="890">
        <f>IF(CP9&gt;=$F9-SUMIF($CK$5:CN$5,"Кол-во",$CK9:CN9),$F9-SUMIF($CK$5:CN$5,"Кол-во",$CK9:CN9),CP9)</f>
        <v>0</v>
      </c>
      <c r="CR9" s="890">
        <f t="shared" si="62"/>
        <v>0</v>
      </c>
      <c r="CS9" s="890">
        <f>IF(OR($G9=0,$B9="NSX"),0,ROUNDDOWN(($A$68-SUM(CU$6:CU8))/$G9,0))</f>
        <v>0</v>
      </c>
      <c r="CT9" s="890">
        <f>IF(CS9&gt;=$F9-SUMIF($CK$5:CQ$5,"Кол-во",$CK9:CQ9),$F9-SUMIF($CK$5:CQ$5,"Кол-во",$CK9:CQ9),CS9)</f>
        <v>0</v>
      </c>
      <c r="CU9" s="890">
        <f t="shared" si="63"/>
        <v>0</v>
      </c>
      <c r="CV9" s="890">
        <f>IF(OR($G9=0,$B9="NSX"),0,ROUNDDOWN(($A$68-SUM(CX$6:CX8))/$G9,0))</f>
        <v>0</v>
      </c>
      <c r="CW9" s="890">
        <f>IF(CV9&gt;=$F9-SUMIF($CK$5:CT$5,"Кол-во",$CK9:CT9),$F9-SUMIF($CK$5:CT$5,"Кол-во",$CK9:CT9),CV9)</f>
        <v>0</v>
      </c>
      <c r="CX9" s="890">
        <f t="shared" si="64"/>
        <v>0</v>
      </c>
      <c r="CY9" s="890">
        <f>IF(OR($G9=0,$B9="NSX"),0,ROUNDDOWN(($A$68-SUM(DA$6:DA8))/$G9,0))</f>
        <v>0</v>
      </c>
      <c r="CZ9" s="890">
        <f>IF(CY9&gt;=$F9-SUMIF($CK$5:CW$5,"Кол-во",$CK9:CW9),$F9-SUMIF($CK$5:CW$5,"Кол-во",$CK9:CW9),CY9)</f>
        <v>0</v>
      </c>
      <c r="DA9" s="890">
        <f t="shared" si="65"/>
        <v>0</v>
      </c>
      <c r="DB9" s="890">
        <f>IF(OR($G9=0,$B9="NSX"),0,ROUNDDOWN(($A$68-SUM(DD$6:DD8))/$G9,0))</f>
        <v>0</v>
      </c>
      <c r="DC9" s="890">
        <f>IF(DB9&gt;=$F9-SUMIF($CK$5:CZ$5,"Кол-во",$CK9:CZ9),$F9-SUMIF($CK$5:CZ$5,"Кол-во",$CK9:CZ9),DB9)</f>
        <v>0</v>
      </c>
      <c r="DD9" s="890">
        <f t="shared" si="66"/>
        <v>0</v>
      </c>
      <c r="DE9" s="890">
        <f>IF(OR($G9=0,$B9="NSX"),0,ROUNDDOWN(($A$68-SUM(DG$6:DG8))/$G9,0))</f>
        <v>0</v>
      </c>
      <c r="DF9" s="890">
        <f>IF(DE9&gt;=$F9-SUMIF($CK$5:DC$5,"Кол-во",$CK9:DC9),$F9-SUMIF($CK$5:DC$5,"Кол-во",$CK9:DC9),DE9)</f>
        <v>0</v>
      </c>
      <c r="DG9" s="890">
        <f t="shared" si="67"/>
        <v>0</v>
      </c>
      <c r="DH9" s="890">
        <f>IF(OR($G9=0,$B9="NSX"),0,ROUNDDOWN(($A$68-SUM(DJ$6:DJ8))/$G9,0))</f>
        <v>0</v>
      </c>
      <c r="DI9" s="890">
        <f>IF(DH9&gt;=$F9-SUMIF($CK$5:DF$5,"Кол-во",$CK9:DF9),$F9-SUMIF($CK$5:DF$5,"Кол-во",$CK9:DF9),DH9)</f>
        <v>0</v>
      </c>
      <c r="DJ9" s="890">
        <f t="shared" si="68"/>
        <v>0</v>
      </c>
      <c r="DK9" s="890">
        <f>IF(OR($G9=0,$B9="NSX"),0,ROUNDDOWN(($A$68-SUM(DM$6:DM8))/$G9,0))</f>
        <v>0</v>
      </c>
      <c r="DL9" s="890">
        <f>IF(DK9&gt;=$F9-SUMIF($CK$5:DI$5,"Кол-во",$CK9:DI9),$F9-SUMIF($CK$5:DI$5,"Кол-во",$CK9:DI9),DK9)</f>
        <v>0</v>
      </c>
      <c r="DM9" s="890">
        <f t="shared" si="69"/>
        <v>0</v>
      </c>
      <c r="DO9" s="29" t="s">
        <v>224</v>
      </c>
      <c r="DP9" s="4">
        <v>70</v>
      </c>
      <c r="DQ9" s="52" t="s">
        <v>260</v>
      </c>
      <c r="DS9" s="352" t="str">
        <f t="shared" si="14"/>
        <v>TN-S1</v>
      </c>
      <c r="DT9" s="569" t="s">
        <v>5</v>
      </c>
      <c r="DU9" s="569">
        <v>1</v>
      </c>
      <c r="DV9" s="569">
        <v>3</v>
      </c>
      <c r="DW9" s="358"/>
      <c r="DX9" s="352" t="str">
        <f t="shared" si="15"/>
        <v>TN-C-S3</v>
      </c>
      <c r="DY9" s="569" t="s">
        <v>7</v>
      </c>
      <c r="DZ9" s="569">
        <v>3</v>
      </c>
      <c r="EA9" s="569">
        <v>5</v>
      </c>
      <c r="EC9" s="559">
        <v>3</v>
      </c>
      <c r="ED9" s="559">
        <v>1</v>
      </c>
      <c r="EE9" s="352">
        <v>1.5</v>
      </c>
      <c r="EF9" s="560"/>
      <c r="EG9" s="20"/>
      <c r="EH9" s="32"/>
      <c r="EI9" s="21" t="s">
        <v>88</v>
      </c>
      <c r="EJ9" s="21">
        <f>Бланк!$O$16</f>
        <v>0</v>
      </c>
      <c r="EK9" s="296">
        <f>IFERROR(VALUE(MID(Бланк!$L16,1,1)),1)*EJ9</f>
        <v>0</v>
      </c>
      <c r="EL9" s="21" t="str">
        <f>IF(EJ9=EK9,MID(Бланк!$L16,1,100),MID(Бланк!$L16,3,100))</f>
        <v/>
      </c>
      <c r="EM9" s="21">
        <f>Бланк!$M16</f>
        <v>0</v>
      </c>
      <c r="EN9" s="354">
        <f>_xlfn.IFNA(VLOOKUP(Бланк!$K$3&amp;Габариты!$C10,$DX:$EA,4,FALSE)&amp;"x"&amp;VLOOKUP(Проверки!$D8,$EC:$EE,3,FALSE),0)</f>
        <v>0</v>
      </c>
      <c r="EO9" s="354">
        <f t="shared" si="16"/>
        <v>0</v>
      </c>
      <c r="EP9" s="4">
        <f>Бланк!$N16</f>
        <v>0</v>
      </c>
      <c r="EQ9" s="559">
        <f>_xlfn.IFNA(VLOOKUP(EL9&amp;" "&amp;EO9,'Список кабелей'!$I:$J,2,FALSE),0)</f>
        <v>0</v>
      </c>
      <c r="ER9" s="353">
        <f>IF(OR(EL9="-",EO9="-",EP9="-",Проверки!$D8=""),0,VLOOKUP(EO9,'Список кабелей'!$D:$J,7,FALSE))</f>
        <v>0</v>
      </c>
      <c r="ES9" s="559">
        <f t="shared" si="17"/>
        <v>0</v>
      </c>
      <c r="ET9" s="354">
        <f>EK9*_xlfn.IFNA(VLOOKUP(Проверки!$D8,$EC:$EE,2,FALSE),0)</f>
        <v>0</v>
      </c>
      <c r="EU9" s="44">
        <f t="shared" si="18"/>
        <v>0</v>
      </c>
      <c r="EV9" s="56">
        <f t="shared" si="19"/>
        <v>0</v>
      </c>
      <c r="EW9" s="55">
        <f t="shared" si="20"/>
        <v>0</v>
      </c>
      <c r="EX9" s="24">
        <f t="shared" si="0"/>
        <v>0</v>
      </c>
      <c r="EY9" s="24">
        <f t="shared" si="0"/>
        <v>0</v>
      </c>
      <c r="EZ9" s="24">
        <f t="shared" si="0"/>
        <v>0</v>
      </c>
      <c r="FA9" s="24">
        <f t="shared" si="0"/>
        <v>0</v>
      </c>
      <c r="FB9" s="24">
        <f t="shared" si="0"/>
        <v>0</v>
      </c>
      <c r="FC9" s="24">
        <f t="shared" si="0"/>
        <v>0</v>
      </c>
      <c r="FD9" s="24">
        <f t="shared" si="0"/>
        <v>0</v>
      </c>
      <c r="FE9" s="46">
        <f t="shared" si="0"/>
        <v>0</v>
      </c>
      <c r="FF9" s="561"/>
      <c r="FG9" s="1201"/>
      <c r="FH9" s="1185"/>
      <c r="FI9" s="164" t="s">
        <v>233</v>
      </c>
      <c r="FJ9" s="949">
        <f>FJ$8/FJ$19</f>
        <v>0</v>
      </c>
      <c r="FK9" s="955">
        <f t="shared" ref="FK9:FR9" si="77">FK$8/FK$19</f>
        <v>0</v>
      </c>
      <c r="FL9" s="955">
        <f t="shared" si="77"/>
        <v>0</v>
      </c>
      <c r="FM9" s="955">
        <f t="shared" si="77"/>
        <v>0</v>
      </c>
      <c r="FN9" s="955">
        <f t="shared" si="77"/>
        <v>0</v>
      </c>
      <c r="FO9" s="955">
        <f t="shared" si="77"/>
        <v>0</v>
      </c>
      <c r="FP9" s="955">
        <f t="shared" si="77"/>
        <v>0</v>
      </c>
      <c r="FQ9" s="955">
        <f t="shared" si="77"/>
        <v>0</v>
      </c>
      <c r="FR9" s="951">
        <f t="shared" si="77"/>
        <v>0</v>
      </c>
      <c r="FS9" s="1193">
        <f>SUM(FJ10:FR10)</f>
        <v>0</v>
      </c>
      <c r="FT9" s="1196"/>
      <c r="FU9" s="1199"/>
      <c r="FV9" s="561"/>
      <c r="FW9" s="280" t="s">
        <v>148</v>
      </c>
      <c r="FY9" s="747">
        <v>10</v>
      </c>
      <c r="GA9" s="785" t="s">
        <v>89</v>
      </c>
      <c r="GB9" s="785">
        <f>Бланк!C17</f>
        <v>0</v>
      </c>
      <c r="GC9" s="785">
        <f>Бланк!D17</f>
        <v>0</v>
      </c>
      <c r="GD9" s="786">
        <f t="shared" si="2"/>
        <v>26</v>
      </c>
      <c r="GE9" s="786" t="b">
        <f t="shared" si="22"/>
        <v>0</v>
      </c>
      <c r="GF9" s="786">
        <f t="shared" si="23"/>
        <v>0</v>
      </c>
      <c r="GG9" s="785">
        <v>5</v>
      </c>
      <c r="GI9" s="1014">
        <f t="shared" si="24"/>
        <v>0</v>
      </c>
      <c r="GJ9" s="1018">
        <f t="shared" ca="1" si="25"/>
        <v>7</v>
      </c>
      <c r="GL9" s="498">
        <v>160</v>
      </c>
      <c r="GM9" s="786">
        <v>5</v>
      </c>
      <c r="GO9" s="746">
        <v>50</v>
      </c>
      <c r="GP9" s="280">
        <f ca="1">SUMIFS(D!BY$85:BY$104,D!$BR$85:$BR$104,$GO9)</f>
        <v>0</v>
      </c>
      <c r="GQ9" s="757">
        <f ca="1">SUMIFS(D!BZ$85:BZ$99,D!$BR$85:$BR$99,$GO9)</f>
        <v>0</v>
      </c>
      <c r="GR9" s="758">
        <f ca="1">SUMIFS(D!CA$85:CA$99,D!$BR$85:$BR$99,$GO9)</f>
        <v>0</v>
      </c>
      <c r="GS9" s="280">
        <f>SUMIFS(D!BY$85:BY$99,D!$BP$85:$BP$99,TRUE,D!$BR$85:$BR$99,Габариты!$GO9)</f>
        <v>0</v>
      </c>
      <c r="GT9" s="757">
        <f>SUMIFS(D!BZ$85:BZ$99,D!$BP$85:$BP$99,TRUE,D!$BR$85:$BR$99,Габариты!$GO9)</f>
        <v>0</v>
      </c>
      <c r="GU9" s="758">
        <f>SUMIFS(D!CA$85:CA$99,D!$BP$85:$BP$99,TRUE,D!$BR$85:$BR$99,Габариты!$GO9)</f>
        <v>0</v>
      </c>
      <c r="GW9" s="757">
        <f ca="1">SUM(HB$5:HB8)-SUM(HC$5:HC8)</f>
        <v>0</v>
      </c>
      <c r="GX9" s="757">
        <f t="shared" ca="1" si="71"/>
        <v>0</v>
      </c>
      <c r="GY9" s="753">
        <f t="shared" ca="1" si="26"/>
        <v>0</v>
      </c>
      <c r="GZ9" s="280">
        <f t="shared" ca="1" si="27"/>
        <v>0</v>
      </c>
      <c r="HA9" s="758">
        <f t="shared" ca="1" si="28"/>
        <v>0</v>
      </c>
      <c r="HB9" s="280">
        <f t="shared" ca="1" si="29"/>
        <v>0</v>
      </c>
      <c r="HC9" s="753">
        <f t="shared" ca="1" si="30"/>
        <v>0</v>
      </c>
      <c r="HD9" s="802" t="b">
        <f t="shared" ca="1" si="3"/>
        <v>0</v>
      </c>
      <c r="HE9" s="802" t="b">
        <f t="shared" ca="1" si="4"/>
        <v>0</v>
      </c>
      <c r="HF9" s="754" t="b">
        <f t="shared" ca="1" si="31"/>
        <v>0</v>
      </c>
      <c r="HH9" s="757">
        <f ca="1">SUM(HM$5:HM8)-SUM(HN$5:HN8)</f>
        <v>0</v>
      </c>
      <c r="HI9" s="757">
        <f t="shared" ca="1" si="72"/>
        <v>0</v>
      </c>
      <c r="HJ9" s="753">
        <f t="shared" ca="1" si="73"/>
        <v>0</v>
      </c>
      <c r="HK9" s="280">
        <f t="shared" ca="1" si="5"/>
        <v>0</v>
      </c>
      <c r="HL9" s="758">
        <f t="shared" ca="1" si="6"/>
        <v>0</v>
      </c>
      <c r="HM9" s="280">
        <f t="shared" ca="1" si="32"/>
        <v>0</v>
      </c>
      <c r="HN9" s="753">
        <f t="shared" ca="1" si="33"/>
        <v>0</v>
      </c>
      <c r="HO9" s="802" t="b">
        <f t="shared" ca="1" si="7"/>
        <v>0</v>
      </c>
      <c r="HP9" s="802" t="b">
        <f t="shared" ca="1" si="8"/>
        <v>0</v>
      </c>
      <c r="HQ9" s="754" t="b">
        <f t="shared" ca="1" si="34"/>
        <v>0</v>
      </c>
      <c r="HS9" s="757">
        <f ca="1">SUM($HB$5:$HB8)-SUM($HC$5:$HC8)</f>
        <v>0</v>
      </c>
      <c r="HT9" s="757">
        <f t="shared" ca="1" si="74"/>
        <v>0</v>
      </c>
      <c r="HU9" s="753">
        <f t="shared" ca="1" si="35"/>
        <v>0</v>
      </c>
      <c r="HV9" s="280">
        <f t="shared" ca="1" si="36"/>
        <v>0</v>
      </c>
      <c r="HW9" s="758">
        <f t="shared" ca="1" si="37"/>
        <v>0</v>
      </c>
      <c r="HX9" s="280">
        <f t="shared" ca="1" si="38"/>
        <v>0</v>
      </c>
      <c r="HY9" s="753">
        <f t="shared" ca="1" si="39"/>
        <v>0</v>
      </c>
      <c r="HZ9" s="802" t="b">
        <f t="shared" ca="1" si="9"/>
        <v>0</v>
      </c>
      <c r="IA9" s="802" t="b">
        <f t="shared" ca="1" si="10"/>
        <v>0</v>
      </c>
      <c r="IB9" s="754" t="b">
        <f t="shared" ca="1" si="40"/>
        <v>0</v>
      </c>
      <c r="IC9" s="777"/>
      <c r="ID9" s="1301"/>
    </row>
    <row r="10" spans="1:245" ht="13.5" thickBot="1" x14ac:dyDescent="0.25">
      <c r="A10" s="65" t="s">
        <v>88</v>
      </c>
      <c r="B10" s="141" t="str">
        <f>MID(Бланк!B16,1,3)</f>
        <v/>
      </c>
      <c r="C10" s="149">
        <f>IF(ISBLANK(Бланк!$C16),0,MID(Бланк!$C16,1,1))</f>
        <v>0</v>
      </c>
      <c r="D10" s="60">
        <f>Бланк!D16</f>
        <v>0</v>
      </c>
      <c r="E10" s="267" t="b">
        <f>AND(MID(Бланк!$H16,1,3)&lt;&gt;"-",MID(Бланк!$H16,1,3)&lt;&gt;"")</f>
        <v>0</v>
      </c>
      <c r="F10" s="149">
        <f>Бланк!$O16</f>
        <v>0</v>
      </c>
      <c r="G10" s="60">
        <f t="shared" si="11"/>
        <v>0</v>
      </c>
      <c r="H10" s="143">
        <f t="shared" si="12"/>
        <v>0</v>
      </c>
      <c r="I10" s="266">
        <f>IF(AND($E10,Проверки!$I8,$D10&lt;=25,$C10="2"),$F10,0)</f>
        <v>0</v>
      </c>
      <c r="J10" s="267">
        <f>IF(AND($E10,Проверки!I8,$D10&lt;=63,$C10="2",I10=0),$F10,0)</f>
        <v>0</v>
      </c>
      <c r="K10" s="267">
        <f>IF(AND($E10,Проверки!$I8,$D10&lt;=25,$C10&gt;="3"),$F10,0)</f>
        <v>0</v>
      </c>
      <c r="L10" s="267">
        <f>IF(AND($E10,Проверки!$I8,$D10&lt;=63,C10&gt;="3",K10=0),$F10,0)</f>
        <v>0</v>
      </c>
      <c r="M10" s="267">
        <f>IF(AND($E10,Проверки!L8,$C10="2"),$F10,0)</f>
        <v>0</v>
      </c>
      <c r="N10" s="267">
        <f>IF(AND($E10,Проверки!$L8,$C10&gt;="3"),$F10,0)</f>
        <v>0</v>
      </c>
      <c r="O10" s="267">
        <f>IF(AND($E10,Проверки!$M8,$C10="2"),1,0)</f>
        <v>0</v>
      </c>
      <c r="P10" s="267">
        <f>IF(AND($E10,Проверки!$M8,$C10&gt;="3",$D10&lt;=63,ISERR(SEARCH("si",Бланк!H16))),1,0)</f>
        <v>0</v>
      </c>
      <c r="Q10" s="267">
        <f>IF(AND($E10,Проверки!$M8,$C10&gt;="3",P10=0),1,0)</f>
        <v>0</v>
      </c>
      <c r="R10" s="267">
        <f>IF(AND(Бланк!I16="+",OR(Проверки!$I8:$L8,Проверки!$O8)),$F10,0)</f>
        <v>0</v>
      </c>
      <c r="S10" s="267">
        <f>IF(AND(Бланк!J16="+",OR(Проверки!$I8:$L8,Проверки!$O8)),$F10,0)</f>
        <v>0</v>
      </c>
      <c r="T10" s="267">
        <f>IF(AND(Бланк!K16="+",OR(Проверки!$I8:$L8,Проверки!$O8)),$F10,0)</f>
        <v>0</v>
      </c>
      <c r="U10" s="267">
        <f>IF(AND(Бланк!I16="+",Проверки!$M8),Бланк!$O16,0)</f>
        <v>0</v>
      </c>
      <c r="V10" s="269">
        <f>IF(AND(Бланк!J16="+",Проверки!$M8),Бланк!$O16,0)</f>
        <v>0</v>
      </c>
      <c r="W10" s="424">
        <f>IF(AND(Бланк!K16="+",Проверки!$M8),Бланк!$O16,0)</f>
        <v>0</v>
      </c>
      <c r="X10" s="414">
        <f t="shared" si="41"/>
        <v>0</v>
      </c>
      <c r="Y10" s="411">
        <f t="shared" si="42"/>
        <v>0</v>
      </c>
      <c r="Z10" s="411">
        <f t="shared" si="43"/>
        <v>0</v>
      </c>
      <c r="AA10" s="276">
        <f t="shared" si="44"/>
        <v>0</v>
      </c>
      <c r="AB10" s="276">
        <f t="shared" si="45"/>
        <v>0</v>
      </c>
      <c r="AC10" s="411">
        <f t="shared" si="46"/>
        <v>0</v>
      </c>
      <c r="AD10" s="411">
        <f t="shared" si="47"/>
        <v>0</v>
      </c>
      <c r="AE10" s="421">
        <f t="shared" si="48"/>
        <v>0</v>
      </c>
      <c r="AF10" s="421">
        <f t="shared" si="49"/>
        <v>0</v>
      </c>
      <c r="AG10" s="276">
        <f t="shared" si="50"/>
        <v>0</v>
      </c>
      <c r="AH10" s="276">
        <f t="shared" si="51"/>
        <v>0</v>
      </c>
      <c r="AI10" s="276">
        <f t="shared" si="52"/>
        <v>0</v>
      </c>
      <c r="AJ10" s="276">
        <f t="shared" si="53"/>
        <v>0</v>
      </c>
      <c r="AK10" s="276">
        <f t="shared" si="54"/>
        <v>0</v>
      </c>
      <c r="AL10" s="281">
        <f t="shared" si="55"/>
        <v>0</v>
      </c>
      <c r="AM10" s="443">
        <f t="shared" si="56"/>
        <v>0</v>
      </c>
      <c r="AN10" s="444">
        <f t="shared" si="57"/>
        <v>0</v>
      </c>
      <c r="AO10" s="443">
        <f t="shared" si="58"/>
        <v>0</v>
      </c>
      <c r="AP10" s="444">
        <f t="shared" si="59"/>
        <v>0</v>
      </c>
      <c r="AQ10" s="412">
        <f>IF(MID(Бланк!L16,1,1)="3",3,IF(MID(Бланк!L16,1,1)="2",2,1))</f>
        <v>1</v>
      </c>
      <c r="AR10" s="60">
        <f>IF(ISERROR(VALUE(MID(Бланк!M16,3,LEN(Бланк!M16)-SEARCH("x",Бланк!M16)))),0,VALUE(MID(Бланк!M16,3,LEN(Бланк!M16)-SEARCH("x",Бланк!M16))))</f>
        <v>0</v>
      </c>
      <c r="AS10" s="60">
        <f>Бланк!N16</f>
        <v>0</v>
      </c>
      <c r="AT10" s="7"/>
      <c r="AU10" s="287" t="s">
        <v>509</v>
      </c>
      <c r="AV10" s="288">
        <v>10</v>
      </c>
      <c r="BA10" s="7"/>
      <c r="BB10" s="7"/>
      <c r="BC10" s="510">
        <f>IF($C$6&amp;Бланк!$E$36&amp;IF(Габариты!$AS$6="снизу",Габариты!$AS$6,"сверху")=$BD10&amp;$BE10&amp;$BF10,1,0)</f>
        <v>0</v>
      </c>
      <c r="BD10" s="268">
        <v>3</v>
      </c>
      <c r="BE10" s="529" t="s">
        <v>45</v>
      </c>
      <c r="BF10" s="529" t="s">
        <v>80</v>
      </c>
      <c r="BG10" s="534">
        <v>225</v>
      </c>
      <c r="BH10" s="534">
        <f t="shared" si="76"/>
        <v>275</v>
      </c>
      <c r="BI10" s="534">
        <f t="shared" si="76"/>
        <v>325</v>
      </c>
      <c r="BJ10" s="534">
        <f t="shared" si="76"/>
        <v>525</v>
      </c>
      <c r="BK10" s="534">
        <f t="shared" si="76"/>
        <v>475</v>
      </c>
      <c r="BL10" s="551">
        <v>400</v>
      </c>
      <c r="BM10" s="551">
        <v>400</v>
      </c>
      <c r="BN10" s="551">
        <v>400</v>
      </c>
      <c r="BO10" s="551">
        <v>400</v>
      </c>
      <c r="BP10" s="551">
        <v>400</v>
      </c>
      <c r="BQ10" s="551">
        <v>400</v>
      </c>
      <c r="BR10" s="551">
        <v>400</v>
      </c>
      <c r="BS10" s="551">
        <v>400</v>
      </c>
      <c r="BT10" s="551">
        <v>400</v>
      </c>
      <c r="BU10" s="551">
        <v>400</v>
      </c>
      <c r="BV10" s="529">
        <v>725</v>
      </c>
      <c r="BW10" s="529">
        <v>725</v>
      </c>
      <c r="BX10" s="529">
        <v>725</v>
      </c>
      <c r="BY10" s="534">
        <v>250</v>
      </c>
      <c r="BZ10" s="534">
        <v>250</v>
      </c>
      <c r="CA10" s="534">
        <v>550</v>
      </c>
      <c r="CB10" s="534">
        <v>675</v>
      </c>
      <c r="CC10" s="529">
        <v>825</v>
      </c>
      <c r="CD10" s="529">
        <v>825</v>
      </c>
      <c r="CE10" s="529">
        <v>825</v>
      </c>
      <c r="CF10" s="529">
        <v>825</v>
      </c>
      <c r="CG10" s="529">
        <v>925</v>
      </c>
      <c r="CI10" s="157" t="s">
        <v>88</v>
      </c>
      <c r="CJ10" s="890">
        <f>IF(OR($G10=0,$B10="NSX"),0,ROUNDDOWN(($A$68-SUM(CL$6:CL9))/$G10,0))</f>
        <v>0</v>
      </c>
      <c r="CK10" s="880">
        <f t="shared" si="13"/>
        <v>0</v>
      </c>
      <c r="CL10" s="157">
        <f t="shared" si="60"/>
        <v>0</v>
      </c>
      <c r="CM10" s="890">
        <f>IF(OR($G10=0,$B10="NSX"),0,ROUNDDOWN(($A$68-SUM(CO$6:CO9))/$G10,0))</f>
        <v>0</v>
      </c>
      <c r="CN10" s="157">
        <f>IF(CM10&gt;=$F10-SUMIF($CK$5:CK$5,"Кол-во",$CK10:CK10),$F10-SUMIF($CK$5:CK$5,"Кол-во",$CK10:CK10),CM10)</f>
        <v>0</v>
      </c>
      <c r="CO10" s="157">
        <f t="shared" si="61"/>
        <v>0</v>
      </c>
      <c r="CP10" s="890">
        <f>IF(OR($G10=0,$B10="NSX"),0,ROUNDDOWN(($A$68-SUM(CR$6:CR9))/$G10,0))</f>
        <v>0</v>
      </c>
      <c r="CQ10" s="890">
        <f>IF(CP10&gt;=$F10-SUMIF($CK$5:CN$5,"Кол-во",$CK10:CN10),$F10-SUMIF($CK$5:CN$5,"Кол-во",$CK10:CN10),CP10)</f>
        <v>0</v>
      </c>
      <c r="CR10" s="890">
        <f t="shared" si="62"/>
        <v>0</v>
      </c>
      <c r="CS10" s="890">
        <f>IF(OR($G10=0,$B10="NSX"),0,ROUNDDOWN(($A$68-SUM(CU$6:CU9))/$G10,0))</f>
        <v>0</v>
      </c>
      <c r="CT10" s="890">
        <f>IF(CS10&gt;=$F10-SUMIF($CK$5:CQ$5,"Кол-во",$CK10:CQ10),$F10-SUMIF($CK$5:CQ$5,"Кол-во",$CK10:CQ10),CS10)</f>
        <v>0</v>
      </c>
      <c r="CU10" s="890">
        <f t="shared" si="63"/>
        <v>0</v>
      </c>
      <c r="CV10" s="890">
        <f>IF(OR($G10=0,$B10="NSX"),0,ROUNDDOWN(($A$68-SUM(CX$6:CX9))/$G10,0))</f>
        <v>0</v>
      </c>
      <c r="CW10" s="890">
        <f>IF(CV10&gt;=$F10-SUMIF($CK$5:CT$5,"Кол-во",$CK10:CT10),$F10-SUMIF($CK$5:CT$5,"Кол-во",$CK10:CT10),CV10)</f>
        <v>0</v>
      </c>
      <c r="CX10" s="890">
        <f t="shared" si="64"/>
        <v>0</v>
      </c>
      <c r="CY10" s="890">
        <f>IF(OR($G10=0,$B10="NSX"),0,ROUNDDOWN(($A$68-SUM(DA$6:DA9))/$G10,0))</f>
        <v>0</v>
      </c>
      <c r="CZ10" s="890">
        <f>IF(CY10&gt;=$F10-SUMIF($CK$5:CW$5,"Кол-во",$CK10:CW10),$F10-SUMIF($CK$5:CW$5,"Кол-во",$CK10:CW10),CY10)</f>
        <v>0</v>
      </c>
      <c r="DA10" s="890">
        <f t="shared" si="65"/>
        <v>0</v>
      </c>
      <c r="DB10" s="890">
        <f>IF(OR($G10=0,$B10="NSX"),0,ROUNDDOWN(($A$68-SUM(DD$6:DD9))/$G10,0))</f>
        <v>0</v>
      </c>
      <c r="DC10" s="890">
        <f>IF(DB10&gt;=$F10-SUMIF($CK$5:CZ$5,"Кол-во",$CK10:CZ10),$F10-SUMIF($CK$5:CZ$5,"Кол-во",$CK10:CZ10),DB10)</f>
        <v>0</v>
      </c>
      <c r="DD10" s="890">
        <f t="shared" si="66"/>
        <v>0</v>
      </c>
      <c r="DE10" s="890">
        <f>IF(OR($G10=0,$B10="NSX"),0,ROUNDDOWN(($A$68-SUM(DG$6:DG9))/$G10,0))</f>
        <v>0</v>
      </c>
      <c r="DF10" s="890">
        <f>IF(DE10&gt;=$F10-SUMIF($CK$5:DC$5,"Кол-во",$CK10:DC10),$F10-SUMIF($CK$5:DC$5,"Кол-во",$CK10:DC10),DE10)</f>
        <v>0</v>
      </c>
      <c r="DG10" s="890">
        <f t="shared" si="67"/>
        <v>0</v>
      </c>
      <c r="DH10" s="890">
        <f>IF(OR($G10=0,$B10="NSX"),0,ROUNDDOWN(($A$68-SUM(DJ$6:DJ9))/$G10,0))</f>
        <v>0</v>
      </c>
      <c r="DI10" s="890">
        <f>IF(DH10&gt;=$F10-SUMIF($CK$5:DF$5,"Кол-во",$CK10:DF10),$F10-SUMIF($CK$5:DF$5,"Кол-во",$CK10:DF10),DH10)</f>
        <v>0</v>
      </c>
      <c r="DJ10" s="890">
        <f t="shared" si="68"/>
        <v>0</v>
      </c>
      <c r="DK10" s="890">
        <f>IF(OR($G10=0,$B10="NSX"),0,ROUNDDOWN(($A$68-SUM(DM$6:DM9))/$G10,0))</f>
        <v>0</v>
      </c>
      <c r="DL10" s="890">
        <f>IF(DK10&gt;=$F10-SUMIF($CK$5:DI$5,"Кол-во",$CK10:DI10),$F10-SUMIF($CK$5:DI$5,"Кол-во",$CK10:DI10),DK10)</f>
        <v>0</v>
      </c>
      <c r="DM10" s="890">
        <f t="shared" si="69"/>
        <v>0</v>
      </c>
      <c r="DO10" s="29" t="s">
        <v>223</v>
      </c>
      <c r="DP10" s="4">
        <v>75</v>
      </c>
      <c r="DQ10" s="52" t="s">
        <v>261</v>
      </c>
      <c r="DS10" s="352" t="str">
        <f t="shared" si="14"/>
        <v>TN-S2</v>
      </c>
      <c r="DT10" s="569" t="s">
        <v>5</v>
      </c>
      <c r="DU10" s="569">
        <v>2</v>
      </c>
      <c r="DV10" s="569">
        <v>3</v>
      </c>
      <c r="DW10" s="358"/>
      <c r="DX10" s="352" t="str">
        <f t="shared" si="15"/>
        <v>TN-C-S4</v>
      </c>
      <c r="DY10" s="569" t="s">
        <v>7</v>
      </c>
      <c r="DZ10" s="569">
        <v>4</v>
      </c>
      <c r="EA10" s="569">
        <v>5</v>
      </c>
      <c r="EC10" s="559">
        <v>4</v>
      </c>
      <c r="ED10" s="559">
        <v>1</v>
      </c>
      <c r="EE10" s="352">
        <v>1.5</v>
      </c>
      <c r="EF10" s="560"/>
      <c r="EG10" s="20"/>
      <c r="EH10" s="32"/>
      <c r="EI10" s="21" t="s">
        <v>89</v>
      </c>
      <c r="EJ10" s="21">
        <f>Бланк!$O$17</f>
        <v>0</v>
      </c>
      <c r="EK10" s="296">
        <f>IFERROR(VALUE(MID(Бланк!$L17,1,1)),1)*EJ10</f>
        <v>0</v>
      </c>
      <c r="EL10" s="21" t="str">
        <f>IF(EJ10=EK10,MID(Бланк!$L17,1,100),MID(Бланк!$L17,3,100))</f>
        <v/>
      </c>
      <c r="EM10" s="21">
        <f>Бланк!$M17</f>
        <v>0</v>
      </c>
      <c r="EN10" s="354">
        <f>_xlfn.IFNA(VLOOKUP(Бланк!$K$3&amp;Габариты!$C11,$DX:$EA,4,FALSE)&amp;"x"&amp;VLOOKUP(Проверки!$D9,$EC:$EE,3,FALSE),0)</f>
        <v>0</v>
      </c>
      <c r="EO10" s="354">
        <f t="shared" si="16"/>
        <v>0</v>
      </c>
      <c r="EP10" s="4">
        <f>Бланк!$N17</f>
        <v>0</v>
      </c>
      <c r="EQ10" s="559">
        <f>_xlfn.IFNA(VLOOKUP(EL10&amp;" "&amp;EO10,'Список кабелей'!$I:$J,2,FALSE),0)</f>
        <v>0</v>
      </c>
      <c r="ER10" s="353">
        <f>IF(OR(EL10="-",EO10="-",EP10="-",Проверки!$D9=""),0,VLOOKUP(EO10,'Список кабелей'!$D:$J,7,FALSE))</f>
        <v>0</v>
      </c>
      <c r="ES10" s="559">
        <f t="shared" si="17"/>
        <v>0</v>
      </c>
      <c r="ET10" s="354">
        <f>EK10*_xlfn.IFNA(VLOOKUP(Проверки!$D9,$EC:$EE,2,FALSE),0)</f>
        <v>0</v>
      </c>
      <c r="EU10" s="44">
        <f t="shared" si="18"/>
        <v>0</v>
      </c>
      <c r="EV10" s="56">
        <f t="shared" si="19"/>
        <v>0</v>
      </c>
      <c r="EW10" s="55">
        <f t="shared" si="20"/>
        <v>0</v>
      </c>
      <c r="EX10" s="24">
        <f t="shared" si="0"/>
        <v>0</v>
      </c>
      <c r="EY10" s="24">
        <f t="shared" si="0"/>
        <v>0</v>
      </c>
      <c r="EZ10" s="24">
        <f t="shared" si="0"/>
        <v>0</v>
      </c>
      <c r="FA10" s="24">
        <f t="shared" si="0"/>
        <v>0</v>
      </c>
      <c r="FB10" s="24">
        <f t="shared" si="0"/>
        <v>0</v>
      </c>
      <c r="FC10" s="24">
        <f t="shared" si="0"/>
        <v>0</v>
      </c>
      <c r="FD10" s="24">
        <f t="shared" si="0"/>
        <v>0</v>
      </c>
      <c r="FE10" s="46">
        <f t="shared" si="0"/>
        <v>0</v>
      </c>
      <c r="FF10" s="561"/>
      <c r="FG10" s="1210"/>
      <c r="FH10" s="1186"/>
      <c r="FI10" s="168" t="s">
        <v>862</v>
      </c>
      <c r="FJ10" s="952">
        <f>IF(ISERROR(FJ9),0,ROUNDUP(FJ9,0))*VLOOKUP(FJ$4,$DO$5:$DP$13,2,0)</f>
        <v>0</v>
      </c>
      <c r="FK10" s="953">
        <f t="shared" ref="FK10:FR10" si="78">IF(ISERROR(FK9),0,ROUNDUP(FK9,0))*VLOOKUP(FK$4,$DO$5:$DP$13,2,0)</f>
        <v>0</v>
      </c>
      <c r="FL10" s="953">
        <f t="shared" si="78"/>
        <v>0</v>
      </c>
      <c r="FM10" s="953">
        <f t="shared" si="78"/>
        <v>0</v>
      </c>
      <c r="FN10" s="953">
        <f t="shared" si="78"/>
        <v>0</v>
      </c>
      <c r="FO10" s="953">
        <f t="shared" si="78"/>
        <v>0</v>
      </c>
      <c r="FP10" s="953">
        <f t="shared" si="78"/>
        <v>0</v>
      </c>
      <c r="FQ10" s="953">
        <f t="shared" si="78"/>
        <v>0</v>
      </c>
      <c r="FR10" s="239">
        <f t="shared" si="78"/>
        <v>0</v>
      </c>
      <c r="FS10" s="1194"/>
      <c r="FT10" s="1212"/>
      <c r="FU10" s="1255"/>
      <c r="FV10" s="561"/>
      <c r="FW10" s="280" t="s">
        <v>149</v>
      </c>
      <c r="FX10" s="2">
        <v>32</v>
      </c>
      <c r="FY10" s="747">
        <v>10</v>
      </c>
      <c r="GA10" s="785" t="s">
        <v>90</v>
      </c>
      <c r="GB10" s="785">
        <f>Бланк!C18</f>
        <v>0</v>
      </c>
      <c r="GC10" s="785">
        <f>Бланк!D18</f>
        <v>0</v>
      </c>
      <c r="GD10" s="786">
        <f t="shared" si="2"/>
        <v>26</v>
      </c>
      <c r="GE10" s="786" t="b">
        <f t="shared" si="22"/>
        <v>0</v>
      </c>
      <c r="GF10" s="786">
        <f t="shared" si="23"/>
        <v>0</v>
      </c>
      <c r="GG10" s="785">
        <v>6</v>
      </c>
      <c r="GI10" s="1014">
        <f t="shared" si="24"/>
        <v>0</v>
      </c>
      <c r="GJ10" s="1018">
        <f t="shared" ca="1" si="25"/>
        <v>8</v>
      </c>
      <c r="GL10" s="786">
        <v>125</v>
      </c>
      <c r="GM10" s="786">
        <v>6</v>
      </c>
      <c r="GO10" s="746">
        <v>40</v>
      </c>
      <c r="GP10" s="280">
        <f ca="1">SUMIFS(D!BY$85:BY$104,D!$BR$85:$BR$104,$GO10)</f>
        <v>1</v>
      </c>
      <c r="GQ10" s="757">
        <f ca="1">SUMIFS(D!BZ$85:BZ$99,D!$BR$85:$BR$99,$GO10)</f>
        <v>0</v>
      </c>
      <c r="GR10" s="758">
        <f ca="1">SUMIFS(D!CA$85:CA$99,D!$BR$85:$BR$99,$GO10)</f>
        <v>0</v>
      </c>
      <c r="GS10" s="280">
        <f>SUMIFS(D!BY$85:BY$99,D!$BP$85:$BP$99,TRUE,D!$BR$85:$BR$99,Габариты!$GO10)</f>
        <v>0</v>
      </c>
      <c r="GT10" s="757">
        <f>SUMIFS(D!BZ$85:BZ$99,D!$BP$85:$BP$99,TRUE,D!$BR$85:$BR$99,Габариты!$GO10)</f>
        <v>0</v>
      </c>
      <c r="GU10" s="758">
        <f>SUMIFS(D!CA$85:CA$99,D!$BP$85:$BP$99,TRUE,D!$BR$85:$BR$99,Габариты!$GO10)</f>
        <v>0</v>
      </c>
      <c r="GW10" s="757">
        <f ca="1">SUM(HB$5:HB9)-SUM(HC$5:HC9)</f>
        <v>0</v>
      </c>
      <c r="GX10" s="757">
        <f t="shared" ca="1" si="71"/>
        <v>0</v>
      </c>
      <c r="GY10" s="753">
        <f t="shared" ca="1" si="26"/>
        <v>1</v>
      </c>
      <c r="GZ10" s="280">
        <f t="shared" ca="1" si="27"/>
        <v>1</v>
      </c>
      <c r="HA10" s="758">
        <f t="shared" ca="1" si="28"/>
        <v>0</v>
      </c>
      <c r="HB10" s="280">
        <f t="shared" ca="1" si="29"/>
        <v>40</v>
      </c>
      <c r="HC10" s="753">
        <f t="shared" ca="1" si="30"/>
        <v>0</v>
      </c>
      <c r="HD10" s="802" t="b">
        <f t="shared" ca="1" si="3"/>
        <v>0</v>
      </c>
      <c r="HE10" s="802" t="b">
        <f t="shared" ca="1" si="4"/>
        <v>0</v>
      </c>
      <c r="HF10" s="754" t="b">
        <f t="shared" ca="1" si="31"/>
        <v>0</v>
      </c>
      <c r="HH10" s="757">
        <f ca="1">SUM(HM$5:HM9)-SUM(HN$5:HN9)</f>
        <v>0</v>
      </c>
      <c r="HI10" s="757">
        <f t="shared" ca="1" si="72"/>
        <v>0</v>
      </c>
      <c r="HJ10" s="753">
        <f t="shared" ca="1" si="73"/>
        <v>0</v>
      </c>
      <c r="HK10" s="280">
        <f t="shared" ca="1" si="5"/>
        <v>0</v>
      </c>
      <c r="HL10" s="758">
        <f t="shared" ca="1" si="6"/>
        <v>0</v>
      </c>
      <c r="HM10" s="280">
        <f t="shared" ca="1" si="32"/>
        <v>0</v>
      </c>
      <c r="HN10" s="753">
        <f t="shared" ca="1" si="33"/>
        <v>0</v>
      </c>
      <c r="HO10" s="802" t="b">
        <f t="shared" ca="1" si="7"/>
        <v>0</v>
      </c>
      <c r="HP10" s="802" t="b">
        <f t="shared" ca="1" si="8"/>
        <v>0</v>
      </c>
      <c r="HQ10" s="754" t="b">
        <f t="shared" ca="1" si="34"/>
        <v>0</v>
      </c>
      <c r="HS10" s="757">
        <f ca="1">SUM($HB$5:$HB9)-SUM($HC$5:$HC9)</f>
        <v>0</v>
      </c>
      <c r="HT10" s="757">
        <f t="shared" ca="1" si="74"/>
        <v>0</v>
      </c>
      <c r="HU10" s="753">
        <f t="shared" ca="1" si="35"/>
        <v>0</v>
      </c>
      <c r="HV10" s="280">
        <f t="shared" ca="1" si="36"/>
        <v>0</v>
      </c>
      <c r="HW10" s="758">
        <f t="shared" ca="1" si="37"/>
        <v>0</v>
      </c>
      <c r="HX10" s="280">
        <f t="shared" ca="1" si="38"/>
        <v>0</v>
      </c>
      <c r="HY10" s="753">
        <f t="shared" ca="1" si="39"/>
        <v>0</v>
      </c>
      <c r="HZ10" s="802" t="b">
        <f t="shared" ca="1" si="9"/>
        <v>0</v>
      </c>
      <c r="IA10" s="802" t="b">
        <f t="shared" ca="1" si="10"/>
        <v>0</v>
      </c>
      <c r="IB10" s="754" t="b">
        <f t="shared" ca="1" si="40"/>
        <v>0</v>
      </c>
      <c r="IC10" s="777"/>
    </row>
    <row r="11" spans="1:245" x14ac:dyDescent="0.2">
      <c r="A11" s="65" t="s">
        <v>89</v>
      </c>
      <c r="B11" s="141" t="str">
        <f>MID(Бланк!B17,1,3)</f>
        <v/>
      </c>
      <c r="C11" s="149">
        <f>IF(ISBLANK(Бланк!$C17),0,MID(Бланк!$C17,1,1))</f>
        <v>0</v>
      </c>
      <c r="D11" s="60">
        <f>Бланк!D17</f>
        <v>0</v>
      </c>
      <c r="E11" s="267" t="b">
        <f>AND(MID(Бланк!$H17,1,3)&lt;&gt;"-",MID(Бланк!$H17,1,3)&lt;&gt;"")</f>
        <v>0</v>
      </c>
      <c r="F11" s="149">
        <f>Бланк!$O17</f>
        <v>0</v>
      </c>
      <c r="G11" s="60">
        <f t="shared" si="11"/>
        <v>0</v>
      </c>
      <c r="H11" s="143">
        <f t="shared" si="12"/>
        <v>0</v>
      </c>
      <c r="I11" s="266">
        <f>IF(AND($E11,Проверки!$I9,$D11&lt;=25,$C11="2"),$F11,0)</f>
        <v>0</v>
      </c>
      <c r="J11" s="267">
        <f>IF(AND($E11,Проверки!I9,$D11&lt;=63,$C11="2",I11=0),$F11,0)</f>
        <v>0</v>
      </c>
      <c r="K11" s="267">
        <f>IF(AND($E11,Проверки!$I9,$D11&lt;=25,$C11&gt;="3"),$F11,0)</f>
        <v>0</v>
      </c>
      <c r="L11" s="267">
        <f>IF(AND($E11,Проверки!$I9,$D11&lt;=63,C11&gt;="3",K11=0),$F11,0)</f>
        <v>0</v>
      </c>
      <c r="M11" s="267">
        <f>IF(AND($E11,Проверки!L9,$C11="2"),$F11,0)</f>
        <v>0</v>
      </c>
      <c r="N11" s="267">
        <f>IF(AND($E11,Проверки!$L9,$C11&gt;="3"),$F11,0)</f>
        <v>0</v>
      </c>
      <c r="O11" s="267">
        <f>IF(AND($E11,Проверки!$M9,$C11="2"),1,0)</f>
        <v>0</v>
      </c>
      <c r="P11" s="267">
        <f>IF(AND($E11,Проверки!$M9,$C11&gt;="3",$D11&lt;=63,ISERR(SEARCH("si",Бланк!H17))),1,0)</f>
        <v>0</v>
      </c>
      <c r="Q11" s="267">
        <f>IF(AND($E11,Проверки!$M9,$C11&gt;="3",P11=0),1,0)</f>
        <v>0</v>
      </c>
      <c r="R11" s="267">
        <f>IF(AND(Бланк!I17="+",OR(Проверки!$I9:$L9,Проверки!$O9)),$F11,0)</f>
        <v>0</v>
      </c>
      <c r="S11" s="267">
        <f>IF(AND(Бланк!J17="+",OR(Проверки!$I9:$L9,Проверки!$O9)),$F11,0)</f>
        <v>0</v>
      </c>
      <c r="T11" s="267">
        <f>IF(AND(Бланк!K17="+",OR(Проверки!$I9:$L9,Проверки!$O9)),$F11,0)</f>
        <v>0</v>
      </c>
      <c r="U11" s="267">
        <f>IF(AND(Бланк!I17="+",Проверки!$M9),Бланк!$O17,0)</f>
        <v>0</v>
      </c>
      <c r="V11" s="269">
        <f>IF(AND(Бланк!J17="+",Проверки!$M9),Бланк!$O17,0)</f>
        <v>0</v>
      </c>
      <c r="W11" s="424">
        <f>IF(AND(Бланк!K17="+",Проверки!$M9),Бланк!$O17,0)</f>
        <v>0</v>
      </c>
      <c r="X11" s="414">
        <f t="shared" si="41"/>
        <v>0</v>
      </c>
      <c r="Y11" s="411">
        <f t="shared" si="42"/>
        <v>0</v>
      </c>
      <c r="Z11" s="411">
        <f t="shared" si="43"/>
        <v>0</v>
      </c>
      <c r="AA11" s="276">
        <f t="shared" si="44"/>
        <v>0</v>
      </c>
      <c r="AB11" s="276">
        <f t="shared" si="45"/>
        <v>0</v>
      </c>
      <c r="AC11" s="411">
        <f t="shared" si="46"/>
        <v>0</v>
      </c>
      <c r="AD11" s="411">
        <f t="shared" si="47"/>
        <v>0</v>
      </c>
      <c r="AE11" s="421">
        <f t="shared" si="48"/>
        <v>0</v>
      </c>
      <c r="AF11" s="421">
        <f t="shared" si="49"/>
        <v>0</v>
      </c>
      <c r="AG11" s="276">
        <f t="shared" si="50"/>
        <v>0</v>
      </c>
      <c r="AH11" s="276">
        <f t="shared" si="51"/>
        <v>0</v>
      </c>
      <c r="AI11" s="276">
        <f t="shared" si="52"/>
        <v>0</v>
      </c>
      <c r="AJ11" s="276">
        <f t="shared" si="53"/>
        <v>0</v>
      </c>
      <c r="AK11" s="276">
        <f t="shared" si="54"/>
        <v>0</v>
      </c>
      <c r="AL11" s="281">
        <f t="shared" si="55"/>
        <v>0</v>
      </c>
      <c r="AM11" s="443">
        <f t="shared" si="56"/>
        <v>0</v>
      </c>
      <c r="AN11" s="444">
        <f t="shared" si="57"/>
        <v>0</v>
      </c>
      <c r="AO11" s="443">
        <f t="shared" si="58"/>
        <v>0</v>
      </c>
      <c r="AP11" s="444">
        <f t="shared" si="59"/>
        <v>0</v>
      </c>
      <c r="AQ11" s="412">
        <f>IF(MID(Бланк!L17,1,1)="3",3,IF(MID(Бланк!L17,1,1)="2",2,1))</f>
        <v>1</v>
      </c>
      <c r="AR11" s="60">
        <f>IF(ISERROR(VALUE(MID(Бланк!M17,3,LEN(Бланк!M17)-SEARCH("x",Бланк!M17)))),0,VALUE(MID(Бланк!M17,3,LEN(Бланк!M17)-SEARCH("x",Бланк!M17))))</f>
        <v>0</v>
      </c>
      <c r="AS11" s="60">
        <f>Бланк!N17</f>
        <v>0</v>
      </c>
      <c r="AT11" s="7"/>
      <c r="AU11" s="280" t="s">
        <v>513</v>
      </c>
      <c r="AV11" s="444">
        <v>16</v>
      </c>
      <c r="BA11" s="7"/>
      <c r="BB11" s="7"/>
      <c r="BC11" s="510">
        <f>IF($C$6&amp;Бланк!$E$36&amp;IF(Габариты!$AS$6="снизу",Габариты!$AS$6,"сверху")=$BD11&amp;$BE11&amp;$BF11,1,0)</f>
        <v>0</v>
      </c>
      <c r="BD11" s="423">
        <v>4</v>
      </c>
      <c r="BE11" s="532" t="s">
        <v>43</v>
      </c>
      <c r="BF11" s="532" t="s">
        <v>79</v>
      </c>
      <c r="BG11" s="533">
        <v>200</v>
      </c>
      <c r="BH11" s="533">
        <v>250</v>
      </c>
      <c r="BI11" s="533">
        <v>500</v>
      </c>
      <c r="BJ11" s="533">
        <v>500</v>
      </c>
      <c r="BK11" s="533">
        <v>650</v>
      </c>
      <c r="BL11" s="549">
        <v>400</v>
      </c>
      <c r="BM11" s="549">
        <v>600</v>
      </c>
      <c r="BN11" s="549">
        <v>400</v>
      </c>
      <c r="BO11" s="549">
        <v>600</v>
      </c>
      <c r="BP11" s="549">
        <v>400</v>
      </c>
      <c r="BQ11" s="549">
        <v>600</v>
      </c>
      <c r="BR11" s="549">
        <v>400</v>
      </c>
      <c r="BS11" s="549">
        <v>600</v>
      </c>
      <c r="BT11" s="549">
        <v>400</v>
      </c>
      <c r="BU11" s="549">
        <v>600</v>
      </c>
      <c r="BV11" s="532">
        <v>725</v>
      </c>
      <c r="BW11" s="532">
        <v>725</v>
      </c>
      <c r="BX11" s="532">
        <v>725</v>
      </c>
      <c r="BY11" s="533">
        <v>250</v>
      </c>
      <c r="BZ11" s="533">
        <v>450</v>
      </c>
      <c r="CA11" s="533">
        <v>550</v>
      </c>
      <c r="CB11" s="533">
        <v>675</v>
      </c>
      <c r="CC11" s="532">
        <v>825</v>
      </c>
      <c r="CD11" s="532">
        <v>825</v>
      </c>
      <c r="CE11" s="532">
        <v>825</v>
      </c>
      <c r="CF11" s="532">
        <v>825</v>
      </c>
      <c r="CG11" s="532" t="s">
        <v>30</v>
      </c>
      <c r="CI11" s="157" t="s">
        <v>89</v>
      </c>
      <c r="CJ11" s="890">
        <f>IF(OR($G11=0,$B11="NSX"),0,ROUNDDOWN(($A$68-SUM(CL$6:CL10))/$G11,0))</f>
        <v>0</v>
      </c>
      <c r="CK11" s="880">
        <f t="shared" si="13"/>
        <v>0</v>
      </c>
      <c r="CL11" s="157">
        <f t="shared" si="60"/>
        <v>0</v>
      </c>
      <c r="CM11" s="890">
        <f>IF(OR($G11=0,$B11="NSX"),0,ROUNDDOWN(($A$68-SUM(CO$6:CO10))/$G11,0))</f>
        <v>0</v>
      </c>
      <c r="CN11" s="157">
        <f>IF(CM11&gt;=$F11-SUMIF($CK$5:CK$5,"Кол-во",$CK11:CK11),$F11-SUMIF($CK$5:CK$5,"Кол-во",$CK11:CK11),CM11)</f>
        <v>0</v>
      </c>
      <c r="CO11" s="157">
        <f t="shared" si="61"/>
        <v>0</v>
      </c>
      <c r="CP11" s="890">
        <f>IF(OR($G11=0,$B11="NSX"),0,ROUNDDOWN(($A$68-SUM(CR$6:CR10))/$G11,0))</f>
        <v>0</v>
      </c>
      <c r="CQ11" s="890">
        <f>IF(CP11&gt;=$F11-SUMIF($CK$5:CN$5,"Кол-во",$CK11:CN11),$F11-SUMIF($CK$5:CN$5,"Кол-во",$CK11:CN11),CP11)</f>
        <v>0</v>
      </c>
      <c r="CR11" s="890">
        <f t="shared" si="62"/>
        <v>0</v>
      </c>
      <c r="CS11" s="890">
        <f>IF(OR($G11=0,$B11="NSX"),0,ROUNDDOWN(($A$68-SUM(CU$6:CU10))/$G11,0))</f>
        <v>0</v>
      </c>
      <c r="CT11" s="890">
        <f>IF(CS11&gt;=$F11-SUMIF($CK$5:CQ$5,"Кол-во",$CK11:CQ11),$F11-SUMIF($CK$5:CQ$5,"Кол-во",$CK11:CQ11),CS11)</f>
        <v>0</v>
      </c>
      <c r="CU11" s="890">
        <f t="shared" si="63"/>
        <v>0</v>
      </c>
      <c r="CV11" s="890">
        <f>IF(OR($G11=0,$B11="NSX"),0,ROUNDDOWN(($A$68-SUM(CX$6:CX10))/$G11,0))</f>
        <v>0</v>
      </c>
      <c r="CW11" s="890">
        <f>IF(CV11&gt;=$F11-SUMIF($CK$5:CT$5,"Кол-во",$CK11:CT11),$F11-SUMIF($CK$5:CT$5,"Кол-во",$CK11:CT11),CV11)</f>
        <v>0</v>
      </c>
      <c r="CX11" s="890">
        <f t="shared" si="64"/>
        <v>0</v>
      </c>
      <c r="CY11" s="890">
        <f>IF(OR($G11=0,$B11="NSX"),0,ROUNDDOWN(($A$68-SUM(DA$6:DA10))/$G11,0))</f>
        <v>0</v>
      </c>
      <c r="CZ11" s="890">
        <f>IF(CY11&gt;=$F11-SUMIF($CK$5:CW$5,"Кол-во",$CK11:CW11),$F11-SUMIF($CK$5:CW$5,"Кол-во",$CK11:CW11),CY11)</f>
        <v>0</v>
      </c>
      <c r="DA11" s="890">
        <f t="shared" si="65"/>
        <v>0</v>
      </c>
      <c r="DB11" s="890">
        <f>IF(OR($G11=0,$B11="NSX"),0,ROUNDDOWN(($A$68-SUM(DD$6:DD10))/$G11,0))</f>
        <v>0</v>
      </c>
      <c r="DC11" s="890">
        <f>IF(DB11&gt;=$F11-SUMIF($CK$5:CZ$5,"Кол-во",$CK11:CZ11),$F11-SUMIF($CK$5:CZ$5,"Кол-во",$CK11:CZ11),DB11)</f>
        <v>0</v>
      </c>
      <c r="DD11" s="890">
        <f t="shared" si="66"/>
        <v>0</v>
      </c>
      <c r="DE11" s="890">
        <f>IF(OR($G11=0,$B11="NSX"),0,ROUNDDOWN(($A$68-SUM(DG$6:DG10))/$G11,0))</f>
        <v>0</v>
      </c>
      <c r="DF11" s="890">
        <f>IF(DE11&gt;=$F11-SUMIF($CK$5:DC$5,"Кол-во",$CK11:DC11),$F11-SUMIF($CK$5:DC$5,"Кол-во",$CK11:DC11),DE11)</f>
        <v>0</v>
      </c>
      <c r="DG11" s="890">
        <f t="shared" si="67"/>
        <v>0</v>
      </c>
      <c r="DH11" s="890">
        <f>IF(OR($G11=0,$B11="NSX"),0,ROUNDDOWN(($A$68-SUM(DJ$6:DJ10))/$G11,0))</f>
        <v>0</v>
      </c>
      <c r="DI11" s="890">
        <f>IF(DH11&gt;=$F11-SUMIF($CK$5:DF$5,"Кол-во",$CK11:DF11),$F11-SUMIF($CK$5:DF$5,"Кол-во",$CK11:DF11),DH11)</f>
        <v>0</v>
      </c>
      <c r="DJ11" s="890">
        <f t="shared" si="68"/>
        <v>0</v>
      </c>
      <c r="DK11" s="890">
        <f>IF(OR($G11=0,$B11="NSX"),0,ROUNDDOWN(($A$68-SUM(DM$6:DM10))/$G11,0))</f>
        <v>0</v>
      </c>
      <c r="DL11" s="890">
        <f>IF(DK11&gt;=$F11-SUMIF($CK$5:DI$5,"Кол-во",$CK11:DI11),$F11-SUMIF($CK$5:DI$5,"Кол-во",$CK11:DI11),DK11)</f>
        <v>0</v>
      </c>
      <c r="DM11" s="890">
        <f t="shared" si="69"/>
        <v>0</v>
      </c>
      <c r="DO11" s="29" t="s">
        <v>222</v>
      </c>
      <c r="DP11" s="4">
        <v>82</v>
      </c>
      <c r="DQ11" s="52" t="s">
        <v>262</v>
      </c>
      <c r="DS11" s="352" t="str">
        <f t="shared" si="14"/>
        <v>TN-S3</v>
      </c>
      <c r="DT11" s="569" t="s">
        <v>5</v>
      </c>
      <c r="DU11" s="569">
        <v>3</v>
      </c>
      <c r="DV11" s="569">
        <v>5</v>
      </c>
      <c r="DW11" s="358"/>
      <c r="DX11" s="352" t="str">
        <f t="shared" si="15"/>
        <v>TN-S1</v>
      </c>
      <c r="DY11" s="569" t="s">
        <v>5</v>
      </c>
      <c r="DZ11" s="569">
        <v>1</v>
      </c>
      <c r="EA11" s="569">
        <v>3</v>
      </c>
      <c r="EC11" s="559">
        <v>5</v>
      </c>
      <c r="ED11" s="559">
        <v>1</v>
      </c>
      <c r="EE11" s="352">
        <v>1.5</v>
      </c>
      <c r="EF11" s="560"/>
      <c r="EG11" s="20"/>
      <c r="EH11" s="32"/>
      <c r="EI11" s="21" t="s">
        <v>90</v>
      </c>
      <c r="EJ11" s="21">
        <f>Бланк!$O$18</f>
        <v>0</v>
      </c>
      <c r="EK11" s="296">
        <f>IFERROR(VALUE(MID(Бланк!$L18,1,1)),1)*EJ11</f>
        <v>0</v>
      </c>
      <c r="EL11" s="21" t="str">
        <f>IF(EJ11=EK11,MID(Бланк!$L18,1,100),MID(Бланк!$L18,3,100))</f>
        <v/>
      </c>
      <c r="EM11" s="21">
        <f>Бланк!$M18</f>
        <v>0</v>
      </c>
      <c r="EN11" s="354">
        <f>_xlfn.IFNA(VLOOKUP(Бланк!$K$3&amp;Габариты!$C12,$DX:$EA,4,FALSE)&amp;"x"&amp;VLOOKUP(Проверки!$D10,$EC:$EE,3,FALSE),0)</f>
        <v>0</v>
      </c>
      <c r="EO11" s="354">
        <f t="shared" si="16"/>
        <v>0</v>
      </c>
      <c r="EP11" s="4">
        <f>Бланк!$N18</f>
        <v>0</v>
      </c>
      <c r="EQ11" s="559">
        <f>_xlfn.IFNA(VLOOKUP(EL11&amp;" "&amp;EO11,'Список кабелей'!$I:$J,2,FALSE),0)</f>
        <v>0</v>
      </c>
      <c r="ER11" s="353">
        <f>IF(OR(EL11="-",EO11="-",EP11="-",Проверки!$D10=""),0,VLOOKUP(EO11,'Список кабелей'!$D:$J,7,FALSE))</f>
        <v>0</v>
      </c>
      <c r="ES11" s="559">
        <f t="shared" si="17"/>
        <v>0</v>
      </c>
      <c r="ET11" s="354">
        <f>EK11*_xlfn.IFNA(VLOOKUP(Проверки!$D10,$EC:$EE,2,FALSE),0)</f>
        <v>0</v>
      </c>
      <c r="EU11" s="44">
        <f t="shared" si="18"/>
        <v>0</v>
      </c>
      <c r="EV11" s="56">
        <f t="shared" si="19"/>
        <v>0</v>
      </c>
      <c r="EW11" s="55">
        <f t="shared" si="20"/>
        <v>0</v>
      </c>
      <c r="EX11" s="24">
        <f t="shared" si="0"/>
        <v>0</v>
      </c>
      <c r="EY11" s="24">
        <f t="shared" si="0"/>
        <v>0</v>
      </c>
      <c r="EZ11" s="24">
        <f t="shared" si="0"/>
        <v>0</v>
      </c>
      <c r="FA11" s="24">
        <f t="shared" si="0"/>
        <v>0</v>
      </c>
      <c r="FB11" s="24">
        <f t="shared" si="0"/>
        <v>0</v>
      </c>
      <c r="FC11" s="24">
        <f t="shared" si="0"/>
        <v>0</v>
      </c>
      <c r="FD11" s="24">
        <f t="shared" si="0"/>
        <v>0</v>
      </c>
      <c r="FE11" s="46">
        <f t="shared" si="0"/>
        <v>0</v>
      </c>
      <c r="FF11" s="561"/>
      <c r="FG11" s="1209" t="s">
        <v>79</v>
      </c>
      <c r="FH11" s="1185" t="s">
        <v>235</v>
      </c>
      <c r="FI11" s="164" t="s">
        <v>233</v>
      </c>
      <c r="FJ11" s="956">
        <f>FJ$5/FJ$20</f>
        <v>0</v>
      </c>
      <c r="FK11" s="957">
        <f t="shared" ref="FK11:FR11" si="79">FK$5/FK$20</f>
        <v>0.5</v>
      </c>
      <c r="FL11" s="957">
        <f t="shared" si="79"/>
        <v>0</v>
      </c>
      <c r="FM11" s="957">
        <f t="shared" si="79"/>
        <v>0</v>
      </c>
      <c r="FN11" s="957">
        <f t="shared" si="79"/>
        <v>0</v>
      </c>
      <c r="FO11" s="957">
        <f t="shared" si="79"/>
        <v>0</v>
      </c>
      <c r="FP11" s="957">
        <f t="shared" si="79"/>
        <v>0.6</v>
      </c>
      <c r="FQ11" s="957">
        <f t="shared" si="79"/>
        <v>0</v>
      </c>
      <c r="FR11" s="958">
        <f t="shared" si="79"/>
        <v>1.5</v>
      </c>
      <c r="FS11" s="1193">
        <f>SUM(FJ12:FR12)</f>
        <v>202</v>
      </c>
      <c r="FT11" s="1195">
        <f>MID($FH11,1,3)-70</f>
        <v>230</v>
      </c>
      <c r="FU11" s="1198" t="b">
        <f>AND(NOT(ISERROR(SUM(FJ11:FR13))),MAX(FS11,FS13)&lt;($EG$5-100))</f>
        <v>1</v>
      </c>
      <c r="FV11" s="561"/>
      <c r="FW11" s="280" t="s">
        <v>149</v>
      </c>
      <c r="FX11" s="565">
        <v>125</v>
      </c>
      <c r="FY11" s="747">
        <v>16</v>
      </c>
      <c r="GA11" s="785" t="s">
        <v>91</v>
      </c>
      <c r="GB11" s="785">
        <f>Бланк!C19</f>
        <v>0</v>
      </c>
      <c r="GC11" s="785">
        <f>Бланк!D19</f>
        <v>0</v>
      </c>
      <c r="GD11" s="786">
        <f t="shared" si="2"/>
        <v>26</v>
      </c>
      <c r="GE11" s="786" t="b">
        <f t="shared" si="22"/>
        <v>0</v>
      </c>
      <c r="GF11" s="786">
        <f t="shared" si="23"/>
        <v>0</v>
      </c>
      <c r="GG11" s="785">
        <v>7</v>
      </c>
      <c r="GI11" s="1014">
        <f t="shared" si="24"/>
        <v>0</v>
      </c>
      <c r="GJ11" s="1018">
        <f t="shared" ca="1" si="25"/>
        <v>9</v>
      </c>
      <c r="GL11" s="786">
        <v>100</v>
      </c>
      <c r="GM11" s="786">
        <v>7</v>
      </c>
      <c r="GO11" s="746">
        <v>32</v>
      </c>
      <c r="GP11" s="280">
        <f ca="1">SUMIFS(D!BY$85:BY$104,D!$BR$85:$BR$104,$GO11)</f>
        <v>0</v>
      </c>
      <c r="GQ11" s="757">
        <f ca="1">SUMIFS(D!BZ$85:BZ$99,D!$BR$85:$BR$99,$GO11)</f>
        <v>0</v>
      </c>
      <c r="GR11" s="758">
        <f ca="1">SUMIFS(D!CA$85:CA$99,D!$BR$85:$BR$99,$GO11)</f>
        <v>0</v>
      </c>
      <c r="GS11" s="280">
        <f>SUMIFS(D!BY$85:BY$99,D!$BP$85:$BP$99,TRUE,D!$BR$85:$BR$99,Габариты!$GO11)</f>
        <v>0</v>
      </c>
      <c r="GT11" s="757">
        <f>SUMIFS(D!BZ$85:BZ$99,D!$BP$85:$BP$99,TRUE,D!$BR$85:$BR$99,Габариты!$GO11)</f>
        <v>0</v>
      </c>
      <c r="GU11" s="758">
        <f>SUMIFS(D!CA$85:CA$99,D!$BP$85:$BP$99,TRUE,D!$BR$85:$BR$99,Габариты!$GO11)</f>
        <v>0</v>
      </c>
      <c r="GW11" s="757">
        <f ca="1">SUM(HB$5:HB10)-SUM(HC$5:HC10)</f>
        <v>40</v>
      </c>
      <c r="GX11" s="757">
        <f t="shared" ca="1" si="71"/>
        <v>1</v>
      </c>
      <c r="GY11" s="753">
        <f t="shared" ca="1" si="26"/>
        <v>0</v>
      </c>
      <c r="GZ11" s="280">
        <f t="shared" ca="1" si="27"/>
        <v>0</v>
      </c>
      <c r="HA11" s="758">
        <f t="shared" ca="1" si="28"/>
        <v>0</v>
      </c>
      <c r="HB11" s="280">
        <f t="shared" ca="1" si="29"/>
        <v>0</v>
      </c>
      <c r="HC11" s="753">
        <f t="shared" ca="1" si="30"/>
        <v>0</v>
      </c>
      <c r="HD11" s="802" t="b">
        <f t="shared" ca="1" si="3"/>
        <v>0</v>
      </c>
      <c r="HE11" s="802" t="b">
        <f t="shared" ca="1" si="4"/>
        <v>0</v>
      </c>
      <c r="HF11" s="754" t="b">
        <f t="shared" ca="1" si="31"/>
        <v>0</v>
      </c>
      <c r="HH11" s="757">
        <f ca="1">SUM(HM$5:HM10)-SUM(HN$5:HN10)</f>
        <v>0</v>
      </c>
      <c r="HI11" s="757">
        <f t="shared" ca="1" si="72"/>
        <v>0</v>
      </c>
      <c r="HJ11" s="753">
        <f t="shared" ca="1" si="73"/>
        <v>0</v>
      </c>
      <c r="HK11" s="280">
        <f t="shared" ref="HK11:HK24" ca="1" si="80">IF(AND(HH11&lt;=0,$GQ11),MIN($GQ11,HI11),0)+ROUNDUP(HJ11/2,0)</f>
        <v>0</v>
      </c>
      <c r="HL11" s="758">
        <f t="shared" ref="HL11:HL24" ca="1" si="81">IF(AND(HH11&gt;0,$GQ11),MIN($GQ11,HI11),0)+ROUNDDOWN(HJ11/2,0)</f>
        <v>0</v>
      </c>
      <c r="HM11" s="280">
        <f t="shared" ca="1" si="32"/>
        <v>0</v>
      </c>
      <c r="HN11" s="753">
        <f t="shared" ca="1" si="33"/>
        <v>0</v>
      </c>
      <c r="HO11" s="802" t="b">
        <f t="shared" ca="1" si="7"/>
        <v>0</v>
      </c>
      <c r="HP11" s="802" t="b">
        <f t="shared" ca="1" si="8"/>
        <v>0</v>
      </c>
      <c r="HQ11" s="754" t="b">
        <f t="shared" ca="1" si="34"/>
        <v>0</v>
      </c>
      <c r="HS11" s="757">
        <f ca="1">SUM($HB$5:$HB10)-SUM($HC$5:$HC10)</f>
        <v>40</v>
      </c>
      <c r="HT11" s="757">
        <f t="shared" ca="1" si="74"/>
        <v>1</v>
      </c>
      <c r="HU11" s="753">
        <f t="shared" ca="1" si="35"/>
        <v>0</v>
      </c>
      <c r="HV11" s="280">
        <f t="shared" ca="1" si="36"/>
        <v>0</v>
      </c>
      <c r="HW11" s="758">
        <f t="shared" ca="1" si="37"/>
        <v>0</v>
      </c>
      <c r="HX11" s="280">
        <f t="shared" ca="1" si="38"/>
        <v>0</v>
      </c>
      <c r="HY11" s="753">
        <f t="shared" ca="1" si="39"/>
        <v>0</v>
      </c>
      <c r="HZ11" s="802" t="b">
        <f t="shared" ca="1" si="9"/>
        <v>0</v>
      </c>
      <c r="IA11" s="802" t="b">
        <f t="shared" ca="1" si="10"/>
        <v>0</v>
      </c>
      <c r="IB11" s="754" t="b">
        <f t="shared" ca="1" si="40"/>
        <v>0</v>
      </c>
      <c r="IC11" s="777"/>
      <c r="ID11" s="61" t="s">
        <v>1075</v>
      </c>
    </row>
    <row r="12" spans="1:245" ht="13.5" thickBot="1" x14ac:dyDescent="0.25">
      <c r="A12" s="65" t="s">
        <v>90</v>
      </c>
      <c r="B12" s="141" t="str">
        <f>MID(Бланк!B18,1,3)</f>
        <v/>
      </c>
      <c r="C12" s="149">
        <f>IF(ISBLANK(Бланк!$C18),0,MID(Бланк!$C18,1,1))</f>
        <v>0</v>
      </c>
      <c r="D12" s="60">
        <f>Бланк!D18</f>
        <v>0</v>
      </c>
      <c r="E12" s="267" t="b">
        <f>AND(MID(Бланк!$H18,1,3)&lt;&gt;"-",MID(Бланк!$H18,1,3)&lt;&gt;"")</f>
        <v>0</v>
      </c>
      <c r="F12" s="149">
        <f>Бланк!$O18</f>
        <v>0</v>
      </c>
      <c r="G12" s="60">
        <f t="shared" si="11"/>
        <v>0</v>
      </c>
      <c r="H12" s="143">
        <f t="shared" si="12"/>
        <v>0</v>
      </c>
      <c r="I12" s="266">
        <f>IF(AND($E12,Проверки!$I10,$D12&lt;=25,$C12="2"),$F12,0)</f>
        <v>0</v>
      </c>
      <c r="J12" s="267">
        <f>IF(AND($E12,Проверки!I10,$D12&lt;=63,$C12="2",I12=0),$F12,0)</f>
        <v>0</v>
      </c>
      <c r="K12" s="267">
        <f>IF(AND($E12,Проверки!$I10,$D12&lt;=25,$C12&gt;="3"),$F12,0)</f>
        <v>0</v>
      </c>
      <c r="L12" s="267">
        <f>IF(AND($E12,Проверки!$I10,$D12&lt;=63,C12&gt;="3",K12=0),$F12,0)</f>
        <v>0</v>
      </c>
      <c r="M12" s="267">
        <f>IF(AND($E12,Проверки!L10,$C12="2"),$F12,0)</f>
        <v>0</v>
      </c>
      <c r="N12" s="267">
        <f>IF(AND($E12,Проверки!$L10,$C12&gt;="3"),$F12,0)</f>
        <v>0</v>
      </c>
      <c r="O12" s="267">
        <f>IF(AND($E12,Проверки!$M10,$C12="2"),1,0)</f>
        <v>0</v>
      </c>
      <c r="P12" s="267">
        <f>IF(AND($E12,Проверки!$M10,$C12&gt;="3",$D12&lt;=63,ISERR(SEARCH("si",Бланк!H18))),1,0)</f>
        <v>0</v>
      </c>
      <c r="Q12" s="267">
        <f>IF(AND($E12,Проверки!$M10,$C12&gt;="3",P12=0),1,0)</f>
        <v>0</v>
      </c>
      <c r="R12" s="267">
        <f>IF(AND(Бланк!I18="+",OR(Проверки!$I10:$L10,Проверки!$O10)),$F12,0)</f>
        <v>0</v>
      </c>
      <c r="S12" s="267">
        <f>IF(AND(Бланк!J18="+",OR(Проверки!$I10:$L10,Проверки!$O10)),$F12,0)</f>
        <v>0</v>
      </c>
      <c r="T12" s="267">
        <f>IF(AND(Бланк!K18="+",OR(Проверки!$I10:$L10,Проверки!$O10)),$F12,0)</f>
        <v>0</v>
      </c>
      <c r="U12" s="267">
        <f>IF(AND(Бланк!I18="+",Проверки!$M10),Бланк!$O18,0)</f>
        <v>0</v>
      </c>
      <c r="V12" s="269">
        <f>IF(AND(Бланк!J18="+",Проверки!$M10),Бланк!$O18,0)</f>
        <v>0</v>
      </c>
      <c r="W12" s="424">
        <f>IF(AND(Бланк!K18="+",Проверки!$M10),Бланк!$O18,0)</f>
        <v>0</v>
      </c>
      <c r="X12" s="414">
        <f t="shared" si="41"/>
        <v>0</v>
      </c>
      <c r="Y12" s="411">
        <f t="shared" si="42"/>
        <v>0</v>
      </c>
      <c r="Z12" s="411">
        <f t="shared" si="43"/>
        <v>0</v>
      </c>
      <c r="AA12" s="276">
        <f t="shared" si="44"/>
        <v>0</v>
      </c>
      <c r="AB12" s="276">
        <f t="shared" si="45"/>
        <v>0</v>
      </c>
      <c r="AC12" s="411">
        <f t="shared" si="46"/>
        <v>0</v>
      </c>
      <c r="AD12" s="411">
        <f t="shared" si="47"/>
        <v>0</v>
      </c>
      <c r="AE12" s="421">
        <f t="shared" si="48"/>
        <v>0</v>
      </c>
      <c r="AF12" s="421">
        <f t="shared" si="49"/>
        <v>0</v>
      </c>
      <c r="AG12" s="276">
        <f t="shared" si="50"/>
        <v>0</v>
      </c>
      <c r="AH12" s="276">
        <f t="shared" si="51"/>
        <v>0</v>
      </c>
      <c r="AI12" s="276">
        <f t="shared" si="52"/>
        <v>0</v>
      </c>
      <c r="AJ12" s="276">
        <f t="shared" si="53"/>
        <v>0</v>
      </c>
      <c r="AK12" s="276">
        <f t="shared" si="54"/>
        <v>0</v>
      </c>
      <c r="AL12" s="281">
        <f t="shared" si="55"/>
        <v>0</v>
      </c>
      <c r="AM12" s="443">
        <f t="shared" si="56"/>
        <v>0</v>
      </c>
      <c r="AN12" s="444">
        <f t="shared" si="57"/>
        <v>0</v>
      </c>
      <c r="AO12" s="443">
        <f t="shared" si="58"/>
        <v>0</v>
      </c>
      <c r="AP12" s="444">
        <f t="shared" si="59"/>
        <v>0</v>
      </c>
      <c r="AQ12" s="412">
        <f>IF(MID(Бланк!L18,1,1)="3",3,IF(MID(Бланк!L18,1,1)="2",2,1))</f>
        <v>1</v>
      </c>
      <c r="AR12" s="60">
        <f>IF(ISERROR(VALUE(MID(Бланк!M18,3,LEN(Бланк!M18)-SEARCH("x",Бланк!M18)))),0,VALUE(MID(Бланк!M18,3,LEN(Бланк!M18)-SEARCH("x",Бланк!M18))))</f>
        <v>0</v>
      </c>
      <c r="AS12" s="60">
        <f>Бланк!N18</f>
        <v>0</v>
      </c>
      <c r="AT12" s="7"/>
      <c r="AU12" s="280" t="s">
        <v>510</v>
      </c>
      <c r="AV12" s="444">
        <v>16</v>
      </c>
      <c r="BA12" s="7"/>
      <c r="BB12" s="7"/>
      <c r="BC12" s="510">
        <f>IF($C$6&amp;Бланк!$E$36&amp;IF(Габариты!$AS$6="снизу",Габариты!$AS$6,"сверху")=$BD12&amp;$BE12&amp;$BF12,1,0)</f>
        <v>0</v>
      </c>
      <c r="BD12" s="509">
        <v>4</v>
      </c>
      <c r="BE12" s="528" t="s">
        <v>43</v>
      </c>
      <c r="BF12" s="528" t="s">
        <v>80</v>
      </c>
      <c r="BG12" s="530">
        <v>200</v>
      </c>
      <c r="BH12" s="530">
        <v>250</v>
      </c>
      <c r="BI12" s="530">
        <v>300</v>
      </c>
      <c r="BJ12" s="530">
        <v>500</v>
      </c>
      <c r="BK12" s="530">
        <v>450</v>
      </c>
      <c r="BL12" s="550">
        <v>400</v>
      </c>
      <c r="BM12" s="550">
        <v>400</v>
      </c>
      <c r="BN12" s="550">
        <v>400</v>
      </c>
      <c r="BO12" s="550">
        <v>400</v>
      </c>
      <c r="BP12" s="550">
        <v>400</v>
      </c>
      <c r="BQ12" s="550">
        <v>400</v>
      </c>
      <c r="BR12" s="550">
        <v>400</v>
      </c>
      <c r="BS12" s="550">
        <v>400</v>
      </c>
      <c r="BT12" s="550">
        <v>400</v>
      </c>
      <c r="BU12" s="550">
        <v>400</v>
      </c>
      <c r="BV12" s="528">
        <v>725</v>
      </c>
      <c r="BW12" s="528">
        <v>725</v>
      </c>
      <c r="BX12" s="528">
        <v>725</v>
      </c>
      <c r="BY12" s="530">
        <v>250</v>
      </c>
      <c r="BZ12" s="530">
        <v>250</v>
      </c>
      <c r="CA12" s="530">
        <v>550</v>
      </c>
      <c r="CB12" s="530">
        <v>675</v>
      </c>
      <c r="CC12" s="528">
        <v>825</v>
      </c>
      <c r="CD12" s="528">
        <v>825</v>
      </c>
      <c r="CE12" s="528">
        <v>825</v>
      </c>
      <c r="CF12" s="528">
        <v>825</v>
      </c>
      <c r="CG12" s="528" t="s">
        <v>30</v>
      </c>
      <c r="CI12" s="157" t="s">
        <v>90</v>
      </c>
      <c r="CJ12" s="890">
        <f>IF(OR($G12=0,$B12="NSX"),0,ROUNDDOWN(($A$68-SUM(CL$6:CL11))/$G12,0))</f>
        <v>0</v>
      </c>
      <c r="CK12" s="880">
        <f t="shared" si="13"/>
        <v>0</v>
      </c>
      <c r="CL12" s="157">
        <f t="shared" si="60"/>
        <v>0</v>
      </c>
      <c r="CM12" s="890">
        <f>IF(OR($G12=0,$B12="NSX"),0,ROUNDDOWN(($A$68-SUM(CO$6:CO11))/$G12,0))</f>
        <v>0</v>
      </c>
      <c r="CN12" s="157">
        <f>IF(CM12&gt;=$F12-SUMIF($CK$5:CK$5,"Кол-во",$CK12:CK12),$F12-SUMIF($CK$5:CK$5,"Кол-во",$CK12:CK12),CM12)</f>
        <v>0</v>
      </c>
      <c r="CO12" s="157">
        <f t="shared" si="61"/>
        <v>0</v>
      </c>
      <c r="CP12" s="890">
        <f>IF(OR($G12=0,$B12="NSX"),0,ROUNDDOWN(($A$68-SUM(CR$6:CR11))/$G12,0))</f>
        <v>0</v>
      </c>
      <c r="CQ12" s="890">
        <f>IF(CP12&gt;=$F12-SUMIF($CK$5:CN$5,"Кол-во",$CK12:CN12),$F12-SUMIF($CK$5:CN$5,"Кол-во",$CK12:CN12),CP12)</f>
        <v>0</v>
      </c>
      <c r="CR12" s="890">
        <f t="shared" si="62"/>
        <v>0</v>
      </c>
      <c r="CS12" s="890">
        <f>IF(OR($G12=0,$B12="NSX"),0,ROUNDDOWN(($A$68-SUM(CU$6:CU11))/$G12,0))</f>
        <v>0</v>
      </c>
      <c r="CT12" s="890">
        <f>IF(CS12&gt;=$F12-SUMIF($CK$5:CQ$5,"Кол-во",$CK12:CQ12),$F12-SUMIF($CK$5:CQ$5,"Кол-во",$CK12:CQ12),CS12)</f>
        <v>0</v>
      </c>
      <c r="CU12" s="890">
        <f t="shared" si="63"/>
        <v>0</v>
      </c>
      <c r="CV12" s="890">
        <f>IF(OR($G12=0,$B12="NSX"),0,ROUNDDOWN(($A$68-SUM(CX$6:CX11))/$G12,0))</f>
        <v>0</v>
      </c>
      <c r="CW12" s="890">
        <f>IF(CV12&gt;=$F12-SUMIF($CK$5:CT$5,"Кол-во",$CK12:CT12),$F12-SUMIF($CK$5:CT$5,"Кол-во",$CK12:CT12),CV12)</f>
        <v>0</v>
      </c>
      <c r="CX12" s="890">
        <f t="shared" si="64"/>
        <v>0</v>
      </c>
      <c r="CY12" s="890">
        <f>IF(OR($G12=0,$B12="NSX"),0,ROUNDDOWN(($A$68-SUM(DA$6:DA11))/$G12,0))</f>
        <v>0</v>
      </c>
      <c r="CZ12" s="890">
        <f>IF(CY12&gt;=$F12-SUMIF($CK$5:CW$5,"Кол-во",$CK12:CW12),$F12-SUMIF($CK$5:CW$5,"Кол-во",$CK12:CW12),CY12)</f>
        <v>0</v>
      </c>
      <c r="DA12" s="890">
        <f t="shared" si="65"/>
        <v>0</v>
      </c>
      <c r="DB12" s="890">
        <f>IF(OR($G12=0,$B12="NSX"),0,ROUNDDOWN(($A$68-SUM(DD$6:DD11))/$G12,0))</f>
        <v>0</v>
      </c>
      <c r="DC12" s="890">
        <f>IF(DB12&gt;=$F12-SUMIF($CK$5:CZ$5,"Кол-во",$CK12:CZ12),$F12-SUMIF($CK$5:CZ$5,"Кол-во",$CK12:CZ12),DB12)</f>
        <v>0</v>
      </c>
      <c r="DD12" s="890">
        <f t="shared" si="66"/>
        <v>0</v>
      </c>
      <c r="DE12" s="890">
        <f>IF(OR($G12=0,$B12="NSX"),0,ROUNDDOWN(($A$68-SUM(DG$6:DG11))/$G12,0))</f>
        <v>0</v>
      </c>
      <c r="DF12" s="890">
        <f>IF(DE12&gt;=$F12-SUMIF($CK$5:DC$5,"Кол-во",$CK12:DC12),$F12-SUMIF($CK$5:DC$5,"Кол-во",$CK12:DC12),DE12)</f>
        <v>0</v>
      </c>
      <c r="DG12" s="890">
        <f t="shared" si="67"/>
        <v>0</v>
      </c>
      <c r="DH12" s="890">
        <f>IF(OR($G12=0,$B12="NSX"),0,ROUNDDOWN(($A$68-SUM(DJ$6:DJ11))/$G12,0))</f>
        <v>0</v>
      </c>
      <c r="DI12" s="890">
        <f>IF(DH12&gt;=$F12-SUMIF($CK$5:DF$5,"Кол-во",$CK12:DF12),$F12-SUMIF($CK$5:DF$5,"Кол-во",$CK12:DF12),DH12)</f>
        <v>0</v>
      </c>
      <c r="DJ12" s="890">
        <f t="shared" si="68"/>
        <v>0</v>
      </c>
      <c r="DK12" s="890">
        <f>IF(OR($G12=0,$B12="NSX"),0,ROUNDDOWN(($A$68-SUM(DM$6:DM11))/$G12,0))</f>
        <v>0</v>
      </c>
      <c r="DL12" s="890">
        <f>IF(DK12&gt;=$F12-SUMIF($CK$5:DI$5,"Кол-во",$CK12:DI12),$F12-SUMIF($CK$5:DI$5,"Кол-во",$CK12:DI12),DK12)</f>
        <v>0</v>
      </c>
      <c r="DM12" s="890">
        <f t="shared" si="69"/>
        <v>0</v>
      </c>
      <c r="DO12" s="29" t="s">
        <v>220</v>
      </c>
      <c r="DP12" s="4">
        <v>88</v>
      </c>
      <c r="DQ12" s="52" t="s">
        <v>263</v>
      </c>
      <c r="DS12" s="352" t="str">
        <f t="shared" si="14"/>
        <v>TN-S4</v>
      </c>
      <c r="DT12" s="569" t="s">
        <v>5</v>
      </c>
      <c r="DU12" s="569">
        <v>4</v>
      </c>
      <c r="DV12" s="569">
        <v>5</v>
      </c>
      <c r="DW12" s="358"/>
      <c r="DX12" s="352" t="str">
        <f t="shared" si="15"/>
        <v>TN-S2</v>
      </c>
      <c r="DY12" s="569" t="s">
        <v>5</v>
      </c>
      <c r="DZ12" s="569">
        <v>2</v>
      </c>
      <c r="EA12" s="569">
        <v>3</v>
      </c>
      <c r="EC12" s="559">
        <v>6</v>
      </c>
      <c r="ED12" s="559">
        <v>1</v>
      </c>
      <c r="EE12" s="352">
        <v>1.5</v>
      </c>
      <c r="EF12" s="560"/>
      <c r="EG12" s="20"/>
      <c r="EH12" s="32"/>
      <c r="EI12" s="21" t="s">
        <v>91</v>
      </c>
      <c r="EJ12" s="21">
        <f>Бланк!$O$19</f>
        <v>0</v>
      </c>
      <c r="EK12" s="296">
        <f>IFERROR(VALUE(MID(Бланк!$L19,1,1)),1)*EJ12</f>
        <v>0</v>
      </c>
      <c r="EL12" s="21" t="str">
        <f>IF(EJ12=EK12,MID(Бланк!$L19,1,100),MID(Бланк!$L19,3,100))</f>
        <v/>
      </c>
      <c r="EM12" s="21">
        <f>Бланк!$M19</f>
        <v>0</v>
      </c>
      <c r="EN12" s="354">
        <f>_xlfn.IFNA(VLOOKUP(Бланк!$K$3&amp;Габариты!$C13,$DX:$EA,4,FALSE)&amp;"x"&amp;VLOOKUP(Проверки!$D11,$EC:$EE,3,FALSE),0)</f>
        <v>0</v>
      </c>
      <c r="EO12" s="354">
        <f t="shared" si="16"/>
        <v>0</v>
      </c>
      <c r="EP12" s="4">
        <f>Бланк!$N19</f>
        <v>0</v>
      </c>
      <c r="EQ12" s="559">
        <f>_xlfn.IFNA(VLOOKUP(EL12&amp;" "&amp;EO12,'Список кабелей'!$I:$J,2,FALSE),0)</f>
        <v>0</v>
      </c>
      <c r="ER12" s="559">
        <f>IF(OR(EL12="-",EO12="-",EP12="-",Проверки!$D11=""),0,VLOOKUP(EO12,'Список кабелей'!$D:$J,7,FALSE))</f>
        <v>0</v>
      </c>
      <c r="ES12" s="559">
        <f t="shared" si="17"/>
        <v>0</v>
      </c>
      <c r="ET12" s="354">
        <f>EK12*_xlfn.IFNA(VLOOKUP(Проверки!$D11,$EC:$EE,2,FALSE),0)</f>
        <v>0</v>
      </c>
      <c r="EU12" s="44">
        <f t="shared" si="18"/>
        <v>0</v>
      </c>
      <c r="EV12" s="56">
        <f t="shared" si="19"/>
        <v>0</v>
      </c>
      <c r="EW12" s="55">
        <f t="shared" si="20"/>
        <v>0</v>
      </c>
      <c r="EX12" s="24">
        <f t="shared" si="0"/>
        <v>0</v>
      </c>
      <c r="EY12" s="24">
        <f t="shared" si="0"/>
        <v>0</v>
      </c>
      <c r="EZ12" s="24">
        <f t="shared" si="0"/>
        <v>0</v>
      </c>
      <c r="FA12" s="24">
        <f t="shared" si="0"/>
        <v>0</v>
      </c>
      <c r="FB12" s="24">
        <f t="shared" si="0"/>
        <v>0</v>
      </c>
      <c r="FC12" s="24">
        <f t="shared" si="0"/>
        <v>0</v>
      </c>
      <c r="FD12" s="24">
        <f t="shared" si="0"/>
        <v>0</v>
      </c>
      <c r="FE12" s="46">
        <f t="shared" si="0"/>
        <v>0</v>
      </c>
      <c r="FF12" s="561"/>
      <c r="FG12" s="1210"/>
      <c r="FH12" s="1185"/>
      <c r="FI12" s="169" t="s">
        <v>862</v>
      </c>
      <c r="FJ12" s="959">
        <f>IF(ISERROR(FJ11),0,ROUNDUP(FJ11,0))*VLOOKUP(FJ$4,$DO$5:$DP$13,2,0)</f>
        <v>0</v>
      </c>
      <c r="FK12" s="121">
        <f t="shared" ref="FK12:FR12" si="82">IF(ISERROR(FK11),0,ROUNDUP(FK11,0))*VLOOKUP(FK$4,$DO$5:$DP$13,2,0)</f>
        <v>88</v>
      </c>
      <c r="FL12" s="121">
        <f t="shared" si="82"/>
        <v>0</v>
      </c>
      <c r="FM12" s="121">
        <f t="shared" si="82"/>
        <v>0</v>
      </c>
      <c r="FN12" s="121">
        <f t="shared" si="82"/>
        <v>0</v>
      </c>
      <c r="FO12" s="121">
        <f t="shared" si="82"/>
        <v>0</v>
      </c>
      <c r="FP12" s="121">
        <f t="shared" si="82"/>
        <v>44</v>
      </c>
      <c r="FQ12" s="121">
        <f t="shared" si="82"/>
        <v>0</v>
      </c>
      <c r="FR12" s="960">
        <f t="shared" si="82"/>
        <v>70</v>
      </c>
      <c r="FS12" s="1194"/>
      <c r="FT12" s="1196"/>
      <c r="FU12" s="1199"/>
      <c r="FV12" s="561"/>
      <c r="FW12" s="280" t="s">
        <v>150</v>
      </c>
      <c r="FY12" s="747">
        <v>16</v>
      </c>
      <c r="GA12" s="785" t="s">
        <v>92</v>
      </c>
      <c r="GB12" s="785">
        <f>Бланк!C20</f>
        <v>0</v>
      </c>
      <c r="GC12" s="785">
        <f>Бланк!D20</f>
        <v>0</v>
      </c>
      <c r="GD12" s="786">
        <f t="shared" si="2"/>
        <v>26</v>
      </c>
      <c r="GE12" s="786" t="b">
        <f t="shared" si="22"/>
        <v>0</v>
      </c>
      <c r="GF12" s="786">
        <f t="shared" si="23"/>
        <v>0</v>
      </c>
      <c r="GG12" s="785">
        <v>8</v>
      </c>
      <c r="GI12" s="1014">
        <f t="shared" si="24"/>
        <v>0</v>
      </c>
      <c r="GJ12" s="1018">
        <f t="shared" ca="1" si="25"/>
        <v>10</v>
      </c>
      <c r="GL12" s="786">
        <v>80</v>
      </c>
      <c r="GM12" s="786">
        <v>8</v>
      </c>
      <c r="GO12" s="746">
        <v>25</v>
      </c>
      <c r="GP12" s="280">
        <f ca="1">SUMIFS(D!BY$85:BY$104,D!$BR$85:$BR$104,$GO12)</f>
        <v>0</v>
      </c>
      <c r="GQ12" s="757">
        <f ca="1">SUMIFS(D!BZ$85:BZ$99,D!$BR$85:$BR$99,$GO12)</f>
        <v>0</v>
      </c>
      <c r="GR12" s="758">
        <f ca="1">SUMIFS(D!CA$85:CA$99,D!$BR$85:$BR$99,$GO12)</f>
        <v>0</v>
      </c>
      <c r="GS12" s="280">
        <f>SUMIFS(D!BY$85:BY$99,D!$BP$85:$BP$99,TRUE,D!$BR$85:$BR$99,Габариты!$GO12)</f>
        <v>0</v>
      </c>
      <c r="GT12" s="757">
        <f>SUMIFS(D!BZ$85:BZ$99,D!$BP$85:$BP$99,TRUE,D!$BR$85:$BR$99,Габариты!$GO12)</f>
        <v>0</v>
      </c>
      <c r="GU12" s="758">
        <f>SUMIFS(D!CA$85:CA$99,D!$BP$85:$BP$99,TRUE,D!$BR$85:$BR$99,Габариты!$GO12)</f>
        <v>0</v>
      </c>
      <c r="GW12" s="757">
        <f ca="1">SUM(HB$5:HB11)-SUM(HC$5:HC11)</f>
        <v>40</v>
      </c>
      <c r="GX12" s="757">
        <f t="shared" ca="1" si="71"/>
        <v>1</v>
      </c>
      <c r="GY12" s="753">
        <f t="shared" ca="1" si="26"/>
        <v>0</v>
      </c>
      <c r="GZ12" s="280">
        <f t="shared" ca="1" si="27"/>
        <v>0</v>
      </c>
      <c r="HA12" s="758">
        <f t="shared" ca="1" si="28"/>
        <v>0</v>
      </c>
      <c r="HB12" s="280">
        <f t="shared" ca="1" si="29"/>
        <v>0</v>
      </c>
      <c r="HC12" s="753">
        <f t="shared" ca="1" si="30"/>
        <v>0</v>
      </c>
      <c r="HD12" s="802" t="b">
        <f t="shared" ca="1" si="3"/>
        <v>0</v>
      </c>
      <c r="HE12" s="802" t="b">
        <f t="shared" ca="1" si="4"/>
        <v>0</v>
      </c>
      <c r="HF12" s="754" t="b">
        <f t="shared" ca="1" si="31"/>
        <v>0</v>
      </c>
      <c r="HH12" s="757">
        <f ca="1">SUM(HM$5:HM11)-SUM(HN$5:HN11)</f>
        <v>0</v>
      </c>
      <c r="HI12" s="757">
        <f t="shared" ca="1" si="72"/>
        <v>0</v>
      </c>
      <c r="HJ12" s="753">
        <f t="shared" ca="1" si="73"/>
        <v>0</v>
      </c>
      <c r="HK12" s="280">
        <f t="shared" ca="1" si="80"/>
        <v>0</v>
      </c>
      <c r="HL12" s="758">
        <f t="shared" ca="1" si="81"/>
        <v>0</v>
      </c>
      <c r="HM12" s="280">
        <f t="shared" ca="1" si="32"/>
        <v>0</v>
      </c>
      <c r="HN12" s="753">
        <f t="shared" ca="1" si="33"/>
        <v>0</v>
      </c>
      <c r="HO12" s="802" t="b">
        <f t="shared" ca="1" si="7"/>
        <v>0</v>
      </c>
      <c r="HP12" s="802" t="b">
        <f t="shared" ca="1" si="8"/>
        <v>0</v>
      </c>
      <c r="HQ12" s="754" t="b">
        <f t="shared" ca="1" si="34"/>
        <v>0</v>
      </c>
      <c r="HS12" s="757">
        <f ca="1">SUM($HB$5:$HB11)-SUM($HC$5:$HC11)</f>
        <v>40</v>
      </c>
      <c r="HT12" s="757">
        <f t="shared" ca="1" si="74"/>
        <v>1</v>
      </c>
      <c r="HU12" s="753">
        <f t="shared" ca="1" si="35"/>
        <v>0</v>
      </c>
      <c r="HV12" s="280">
        <f t="shared" ca="1" si="36"/>
        <v>0</v>
      </c>
      <c r="HW12" s="758">
        <f t="shared" ca="1" si="37"/>
        <v>0</v>
      </c>
      <c r="HX12" s="280">
        <f t="shared" ca="1" si="38"/>
        <v>0</v>
      </c>
      <c r="HY12" s="753">
        <f t="shared" ca="1" si="39"/>
        <v>0</v>
      </c>
      <c r="HZ12" s="802" t="b">
        <f t="shared" ca="1" si="9"/>
        <v>0</v>
      </c>
      <c r="IA12" s="802" t="b">
        <f t="shared" ca="1" si="10"/>
        <v>0</v>
      </c>
      <c r="IB12" s="754" t="b">
        <f t="shared" ca="1" si="40"/>
        <v>0</v>
      </c>
      <c r="IC12" s="777"/>
      <c r="ID12" s="886">
        <v>5.5</v>
      </c>
    </row>
    <row r="13" spans="1:245" ht="13.5" thickBot="1" x14ac:dyDescent="0.25">
      <c r="A13" s="65" t="s">
        <v>91</v>
      </c>
      <c r="B13" s="141" t="str">
        <f>MID(Бланк!B19,1,3)</f>
        <v/>
      </c>
      <c r="C13" s="149">
        <f>IF(ISBLANK(Бланк!$C19),0,MID(Бланк!$C19,1,1))</f>
        <v>0</v>
      </c>
      <c r="D13" s="60">
        <f>Бланк!D19</f>
        <v>0</v>
      </c>
      <c r="E13" s="267" t="b">
        <f>AND(MID(Бланк!$H19,1,3)&lt;&gt;"-",MID(Бланк!$H19,1,3)&lt;&gt;"")</f>
        <v>0</v>
      </c>
      <c r="F13" s="149">
        <f>Бланк!$O19</f>
        <v>0</v>
      </c>
      <c r="G13" s="60">
        <f t="shared" si="11"/>
        <v>0</v>
      </c>
      <c r="H13" s="143">
        <f t="shared" si="12"/>
        <v>0</v>
      </c>
      <c r="I13" s="266">
        <f>IF(AND($E13,Проверки!$I11,$D13&lt;=25,$C13="2"),$F13,0)</f>
        <v>0</v>
      </c>
      <c r="J13" s="267">
        <f>IF(AND($E13,Проверки!I11,$D13&lt;=63,$C13="2",I13=0),$F13,0)</f>
        <v>0</v>
      </c>
      <c r="K13" s="267">
        <f>IF(AND($E13,Проверки!$I11,$D13&lt;=25,$C13&gt;="3"),$F13,0)</f>
        <v>0</v>
      </c>
      <c r="L13" s="267">
        <f>IF(AND($E13,Проверки!$I11,$D13&lt;=63,C13&gt;="3",K13=0),$F13,0)</f>
        <v>0</v>
      </c>
      <c r="M13" s="267">
        <f>IF(AND($E13,Проверки!L11,$C13="2"),$F13,0)</f>
        <v>0</v>
      </c>
      <c r="N13" s="267">
        <f>IF(AND($E13,Проверки!$L11,$C13&gt;="3"),$F13,0)</f>
        <v>0</v>
      </c>
      <c r="O13" s="267">
        <f>IF(AND($E13,Проверки!$M11,$C13="2"),1,0)</f>
        <v>0</v>
      </c>
      <c r="P13" s="267">
        <f>IF(AND($E13,Проверки!$M11,$C13&gt;="3",$D13&lt;=63,ISERR(SEARCH("si",Бланк!H19))),1,0)</f>
        <v>0</v>
      </c>
      <c r="Q13" s="267">
        <f>IF(AND($E13,Проверки!$M11,$C13&gt;="3",P13=0),1,0)</f>
        <v>0</v>
      </c>
      <c r="R13" s="267">
        <f>IF(AND(Бланк!I19="+",OR(Проверки!$I11:$L11,Проверки!$O11)),$F13,0)</f>
        <v>0</v>
      </c>
      <c r="S13" s="267">
        <f>IF(AND(Бланк!J19="+",OR(Проверки!$I11:$L11,Проверки!$O11)),$F13,0)</f>
        <v>0</v>
      </c>
      <c r="T13" s="267">
        <f>IF(AND(Бланк!K19="+",OR(Проверки!$I11:$L11,Проверки!$O11)),$F13,0)</f>
        <v>0</v>
      </c>
      <c r="U13" s="267">
        <f>IF(AND(Бланк!I19="+",Проверки!$M11),Бланк!$O19,0)</f>
        <v>0</v>
      </c>
      <c r="V13" s="269">
        <f>IF(AND(Бланк!J19="+",Проверки!$M11),Бланк!$O19,0)</f>
        <v>0</v>
      </c>
      <c r="W13" s="424">
        <f>IF(AND(Бланк!K19="+",Проверки!$M11),Бланк!$O19,0)</f>
        <v>0</v>
      </c>
      <c r="X13" s="414">
        <f t="shared" si="41"/>
        <v>0</v>
      </c>
      <c r="Y13" s="411">
        <f t="shared" si="42"/>
        <v>0</v>
      </c>
      <c r="Z13" s="411">
        <f t="shared" si="43"/>
        <v>0</v>
      </c>
      <c r="AA13" s="276">
        <f t="shared" si="44"/>
        <v>0</v>
      </c>
      <c r="AB13" s="276">
        <f t="shared" si="45"/>
        <v>0</v>
      </c>
      <c r="AC13" s="411">
        <f t="shared" si="46"/>
        <v>0</v>
      </c>
      <c r="AD13" s="411">
        <f t="shared" si="47"/>
        <v>0</v>
      </c>
      <c r="AE13" s="421">
        <f t="shared" si="48"/>
        <v>0</v>
      </c>
      <c r="AF13" s="421">
        <f t="shared" si="49"/>
        <v>0</v>
      </c>
      <c r="AG13" s="276">
        <f t="shared" si="50"/>
        <v>0</v>
      </c>
      <c r="AH13" s="276">
        <f t="shared" si="51"/>
        <v>0</v>
      </c>
      <c r="AI13" s="276">
        <f t="shared" si="52"/>
        <v>0</v>
      </c>
      <c r="AJ13" s="276">
        <f t="shared" si="53"/>
        <v>0</v>
      </c>
      <c r="AK13" s="276">
        <f t="shared" si="54"/>
        <v>0</v>
      </c>
      <c r="AL13" s="281">
        <f t="shared" si="55"/>
        <v>0</v>
      </c>
      <c r="AM13" s="443">
        <f t="shared" si="56"/>
        <v>0</v>
      </c>
      <c r="AN13" s="444">
        <f t="shared" si="57"/>
        <v>0</v>
      </c>
      <c r="AO13" s="443">
        <f t="shared" si="58"/>
        <v>0</v>
      </c>
      <c r="AP13" s="444">
        <f t="shared" si="59"/>
        <v>0</v>
      </c>
      <c r="AQ13" s="412">
        <f>IF(MID(Бланк!L19,1,1)="3",3,IF(MID(Бланк!L19,1,1)="2",2,1))</f>
        <v>1</v>
      </c>
      <c r="AR13" s="60">
        <f>IF(ISERROR(VALUE(MID(Бланк!M19,3,LEN(Бланк!M19)-SEARCH("x",Бланк!M19)))),0,VALUE(MID(Бланк!M19,3,LEN(Бланк!M19)-SEARCH("x",Бланк!M19))))</f>
        <v>0</v>
      </c>
      <c r="AS13" s="60">
        <f>Бланк!N19</f>
        <v>0</v>
      </c>
      <c r="AT13" s="7"/>
      <c r="AU13" s="280" t="s">
        <v>149</v>
      </c>
      <c r="AV13" s="444">
        <v>25</v>
      </c>
      <c r="BA13" s="7"/>
      <c r="BB13" s="7"/>
      <c r="BC13" s="510">
        <f>IF($C$6&amp;Бланк!$E$36&amp;IF(Габариты!$AS$6="снизу",Габариты!$AS$6,"сверху")=$BD13&amp;$BE13&amp;$BF13,1,0)</f>
        <v>0</v>
      </c>
      <c r="BD13" s="509">
        <v>4</v>
      </c>
      <c r="BE13" s="528" t="s">
        <v>44</v>
      </c>
      <c r="BF13" s="528" t="s">
        <v>79</v>
      </c>
      <c r="BG13" s="530">
        <v>200</v>
      </c>
      <c r="BH13" s="530">
        <v>250</v>
      </c>
      <c r="BI13" s="530">
        <v>500</v>
      </c>
      <c r="BJ13" s="530">
        <v>500</v>
      </c>
      <c r="BK13" s="530">
        <v>650</v>
      </c>
      <c r="BL13" s="550">
        <v>400</v>
      </c>
      <c r="BM13" s="550">
        <v>600</v>
      </c>
      <c r="BN13" s="550">
        <v>400</v>
      </c>
      <c r="BO13" s="550">
        <v>600</v>
      </c>
      <c r="BP13" s="550">
        <v>400</v>
      </c>
      <c r="BQ13" s="550">
        <v>600</v>
      </c>
      <c r="BR13" s="550">
        <v>400</v>
      </c>
      <c r="BS13" s="550">
        <v>600</v>
      </c>
      <c r="BT13" s="550">
        <v>400</v>
      </c>
      <c r="BU13" s="550">
        <v>600</v>
      </c>
      <c r="BV13" s="528">
        <v>725</v>
      </c>
      <c r="BW13" s="528">
        <v>725</v>
      </c>
      <c r="BX13" s="528">
        <v>725</v>
      </c>
      <c r="BY13" s="530">
        <v>250</v>
      </c>
      <c r="BZ13" s="530">
        <v>450</v>
      </c>
      <c r="CA13" s="530">
        <v>550</v>
      </c>
      <c r="CB13" s="530">
        <v>675</v>
      </c>
      <c r="CC13" s="528">
        <v>825</v>
      </c>
      <c r="CD13" s="528">
        <v>825</v>
      </c>
      <c r="CE13" s="528">
        <v>825</v>
      </c>
      <c r="CF13" s="528">
        <v>825</v>
      </c>
      <c r="CG13" s="528" t="s">
        <v>30</v>
      </c>
      <c r="CI13" s="157" t="s">
        <v>91</v>
      </c>
      <c r="CJ13" s="890">
        <f>IF(OR($G13=0,$B13="NSX"),0,ROUNDDOWN(($A$68-SUM(CL$6:CL12))/$G13,0))</f>
        <v>0</v>
      </c>
      <c r="CK13" s="880">
        <f t="shared" si="13"/>
        <v>0</v>
      </c>
      <c r="CL13" s="157">
        <f t="shared" si="60"/>
        <v>0</v>
      </c>
      <c r="CM13" s="890">
        <f>IF(OR($G13=0,$B13="NSX"),0,ROUNDDOWN(($A$68-SUM(CO$6:CO12))/$G13,0))</f>
        <v>0</v>
      </c>
      <c r="CN13" s="157">
        <f>IF(CM13&gt;=$F13-SUMIF($CK$5:CK$5,"Кол-во",$CK13:CK13),$F13-SUMIF($CK$5:CK$5,"Кол-во",$CK13:CK13),CM13)</f>
        <v>0</v>
      </c>
      <c r="CO13" s="157">
        <f t="shared" si="61"/>
        <v>0</v>
      </c>
      <c r="CP13" s="890">
        <f>IF(OR($G13=0,$B13="NSX"),0,ROUNDDOWN(($A$68-SUM(CR$6:CR12))/$G13,0))</f>
        <v>0</v>
      </c>
      <c r="CQ13" s="890">
        <f>IF(CP13&gt;=$F13-SUMIF($CK$5:CN$5,"Кол-во",$CK13:CN13),$F13-SUMIF($CK$5:CN$5,"Кол-во",$CK13:CN13),CP13)</f>
        <v>0</v>
      </c>
      <c r="CR13" s="890">
        <f t="shared" si="62"/>
        <v>0</v>
      </c>
      <c r="CS13" s="890">
        <f>IF(OR($G13=0,$B13="NSX"),0,ROUNDDOWN(($A$68-SUM(CU$6:CU12))/$G13,0))</f>
        <v>0</v>
      </c>
      <c r="CT13" s="890">
        <f>IF(CS13&gt;=$F13-SUMIF($CK$5:CQ$5,"Кол-во",$CK13:CQ13),$F13-SUMIF($CK$5:CQ$5,"Кол-во",$CK13:CQ13),CS13)</f>
        <v>0</v>
      </c>
      <c r="CU13" s="890">
        <f t="shared" si="63"/>
        <v>0</v>
      </c>
      <c r="CV13" s="890">
        <f>IF(OR($G13=0,$B13="NSX"),0,ROUNDDOWN(($A$68-SUM(CX$6:CX12))/$G13,0))</f>
        <v>0</v>
      </c>
      <c r="CW13" s="890">
        <f>IF(CV13&gt;=$F13-SUMIF($CK$5:CT$5,"Кол-во",$CK13:CT13),$F13-SUMIF($CK$5:CT$5,"Кол-во",$CK13:CT13),CV13)</f>
        <v>0</v>
      </c>
      <c r="CX13" s="890">
        <f t="shared" si="64"/>
        <v>0</v>
      </c>
      <c r="CY13" s="890">
        <f>IF(OR($G13=0,$B13="NSX"),0,ROUNDDOWN(($A$68-SUM(DA$6:DA12))/$G13,0))</f>
        <v>0</v>
      </c>
      <c r="CZ13" s="890">
        <f>IF(CY13&gt;=$F13-SUMIF($CK$5:CW$5,"Кол-во",$CK13:CW13),$F13-SUMIF($CK$5:CW$5,"Кол-во",$CK13:CW13),CY13)</f>
        <v>0</v>
      </c>
      <c r="DA13" s="890">
        <f t="shared" si="65"/>
        <v>0</v>
      </c>
      <c r="DB13" s="890">
        <f>IF(OR($G13=0,$B13="NSX"),0,ROUNDDOWN(($A$68-SUM(DD$6:DD12))/$G13,0))</f>
        <v>0</v>
      </c>
      <c r="DC13" s="890">
        <f>IF(DB13&gt;=$F13-SUMIF($CK$5:CZ$5,"Кол-во",$CK13:CZ13),$F13-SUMIF($CK$5:CZ$5,"Кол-во",$CK13:CZ13),DB13)</f>
        <v>0</v>
      </c>
      <c r="DD13" s="890">
        <f t="shared" si="66"/>
        <v>0</v>
      </c>
      <c r="DE13" s="890">
        <f>IF(OR($G13=0,$B13="NSX"),0,ROUNDDOWN(($A$68-SUM(DG$6:DG12))/$G13,0))</f>
        <v>0</v>
      </c>
      <c r="DF13" s="890">
        <f>IF(DE13&gt;=$F13-SUMIF($CK$5:DC$5,"Кол-во",$CK13:DC13),$F13-SUMIF($CK$5:DC$5,"Кол-во",$CK13:DC13),DE13)</f>
        <v>0</v>
      </c>
      <c r="DG13" s="890">
        <f t="shared" si="67"/>
        <v>0</v>
      </c>
      <c r="DH13" s="890">
        <f>IF(OR($G13=0,$B13="NSX"),0,ROUNDDOWN(($A$68-SUM(DJ$6:DJ12))/$G13,0))</f>
        <v>0</v>
      </c>
      <c r="DI13" s="890">
        <f>IF(DH13&gt;=$F13-SUMIF($CK$5:DF$5,"Кол-во",$CK13:DF13),$F13-SUMIF($CK$5:DF$5,"Кол-во",$CK13:DF13),DH13)</f>
        <v>0</v>
      </c>
      <c r="DJ13" s="890">
        <f t="shared" si="68"/>
        <v>0</v>
      </c>
      <c r="DK13" s="890">
        <f>IF(OR($G13=0,$B13="NSX"),0,ROUNDDOWN(($A$68-SUM(DM$6:DM12))/$G13,0))</f>
        <v>0</v>
      </c>
      <c r="DL13" s="890">
        <f>IF(DK13&gt;=$F13-SUMIF($CK$5:DI$5,"Кол-во",$CK13:DI13),$F13-SUMIF($CK$5:DI$5,"Кол-во",$CK13:DI13),DK13)</f>
        <v>0</v>
      </c>
      <c r="DM13" s="890">
        <f t="shared" si="69"/>
        <v>0</v>
      </c>
      <c r="DO13" s="19" t="s">
        <v>221</v>
      </c>
      <c r="DP13" s="25">
        <v>122</v>
      </c>
      <c r="DQ13" s="59" t="s">
        <v>264</v>
      </c>
      <c r="DS13" s="352" t="str">
        <f t="shared" si="14"/>
        <v>TT4</v>
      </c>
      <c r="DT13" s="569" t="s">
        <v>763</v>
      </c>
      <c r="DU13" s="569">
        <v>4</v>
      </c>
      <c r="DV13" s="569">
        <v>5</v>
      </c>
      <c r="DW13" s="358"/>
      <c r="DX13" s="352" t="str">
        <f t="shared" si="15"/>
        <v>TN-S3</v>
      </c>
      <c r="DY13" s="569" t="s">
        <v>5</v>
      </c>
      <c r="DZ13" s="569">
        <v>3</v>
      </c>
      <c r="EA13" s="569">
        <v>5</v>
      </c>
      <c r="EC13" s="559">
        <v>10</v>
      </c>
      <c r="ED13" s="559">
        <v>1</v>
      </c>
      <c r="EE13" s="352">
        <v>1.5</v>
      </c>
      <c r="EF13" s="560"/>
      <c r="EG13" s="20"/>
      <c r="EH13" s="32"/>
      <c r="EI13" s="21" t="s">
        <v>92</v>
      </c>
      <c r="EJ13" s="21">
        <f>Бланк!$O$20</f>
        <v>0</v>
      </c>
      <c r="EK13" s="296">
        <f>IFERROR(VALUE(MID(Бланк!$L20,1,1)),1)*EJ13</f>
        <v>0</v>
      </c>
      <c r="EL13" s="21" t="str">
        <f>IF(EJ13=EK13,MID(Бланк!$L20,1,100),MID(Бланк!$L20,3,100))</f>
        <v/>
      </c>
      <c r="EM13" s="21">
        <f>Бланк!$M20</f>
        <v>0</v>
      </c>
      <c r="EN13" s="354">
        <f>_xlfn.IFNA(VLOOKUP(Бланк!$K$3&amp;Габариты!$C14,$DX:$EA,4,FALSE)&amp;"x"&amp;VLOOKUP(Проверки!$D12,$EC:$EE,3,FALSE),0)</f>
        <v>0</v>
      </c>
      <c r="EO13" s="354">
        <f t="shared" si="16"/>
        <v>0</v>
      </c>
      <c r="EP13" s="4">
        <f>Бланк!$N20</f>
        <v>0</v>
      </c>
      <c r="EQ13" s="559">
        <f>_xlfn.IFNA(VLOOKUP(EL13&amp;" "&amp;EO13,'Список кабелей'!$I:$J,2,FALSE),0)</f>
        <v>0</v>
      </c>
      <c r="ER13" s="559">
        <f>IF(OR(EL13="-",EO13="-",EP13="-",Проверки!$D12=""),0,VLOOKUP(EO13,'Список кабелей'!$D:$J,7,FALSE))</f>
        <v>0</v>
      </c>
      <c r="ES13" s="559">
        <f t="shared" si="17"/>
        <v>0</v>
      </c>
      <c r="ET13" s="354">
        <f>EK13*_xlfn.IFNA(VLOOKUP(Проверки!$D12,$EC:$EE,2,FALSE),0)</f>
        <v>0</v>
      </c>
      <c r="EU13" s="44">
        <f t="shared" si="18"/>
        <v>0</v>
      </c>
      <c r="EV13" s="56">
        <f t="shared" si="19"/>
        <v>0</v>
      </c>
      <c r="EW13" s="55">
        <f t="shared" si="20"/>
        <v>0</v>
      </c>
      <c r="EX13" s="24">
        <f t="shared" si="0"/>
        <v>0</v>
      </c>
      <c r="EY13" s="24">
        <f t="shared" si="0"/>
        <v>0</v>
      </c>
      <c r="EZ13" s="24">
        <f t="shared" si="0"/>
        <v>0</v>
      </c>
      <c r="FA13" s="24">
        <f t="shared" si="0"/>
        <v>0</v>
      </c>
      <c r="FB13" s="24">
        <f t="shared" si="0"/>
        <v>0</v>
      </c>
      <c r="FC13" s="24">
        <f t="shared" si="0"/>
        <v>0</v>
      </c>
      <c r="FD13" s="24">
        <f t="shared" si="0"/>
        <v>0</v>
      </c>
      <c r="FE13" s="46">
        <f t="shared" si="0"/>
        <v>0</v>
      </c>
      <c r="FF13" s="561"/>
      <c r="FG13" s="1201" t="s">
        <v>80</v>
      </c>
      <c r="FH13" s="1185"/>
      <c r="FI13" s="162" t="s">
        <v>233</v>
      </c>
      <c r="FJ13" s="959">
        <f>FJ$8/FJ$20</f>
        <v>0</v>
      </c>
      <c r="FK13" s="121">
        <f t="shared" ref="FK13:FR13" si="83">FK$8/FK$20</f>
        <v>0</v>
      </c>
      <c r="FL13" s="121">
        <f t="shared" si="83"/>
        <v>0</v>
      </c>
      <c r="FM13" s="121">
        <f t="shared" si="83"/>
        <v>0</v>
      </c>
      <c r="FN13" s="121">
        <f t="shared" si="83"/>
        <v>0</v>
      </c>
      <c r="FO13" s="121">
        <f t="shared" si="83"/>
        <v>0</v>
      </c>
      <c r="FP13" s="121">
        <f t="shared" si="83"/>
        <v>0</v>
      </c>
      <c r="FQ13" s="121">
        <f t="shared" si="83"/>
        <v>0</v>
      </c>
      <c r="FR13" s="935">
        <f t="shared" si="83"/>
        <v>0</v>
      </c>
      <c r="FS13" s="1256">
        <f>SUM(FJ14:FR14)</f>
        <v>0</v>
      </c>
      <c r="FT13" s="1196"/>
      <c r="FU13" s="1199"/>
      <c r="FV13" s="561"/>
      <c r="FW13" s="280" t="s">
        <v>534</v>
      </c>
      <c r="FY13" s="747">
        <v>16</v>
      </c>
      <c r="GA13" s="785" t="s">
        <v>93</v>
      </c>
      <c r="GB13" s="785">
        <f>Бланк!C21</f>
        <v>0</v>
      </c>
      <c r="GC13" s="785">
        <f>Бланк!D21</f>
        <v>0</v>
      </c>
      <c r="GD13" s="786">
        <f t="shared" si="2"/>
        <v>26</v>
      </c>
      <c r="GE13" s="786" t="b">
        <f t="shared" si="22"/>
        <v>0</v>
      </c>
      <c r="GF13" s="786">
        <f t="shared" si="23"/>
        <v>0</v>
      </c>
      <c r="GG13" s="785">
        <v>9</v>
      </c>
      <c r="GI13" s="1014">
        <f t="shared" si="24"/>
        <v>0</v>
      </c>
      <c r="GJ13" s="1018">
        <f t="shared" ca="1" si="25"/>
        <v>11</v>
      </c>
      <c r="GL13" s="786">
        <v>63</v>
      </c>
      <c r="GM13" s="786">
        <v>9</v>
      </c>
      <c r="GO13" s="746">
        <v>20</v>
      </c>
      <c r="GP13" s="280">
        <f ca="1">SUMIFS(D!BY$85:BY$104,D!$BR$85:$BR$104,$GO13)</f>
        <v>0</v>
      </c>
      <c r="GQ13" s="757">
        <f ca="1">SUMIFS(D!BZ$85:BZ$99,D!$BR$85:$BR$99,$GO13)</f>
        <v>0</v>
      </c>
      <c r="GR13" s="758">
        <f ca="1">SUMIFS(D!CA$85:CA$99,D!$BR$85:$BR$99,$GO13)</f>
        <v>0</v>
      </c>
      <c r="GS13" s="280">
        <f>SUMIFS(D!BY$85:BY$99,D!$BP$85:$BP$99,TRUE,D!$BR$85:$BR$99,Габариты!$GO13)</f>
        <v>0</v>
      </c>
      <c r="GT13" s="757">
        <f>SUMIFS(D!BZ$85:BZ$99,D!$BP$85:$BP$99,TRUE,D!$BR$85:$BR$99,Габариты!$GO13)</f>
        <v>0</v>
      </c>
      <c r="GU13" s="758">
        <f>SUMIFS(D!CA$85:CA$99,D!$BP$85:$BP$99,TRUE,D!$BR$85:$BR$99,Габариты!$GO13)</f>
        <v>0</v>
      </c>
      <c r="GW13" s="757">
        <f ca="1">SUM(HB$5:HB12)-SUM(HC$5:HC12)</f>
        <v>40</v>
      </c>
      <c r="GX13" s="757">
        <f t="shared" ca="1" si="71"/>
        <v>2</v>
      </c>
      <c r="GY13" s="753">
        <f t="shared" ca="1" si="26"/>
        <v>0</v>
      </c>
      <c r="GZ13" s="280">
        <f t="shared" ca="1" si="27"/>
        <v>0</v>
      </c>
      <c r="HA13" s="758">
        <f t="shared" ca="1" si="28"/>
        <v>0</v>
      </c>
      <c r="HB13" s="280">
        <f t="shared" ca="1" si="29"/>
        <v>0</v>
      </c>
      <c r="HC13" s="753">
        <f t="shared" ca="1" si="30"/>
        <v>0</v>
      </c>
      <c r="HD13" s="802" t="b">
        <f t="shared" ca="1" si="3"/>
        <v>0</v>
      </c>
      <c r="HE13" s="802" t="b">
        <f t="shared" ca="1" si="4"/>
        <v>0</v>
      </c>
      <c r="HF13" s="754" t="b">
        <f t="shared" ca="1" si="31"/>
        <v>0</v>
      </c>
      <c r="HH13" s="757">
        <f ca="1">SUM(HM$5:HM12)-SUM(HN$5:HN12)</f>
        <v>0</v>
      </c>
      <c r="HI13" s="757">
        <f t="shared" ca="1" si="72"/>
        <v>0</v>
      </c>
      <c r="HJ13" s="753">
        <f t="shared" ca="1" si="73"/>
        <v>0</v>
      </c>
      <c r="HK13" s="280">
        <f t="shared" ca="1" si="80"/>
        <v>0</v>
      </c>
      <c r="HL13" s="758">
        <f t="shared" ca="1" si="81"/>
        <v>0</v>
      </c>
      <c r="HM13" s="280">
        <f t="shared" ca="1" si="32"/>
        <v>0</v>
      </c>
      <c r="HN13" s="753">
        <f t="shared" ca="1" si="33"/>
        <v>0</v>
      </c>
      <c r="HO13" s="802" t="b">
        <f t="shared" ca="1" si="7"/>
        <v>0</v>
      </c>
      <c r="HP13" s="802" t="b">
        <f t="shared" ca="1" si="8"/>
        <v>0</v>
      </c>
      <c r="HQ13" s="754" t="b">
        <f t="shared" ca="1" si="34"/>
        <v>0</v>
      </c>
      <c r="HS13" s="757">
        <f ca="1">SUM($HB$5:$HB12)-SUM($HC$5:$HC12)</f>
        <v>40</v>
      </c>
      <c r="HT13" s="757">
        <f t="shared" ca="1" si="74"/>
        <v>2</v>
      </c>
      <c r="HU13" s="753">
        <f t="shared" ca="1" si="35"/>
        <v>0</v>
      </c>
      <c r="HV13" s="280">
        <f t="shared" ca="1" si="36"/>
        <v>0</v>
      </c>
      <c r="HW13" s="758">
        <f t="shared" ca="1" si="37"/>
        <v>0</v>
      </c>
      <c r="HX13" s="280">
        <f t="shared" ca="1" si="38"/>
        <v>0</v>
      </c>
      <c r="HY13" s="753">
        <f t="shared" ca="1" si="39"/>
        <v>0</v>
      </c>
      <c r="HZ13" s="802" t="b">
        <f t="shared" ca="1" si="9"/>
        <v>0</v>
      </c>
      <c r="IA13" s="802" t="b">
        <f t="shared" ca="1" si="10"/>
        <v>0</v>
      </c>
      <c r="IB13" s="754" t="b">
        <f t="shared" ca="1" si="40"/>
        <v>0</v>
      </c>
      <c r="IC13" s="777"/>
      <c r="ID13" s="1205" t="s">
        <v>1103</v>
      </c>
      <c r="IE13" s="1205"/>
    </row>
    <row r="14" spans="1:245" ht="13.5" thickBot="1" x14ac:dyDescent="0.25">
      <c r="A14" s="65" t="s">
        <v>92</v>
      </c>
      <c r="B14" s="141" t="str">
        <f>MID(Бланк!B20,1,3)</f>
        <v/>
      </c>
      <c r="C14" s="149">
        <f>IF(ISBLANK(Бланк!$C20),0,MID(Бланк!$C20,1,1))</f>
        <v>0</v>
      </c>
      <c r="D14" s="60">
        <f>Бланк!D20</f>
        <v>0</v>
      </c>
      <c r="E14" s="267" t="b">
        <f>AND(MID(Бланк!$H20,1,3)&lt;&gt;"-",MID(Бланк!$H20,1,3)&lt;&gt;"")</f>
        <v>0</v>
      </c>
      <c r="F14" s="149">
        <f>Бланк!$O20</f>
        <v>0</v>
      </c>
      <c r="G14" s="60">
        <f t="shared" si="11"/>
        <v>0</v>
      </c>
      <c r="H14" s="143">
        <f t="shared" si="12"/>
        <v>0</v>
      </c>
      <c r="I14" s="266">
        <f>IF(AND($E14,Проверки!$I12,$D14&lt;=25,$C14="2"),$F14,0)</f>
        <v>0</v>
      </c>
      <c r="J14" s="267">
        <f>IF(AND($E14,Проверки!I12,$D14&lt;=63,$C14="2",I14=0),$F14,0)</f>
        <v>0</v>
      </c>
      <c r="K14" s="267">
        <f>IF(AND($E14,Проверки!$I12,$D14&lt;=25,$C14&gt;="3"),$F14,0)</f>
        <v>0</v>
      </c>
      <c r="L14" s="267">
        <f>IF(AND($E14,Проверки!$I12,$D14&lt;=63,C14&gt;="3",K14=0),$F14,0)</f>
        <v>0</v>
      </c>
      <c r="M14" s="267">
        <f>IF(AND($E14,Проверки!L12,$C14="2"),$F14,0)</f>
        <v>0</v>
      </c>
      <c r="N14" s="267">
        <f>IF(AND($E14,Проверки!$L12,$C14&gt;="3"),$F14,0)</f>
        <v>0</v>
      </c>
      <c r="O14" s="267">
        <f>IF(AND($E14,Проверки!$M12,$C14="2"),1,0)</f>
        <v>0</v>
      </c>
      <c r="P14" s="267">
        <f>IF(AND($E14,Проверки!$M12,$C14&gt;="3",$D14&lt;=63,ISERR(SEARCH("si",Бланк!H20))),1,0)</f>
        <v>0</v>
      </c>
      <c r="Q14" s="267">
        <f>IF(AND($E14,Проверки!$M12,$C14&gt;="3",P14=0),1,0)</f>
        <v>0</v>
      </c>
      <c r="R14" s="267">
        <f>IF(AND(Бланк!I20="+",OR(Проверки!$I12:$L12,Проверки!$O12)),$F14,0)</f>
        <v>0</v>
      </c>
      <c r="S14" s="267">
        <f>IF(AND(Бланк!J20="+",OR(Проверки!$I12:$L12,Проверки!$O12)),$F14,0)</f>
        <v>0</v>
      </c>
      <c r="T14" s="267">
        <f>IF(AND(Бланк!K20="+",OR(Проверки!$I12:$L12,Проверки!$O12)),$F14,0)</f>
        <v>0</v>
      </c>
      <c r="U14" s="267">
        <f>IF(AND(Бланк!I20="+",Проверки!$M12),Бланк!$O20,0)</f>
        <v>0</v>
      </c>
      <c r="V14" s="269">
        <f>IF(AND(Бланк!J20="+",Проверки!$M12),Бланк!$O20,0)</f>
        <v>0</v>
      </c>
      <c r="W14" s="424">
        <f>IF(AND(Бланк!K20="+",Проверки!$M12),Бланк!$O20,0)</f>
        <v>0</v>
      </c>
      <c r="X14" s="414">
        <f t="shared" si="41"/>
        <v>0</v>
      </c>
      <c r="Y14" s="411">
        <f t="shared" si="42"/>
        <v>0</v>
      </c>
      <c r="Z14" s="411">
        <f t="shared" si="43"/>
        <v>0</v>
      </c>
      <c r="AA14" s="276">
        <f t="shared" si="44"/>
        <v>0</v>
      </c>
      <c r="AB14" s="276">
        <f t="shared" si="45"/>
        <v>0</v>
      </c>
      <c r="AC14" s="411">
        <f t="shared" si="46"/>
        <v>0</v>
      </c>
      <c r="AD14" s="411">
        <f t="shared" si="47"/>
        <v>0</v>
      </c>
      <c r="AE14" s="421">
        <f t="shared" si="48"/>
        <v>0</v>
      </c>
      <c r="AF14" s="421">
        <f t="shared" si="49"/>
        <v>0</v>
      </c>
      <c r="AG14" s="276">
        <f t="shared" si="50"/>
        <v>0</v>
      </c>
      <c r="AH14" s="276">
        <f t="shared" si="51"/>
        <v>0</v>
      </c>
      <c r="AI14" s="276">
        <f t="shared" si="52"/>
        <v>0</v>
      </c>
      <c r="AJ14" s="276">
        <f t="shared" si="53"/>
        <v>0</v>
      </c>
      <c r="AK14" s="276">
        <f t="shared" si="54"/>
        <v>0</v>
      </c>
      <c r="AL14" s="281">
        <f t="shared" si="55"/>
        <v>0</v>
      </c>
      <c r="AM14" s="443">
        <f t="shared" si="56"/>
        <v>0</v>
      </c>
      <c r="AN14" s="444">
        <f t="shared" si="57"/>
        <v>0</v>
      </c>
      <c r="AO14" s="443">
        <f t="shared" si="58"/>
        <v>0</v>
      </c>
      <c r="AP14" s="444">
        <f t="shared" si="59"/>
        <v>0</v>
      </c>
      <c r="AQ14" s="412">
        <f>IF(MID(Бланк!L20,1,1)="3",3,IF(MID(Бланк!L20,1,1)="2",2,1))</f>
        <v>1</v>
      </c>
      <c r="AR14" s="60">
        <f>IF(ISERROR(VALUE(MID(Бланк!M20,3,LEN(Бланк!M20)-SEARCH("x",Бланк!M20)))),0,VALUE(MID(Бланк!M20,3,LEN(Бланк!M20)-SEARCH("x",Бланк!M20))))</f>
        <v>0</v>
      </c>
      <c r="AS14" s="60">
        <f>Бланк!N20</f>
        <v>0</v>
      </c>
      <c r="AT14" s="7"/>
      <c r="AU14" s="280" t="s">
        <v>150</v>
      </c>
      <c r="AV14" s="444">
        <v>25</v>
      </c>
      <c r="BA14" s="7"/>
      <c r="BB14" s="7"/>
      <c r="BC14" s="510">
        <f>IF($C$6&amp;Бланк!$E$36&amp;IF(Габариты!$AS$6="снизу",Габариты!$AS$6,"сверху")=$BD14&amp;$BE14&amp;$BF14,1,0)</f>
        <v>0</v>
      </c>
      <c r="BD14" s="509">
        <v>4</v>
      </c>
      <c r="BE14" s="528" t="s">
        <v>44</v>
      </c>
      <c r="BF14" s="528" t="s">
        <v>80</v>
      </c>
      <c r="BG14" s="530">
        <v>200</v>
      </c>
      <c r="BH14" s="530">
        <v>250</v>
      </c>
      <c r="BI14" s="530">
        <v>300</v>
      </c>
      <c r="BJ14" s="530">
        <v>500</v>
      </c>
      <c r="BK14" s="530">
        <v>450</v>
      </c>
      <c r="BL14" s="550">
        <v>400</v>
      </c>
      <c r="BM14" s="550">
        <v>400</v>
      </c>
      <c r="BN14" s="550">
        <v>400</v>
      </c>
      <c r="BO14" s="550">
        <v>400</v>
      </c>
      <c r="BP14" s="550">
        <v>400</v>
      </c>
      <c r="BQ14" s="550">
        <v>400</v>
      </c>
      <c r="BR14" s="550">
        <v>400</v>
      </c>
      <c r="BS14" s="550">
        <v>400</v>
      </c>
      <c r="BT14" s="550">
        <v>400</v>
      </c>
      <c r="BU14" s="550">
        <v>400</v>
      </c>
      <c r="BV14" s="528">
        <v>725</v>
      </c>
      <c r="BW14" s="528">
        <v>725</v>
      </c>
      <c r="BX14" s="528">
        <v>725</v>
      </c>
      <c r="BY14" s="530">
        <v>250</v>
      </c>
      <c r="BZ14" s="530">
        <v>250</v>
      </c>
      <c r="CA14" s="530">
        <v>550</v>
      </c>
      <c r="CB14" s="530">
        <v>675</v>
      </c>
      <c r="CC14" s="528">
        <v>825</v>
      </c>
      <c r="CD14" s="528">
        <v>825</v>
      </c>
      <c r="CE14" s="528">
        <v>825</v>
      </c>
      <c r="CF14" s="528">
        <v>825</v>
      </c>
      <c r="CG14" s="528" t="s">
        <v>30</v>
      </c>
      <c r="CI14" s="157" t="s">
        <v>92</v>
      </c>
      <c r="CJ14" s="890">
        <f>IF(OR($G14=0,$B14="NSX"),0,ROUNDDOWN(($A$68-SUM(CL$6:CL13))/$G14,0))</f>
        <v>0</v>
      </c>
      <c r="CK14" s="880">
        <f t="shared" si="13"/>
        <v>0</v>
      </c>
      <c r="CL14" s="157">
        <f t="shared" si="60"/>
        <v>0</v>
      </c>
      <c r="CM14" s="890">
        <f>IF(OR($G14=0,$B14="NSX"),0,ROUNDDOWN(($A$68-SUM(CO$6:CO13))/$G14,0))</f>
        <v>0</v>
      </c>
      <c r="CN14" s="157">
        <f>IF(CM14&gt;=$F14-SUMIF($CK$5:CK$5,"Кол-во",$CK14:CK14),$F14-SUMIF($CK$5:CK$5,"Кол-во",$CK14:CK14),CM14)</f>
        <v>0</v>
      </c>
      <c r="CO14" s="157">
        <f t="shared" si="61"/>
        <v>0</v>
      </c>
      <c r="CP14" s="890">
        <f>IF(OR($G14=0,$B14="NSX"),0,ROUNDDOWN(($A$68-SUM(CR$6:CR13))/$G14,0))</f>
        <v>0</v>
      </c>
      <c r="CQ14" s="890">
        <f>IF(CP14&gt;=$F14-SUMIF($CK$5:CN$5,"Кол-во",$CK14:CN14),$F14-SUMIF($CK$5:CN$5,"Кол-во",$CK14:CN14),CP14)</f>
        <v>0</v>
      </c>
      <c r="CR14" s="890">
        <f t="shared" si="62"/>
        <v>0</v>
      </c>
      <c r="CS14" s="890">
        <f>IF(OR($G14=0,$B14="NSX"),0,ROUNDDOWN(($A$68-SUM(CU$6:CU13))/$G14,0))</f>
        <v>0</v>
      </c>
      <c r="CT14" s="890">
        <f>IF(CS14&gt;=$F14-SUMIF($CK$5:CQ$5,"Кол-во",$CK14:CQ14),$F14-SUMIF($CK$5:CQ$5,"Кол-во",$CK14:CQ14),CS14)</f>
        <v>0</v>
      </c>
      <c r="CU14" s="890">
        <f t="shared" si="63"/>
        <v>0</v>
      </c>
      <c r="CV14" s="890">
        <f>IF(OR($G14=0,$B14="NSX"),0,ROUNDDOWN(($A$68-SUM(CX$6:CX13))/$G14,0))</f>
        <v>0</v>
      </c>
      <c r="CW14" s="890">
        <f>IF(CV14&gt;=$F14-SUMIF($CK$5:CT$5,"Кол-во",$CK14:CT14),$F14-SUMIF($CK$5:CT$5,"Кол-во",$CK14:CT14),CV14)</f>
        <v>0</v>
      </c>
      <c r="CX14" s="890">
        <f t="shared" si="64"/>
        <v>0</v>
      </c>
      <c r="CY14" s="890">
        <f>IF(OR($G14=0,$B14="NSX"),0,ROUNDDOWN(($A$68-SUM(DA$6:DA13))/$G14,0))</f>
        <v>0</v>
      </c>
      <c r="CZ14" s="890">
        <f>IF(CY14&gt;=$F14-SUMIF($CK$5:CW$5,"Кол-во",$CK14:CW14),$F14-SUMIF($CK$5:CW$5,"Кол-во",$CK14:CW14),CY14)</f>
        <v>0</v>
      </c>
      <c r="DA14" s="890">
        <f t="shared" si="65"/>
        <v>0</v>
      </c>
      <c r="DB14" s="890">
        <f>IF(OR($G14=0,$B14="NSX"),0,ROUNDDOWN(($A$68-SUM(DD$6:DD13))/$G14,0))</f>
        <v>0</v>
      </c>
      <c r="DC14" s="890">
        <f>IF(DB14&gt;=$F14-SUMIF($CK$5:CZ$5,"Кол-во",$CK14:CZ14),$F14-SUMIF($CK$5:CZ$5,"Кол-во",$CK14:CZ14),DB14)</f>
        <v>0</v>
      </c>
      <c r="DD14" s="890">
        <f t="shared" si="66"/>
        <v>0</v>
      </c>
      <c r="DE14" s="890">
        <f>IF(OR($G14=0,$B14="NSX"),0,ROUNDDOWN(($A$68-SUM(DG$6:DG13))/$G14,0))</f>
        <v>0</v>
      </c>
      <c r="DF14" s="890">
        <f>IF(DE14&gt;=$F14-SUMIF($CK$5:DC$5,"Кол-во",$CK14:DC14),$F14-SUMIF($CK$5:DC$5,"Кол-во",$CK14:DC14),DE14)</f>
        <v>0</v>
      </c>
      <c r="DG14" s="890">
        <f t="shared" si="67"/>
        <v>0</v>
      </c>
      <c r="DH14" s="890">
        <f>IF(OR($G14=0,$B14="NSX"),0,ROUNDDOWN(($A$68-SUM(DJ$6:DJ13))/$G14,0))</f>
        <v>0</v>
      </c>
      <c r="DI14" s="890">
        <f>IF(DH14&gt;=$F14-SUMIF($CK$5:DF$5,"Кол-во",$CK14:DF14),$F14-SUMIF($CK$5:DF$5,"Кол-во",$CK14:DF14),DH14)</f>
        <v>0</v>
      </c>
      <c r="DJ14" s="890">
        <f t="shared" si="68"/>
        <v>0</v>
      </c>
      <c r="DK14" s="890">
        <f>IF(OR($G14=0,$B14="NSX"),0,ROUNDDOWN(($A$68-SUM(DM$6:DM13))/$G14,0))</f>
        <v>0</v>
      </c>
      <c r="DL14" s="890">
        <f>IF(DK14&gt;=$F14-SUMIF($CK$5:DI$5,"Кол-во",$CK14:DI14),$F14-SUMIF($CK$5:DI$5,"Кол-во",$CK14:DI14),DK14)</f>
        <v>0</v>
      </c>
      <c r="DM14" s="890">
        <f t="shared" si="69"/>
        <v>0</v>
      </c>
      <c r="DS14" s="352" t="str">
        <f t="shared" si="14"/>
        <v>IT2</v>
      </c>
      <c r="DT14" s="569" t="s">
        <v>151</v>
      </c>
      <c r="DU14" s="569">
        <v>2</v>
      </c>
      <c r="DV14" s="569">
        <v>3</v>
      </c>
      <c r="DW14" s="358"/>
      <c r="DX14" s="352" t="str">
        <f t="shared" si="15"/>
        <v>TN-S4</v>
      </c>
      <c r="DY14" s="569" t="s">
        <v>5</v>
      </c>
      <c r="DZ14" s="569">
        <v>4</v>
      </c>
      <c r="EA14" s="569">
        <v>5</v>
      </c>
      <c r="EC14" s="559">
        <v>13</v>
      </c>
      <c r="ED14" s="559">
        <v>1</v>
      </c>
      <c r="EE14" s="352">
        <v>2.5</v>
      </c>
      <c r="EF14" s="560"/>
      <c r="EG14" s="20"/>
      <c r="EH14" s="32"/>
      <c r="EI14" s="21" t="s">
        <v>93</v>
      </c>
      <c r="EJ14" s="21">
        <f>Бланк!$O$21</f>
        <v>0</v>
      </c>
      <c r="EK14" s="296">
        <f>IFERROR(VALUE(MID(Бланк!$L21,1,1)),1)*EJ14</f>
        <v>0</v>
      </c>
      <c r="EL14" s="21" t="str">
        <f>IF(EJ14=EK14,MID(Бланк!$L21,1,100),MID(Бланк!$L21,3,100))</f>
        <v/>
      </c>
      <c r="EM14" s="21">
        <f>Бланк!$M21</f>
        <v>0</v>
      </c>
      <c r="EN14" s="354">
        <f>_xlfn.IFNA(VLOOKUP(Бланк!$K$3&amp;Габариты!$C15,$DX:$EA,4,FALSE)&amp;"x"&amp;VLOOKUP(Проверки!$D13,$EC:$EE,3,FALSE),0)</f>
        <v>0</v>
      </c>
      <c r="EO14" s="354">
        <f t="shared" si="16"/>
        <v>0</v>
      </c>
      <c r="EP14" s="4">
        <f>Бланк!$N21</f>
        <v>0</v>
      </c>
      <c r="EQ14" s="559">
        <f>_xlfn.IFNA(VLOOKUP(EL14&amp;" "&amp;EO14,'Список кабелей'!$I:$J,2,FALSE),0)</f>
        <v>0</v>
      </c>
      <c r="ER14" s="559">
        <f>IF(OR(EL14="-",EO14="-",EP14="-",Проверки!$D13=""),0,VLOOKUP(EO14,'Список кабелей'!$D:$J,7,FALSE))</f>
        <v>0</v>
      </c>
      <c r="ES14" s="559">
        <f t="shared" si="17"/>
        <v>0</v>
      </c>
      <c r="ET14" s="354">
        <f>EK14*_xlfn.IFNA(VLOOKUP(Проверки!$D13,$EC:$EE,2,FALSE),0)</f>
        <v>0</v>
      </c>
      <c r="EU14" s="44">
        <f t="shared" si="18"/>
        <v>0</v>
      </c>
      <c r="EV14" s="56">
        <f t="shared" si="19"/>
        <v>0</v>
      </c>
      <c r="EW14" s="55">
        <f t="shared" si="20"/>
        <v>0</v>
      </c>
      <c r="EX14" s="24">
        <f t="shared" si="0"/>
        <v>0</v>
      </c>
      <c r="EY14" s="24">
        <f t="shared" si="0"/>
        <v>0</v>
      </c>
      <c r="EZ14" s="24">
        <f t="shared" si="0"/>
        <v>0</v>
      </c>
      <c r="FA14" s="24">
        <f t="shared" si="0"/>
        <v>0</v>
      </c>
      <c r="FB14" s="24">
        <f t="shared" si="0"/>
        <v>0</v>
      </c>
      <c r="FC14" s="24">
        <f t="shared" si="0"/>
        <v>0</v>
      </c>
      <c r="FD14" s="24">
        <f t="shared" si="0"/>
        <v>0</v>
      </c>
      <c r="FE14" s="46">
        <f t="shared" si="0"/>
        <v>0</v>
      </c>
      <c r="FF14" s="561"/>
      <c r="FG14" s="1210"/>
      <c r="FH14" s="1186"/>
      <c r="FI14" s="168" t="s">
        <v>862</v>
      </c>
      <c r="FJ14" s="952">
        <f>IF(ISERROR(FJ13),0,ROUNDUP(FJ13,0))*VLOOKUP(FJ$4,$DO$5:$DP$13,2,0)</f>
        <v>0</v>
      </c>
      <c r="FK14" s="953">
        <f t="shared" ref="FK14:FR14" si="84">IF(ISERROR(FK13),0,ROUNDUP(FK13,0))*VLOOKUP(FK$4,$DO$5:$DP$13,2,0)</f>
        <v>0</v>
      </c>
      <c r="FL14" s="953">
        <f t="shared" si="84"/>
        <v>0</v>
      </c>
      <c r="FM14" s="953">
        <f t="shared" si="84"/>
        <v>0</v>
      </c>
      <c r="FN14" s="953">
        <f t="shared" si="84"/>
        <v>0</v>
      </c>
      <c r="FO14" s="953">
        <f t="shared" si="84"/>
        <v>0</v>
      </c>
      <c r="FP14" s="953">
        <f t="shared" si="84"/>
        <v>0</v>
      </c>
      <c r="FQ14" s="953">
        <f t="shared" si="84"/>
        <v>0</v>
      </c>
      <c r="FR14" s="239">
        <f t="shared" si="84"/>
        <v>0</v>
      </c>
      <c r="FS14" s="1194"/>
      <c r="FT14" s="1212"/>
      <c r="FU14" s="1255"/>
      <c r="FV14" s="561"/>
      <c r="FW14" s="282" t="s">
        <v>437</v>
      </c>
      <c r="FY14" s="284">
        <v>16</v>
      </c>
      <c r="GA14" s="785" t="s">
        <v>94</v>
      </c>
      <c r="GB14" s="785">
        <f>Бланк!C22</f>
        <v>0</v>
      </c>
      <c r="GC14" s="785">
        <f>Бланк!D22</f>
        <v>0</v>
      </c>
      <c r="GD14" s="786">
        <f t="shared" si="2"/>
        <v>26</v>
      </c>
      <c r="GE14" s="786" t="b">
        <f t="shared" si="22"/>
        <v>0</v>
      </c>
      <c r="GF14" s="786">
        <f t="shared" si="23"/>
        <v>0</v>
      </c>
      <c r="GG14" s="785">
        <v>10</v>
      </c>
      <c r="GI14" s="1014">
        <f t="shared" si="24"/>
        <v>0</v>
      </c>
      <c r="GJ14" s="1018">
        <f t="shared" ca="1" si="25"/>
        <v>12</v>
      </c>
      <c r="GL14" s="786">
        <v>50</v>
      </c>
      <c r="GM14" s="786">
        <v>10</v>
      </c>
      <c r="GO14" s="746">
        <v>16</v>
      </c>
      <c r="GP14" s="280">
        <f ca="1">SUMIFS(D!BY$85:BY$104,D!$BR$85:$BR$104,$GO14)</f>
        <v>3</v>
      </c>
      <c r="GQ14" s="757">
        <f ca="1">SUMIFS(D!BZ$85:BZ$99,D!$BR$85:$BR$99,$GO14)</f>
        <v>0</v>
      </c>
      <c r="GR14" s="758">
        <f ca="1">SUMIFS(D!CA$85:CA$99,D!$BR$85:$BR$99,$GO14)</f>
        <v>0</v>
      </c>
      <c r="GS14" s="280">
        <f>SUMIFS(D!BY$85:BY$99,D!$BP$85:$BP$99,TRUE,D!$BR$85:$BR$99,Габариты!$GO14)</f>
        <v>0</v>
      </c>
      <c r="GT14" s="757">
        <f>SUMIFS(D!BZ$85:BZ$99,D!$BP$85:$BP$99,TRUE,D!$BR$85:$BR$99,Габариты!$GO14)</f>
        <v>0</v>
      </c>
      <c r="GU14" s="758">
        <f>SUMIFS(D!CA$85:CA$99,D!$BP$85:$BP$99,TRUE,D!$BR$85:$BR$99,Габариты!$GO14)</f>
        <v>0</v>
      </c>
      <c r="GW14" s="757">
        <f ca="1">SUM(HB$5:HB13)-SUM(HC$5:HC13)</f>
        <v>40</v>
      </c>
      <c r="GX14" s="757">
        <f t="shared" ca="1" si="71"/>
        <v>2</v>
      </c>
      <c r="GY14" s="753">
        <f t="shared" ca="1" si="26"/>
        <v>1</v>
      </c>
      <c r="GZ14" s="280">
        <f t="shared" ca="1" si="27"/>
        <v>1</v>
      </c>
      <c r="HA14" s="758">
        <f t="shared" ca="1" si="28"/>
        <v>2</v>
      </c>
      <c r="HB14" s="280">
        <f t="shared" ca="1" si="29"/>
        <v>16</v>
      </c>
      <c r="HC14" s="753">
        <f t="shared" ca="1" si="30"/>
        <v>32</v>
      </c>
      <c r="HD14" s="802" t="b">
        <f t="shared" ca="1" si="3"/>
        <v>0</v>
      </c>
      <c r="HE14" s="802" t="b">
        <f t="shared" ca="1" si="4"/>
        <v>0</v>
      </c>
      <c r="HF14" s="754" t="b">
        <f t="shared" ca="1" si="31"/>
        <v>0</v>
      </c>
      <c r="HH14" s="757">
        <f ca="1">SUM(HM$5:HM13)-SUM(HN$5:HN13)</f>
        <v>0</v>
      </c>
      <c r="HI14" s="757">
        <f t="shared" ca="1" si="72"/>
        <v>0</v>
      </c>
      <c r="HJ14" s="753">
        <f t="shared" ca="1" si="73"/>
        <v>0</v>
      </c>
      <c r="HK14" s="280">
        <f t="shared" ca="1" si="80"/>
        <v>0</v>
      </c>
      <c r="HL14" s="758">
        <f t="shared" ca="1" si="81"/>
        <v>0</v>
      </c>
      <c r="HM14" s="280">
        <f t="shared" ca="1" si="32"/>
        <v>0</v>
      </c>
      <c r="HN14" s="753">
        <f t="shared" ca="1" si="33"/>
        <v>0</v>
      </c>
      <c r="HO14" s="802" t="b">
        <f t="shared" ca="1" si="7"/>
        <v>0</v>
      </c>
      <c r="HP14" s="802" t="b">
        <f t="shared" ca="1" si="8"/>
        <v>0</v>
      </c>
      <c r="HQ14" s="754" t="b">
        <f t="shared" ca="1" si="34"/>
        <v>0</v>
      </c>
      <c r="HS14" s="757">
        <f ca="1">SUM($HB$5:$HB13)-SUM($HC$5:$HC13)</f>
        <v>40</v>
      </c>
      <c r="HT14" s="757">
        <f t="shared" ca="1" si="74"/>
        <v>2</v>
      </c>
      <c r="HU14" s="753">
        <f t="shared" ca="1" si="35"/>
        <v>0</v>
      </c>
      <c r="HV14" s="280">
        <f t="shared" ca="1" si="36"/>
        <v>0</v>
      </c>
      <c r="HW14" s="758">
        <f t="shared" ca="1" si="37"/>
        <v>0</v>
      </c>
      <c r="HX14" s="280">
        <f t="shared" ca="1" si="38"/>
        <v>0</v>
      </c>
      <c r="HY14" s="753">
        <f t="shared" ca="1" si="39"/>
        <v>0</v>
      </c>
      <c r="HZ14" s="802" t="b">
        <f t="shared" ca="1" si="9"/>
        <v>0</v>
      </c>
      <c r="IA14" s="802" t="b">
        <f t="shared" ca="1" si="10"/>
        <v>0</v>
      </c>
      <c r="IB14" s="754" t="b">
        <f t="shared" ca="1" si="40"/>
        <v>0</v>
      </c>
      <c r="IC14" s="777"/>
      <c r="ID14" s="527" t="s">
        <v>9</v>
      </c>
      <c r="IE14" s="527" t="s">
        <v>1104</v>
      </c>
    </row>
    <row r="15" spans="1:245" x14ac:dyDescent="0.2">
      <c r="A15" s="65" t="s">
        <v>93</v>
      </c>
      <c r="B15" s="141" t="str">
        <f>MID(Бланк!B21,1,3)</f>
        <v/>
      </c>
      <c r="C15" s="149">
        <f>IF(ISBLANK(Бланк!$C21),0,MID(Бланк!$C21,1,1))</f>
        <v>0</v>
      </c>
      <c r="D15" s="60">
        <f>Бланк!D21</f>
        <v>0</v>
      </c>
      <c r="E15" s="267" t="b">
        <f>AND(MID(Бланк!$H21,1,3)&lt;&gt;"-",MID(Бланк!$H21,1,3)&lt;&gt;"")</f>
        <v>0</v>
      </c>
      <c r="F15" s="149">
        <f>Бланк!$O21</f>
        <v>0</v>
      </c>
      <c r="G15" s="60">
        <f t="shared" si="11"/>
        <v>0</v>
      </c>
      <c r="H15" s="143">
        <f t="shared" si="12"/>
        <v>0</v>
      </c>
      <c r="I15" s="266">
        <f>IF(AND($E15,Проверки!$I13,$D15&lt;=25,$C15="2"),$F15,0)</f>
        <v>0</v>
      </c>
      <c r="J15" s="267">
        <f>IF(AND($E15,Проверки!I13,$D15&lt;=63,$C15="2",I15=0),$F15,0)</f>
        <v>0</v>
      </c>
      <c r="K15" s="267">
        <f>IF(AND($E15,Проверки!$I13,$D15&lt;=25,$C15&gt;="3"),$F15,0)</f>
        <v>0</v>
      </c>
      <c r="L15" s="267">
        <f>IF(AND($E15,Проверки!$I13,$D15&lt;=63,C15&gt;="3",K15=0),$F15,0)</f>
        <v>0</v>
      </c>
      <c r="M15" s="267">
        <f>IF(AND($E15,Проверки!L13,$C15="2"),$F15,0)</f>
        <v>0</v>
      </c>
      <c r="N15" s="267">
        <f>IF(AND($E15,Проверки!$L13,$C15&gt;="3"),$F15,0)</f>
        <v>0</v>
      </c>
      <c r="O15" s="267">
        <f>IF(AND($E15,Проверки!$M13,$C15="2"),1,0)</f>
        <v>0</v>
      </c>
      <c r="P15" s="267">
        <f>IF(AND($E15,Проверки!$M13,$C15&gt;="3",$D15&lt;=63,ISERR(SEARCH("si",Бланк!H21))),1,0)</f>
        <v>0</v>
      </c>
      <c r="Q15" s="267">
        <f>IF(AND($E15,Проверки!$M13,$C15&gt;="3",P15=0),1,0)</f>
        <v>0</v>
      </c>
      <c r="R15" s="267">
        <f>IF(AND(Бланк!I21="+",OR(Проверки!$I13:$L13,Проверки!$O13)),$F15,0)</f>
        <v>0</v>
      </c>
      <c r="S15" s="267">
        <f>IF(AND(Бланк!J21="+",OR(Проверки!$I13:$L13,Проверки!$O13)),$F15,0)</f>
        <v>0</v>
      </c>
      <c r="T15" s="267">
        <f>IF(AND(Бланк!K21="+",OR(Проверки!$I13:$L13,Проверки!$O13)),$F15,0)</f>
        <v>0</v>
      </c>
      <c r="U15" s="267">
        <f>IF(AND(Бланк!I21="+",Проверки!$M13),Бланк!$O21,0)</f>
        <v>0</v>
      </c>
      <c r="V15" s="269">
        <f>IF(AND(Бланк!J21="+",Проверки!$M13),Бланк!$O21,0)</f>
        <v>0</v>
      </c>
      <c r="W15" s="424">
        <f>IF(AND(Бланк!K21="+",Проверки!$M13),Бланк!$O21,0)</f>
        <v>0</v>
      </c>
      <c r="X15" s="414">
        <f t="shared" si="41"/>
        <v>0</v>
      </c>
      <c r="Y15" s="411">
        <f t="shared" si="42"/>
        <v>0</v>
      </c>
      <c r="Z15" s="411">
        <f t="shared" si="43"/>
        <v>0</v>
      </c>
      <c r="AA15" s="276">
        <f t="shared" si="44"/>
        <v>0</v>
      </c>
      <c r="AB15" s="276">
        <f t="shared" si="45"/>
        <v>0</v>
      </c>
      <c r="AC15" s="411">
        <f t="shared" si="46"/>
        <v>0</v>
      </c>
      <c r="AD15" s="411">
        <f t="shared" si="47"/>
        <v>0</v>
      </c>
      <c r="AE15" s="421">
        <f t="shared" si="48"/>
        <v>0</v>
      </c>
      <c r="AF15" s="421">
        <f t="shared" si="49"/>
        <v>0</v>
      </c>
      <c r="AG15" s="276">
        <f t="shared" si="50"/>
        <v>0</v>
      </c>
      <c r="AH15" s="276">
        <f t="shared" si="51"/>
        <v>0</v>
      </c>
      <c r="AI15" s="276">
        <f t="shared" si="52"/>
        <v>0</v>
      </c>
      <c r="AJ15" s="276">
        <f t="shared" si="53"/>
        <v>0</v>
      </c>
      <c r="AK15" s="276">
        <f t="shared" si="54"/>
        <v>0</v>
      </c>
      <c r="AL15" s="281">
        <f t="shared" si="55"/>
        <v>0</v>
      </c>
      <c r="AM15" s="443">
        <f t="shared" si="56"/>
        <v>0</v>
      </c>
      <c r="AN15" s="444">
        <f t="shared" si="57"/>
        <v>0</v>
      </c>
      <c r="AO15" s="443">
        <f t="shared" si="58"/>
        <v>0</v>
      </c>
      <c r="AP15" s="444">
        <f t="shared" si="59"/>
        <v>0</v>
      </c>
      <c r="AQ15" s="412">
        <f>IF(MID(Бланк!L21,1,1)="3",3,IF(MID(Бланк!L21,1,1)="2",2,1))</f>
        <v>1</v>
      </c>
      <c r="AR15" s="60">
        <f>IF(ISERROR(VALUE(MID(Бланк!M21,3,LEN(Бланк!M21)-SEARCH("x",Бланк!M21)))),0,VALUE(MID(Бланк!M21,3,LEN(Бланк!M21)-SEARCH("x",Бланк!M21))))</f>
        <v>0</v>
      </c>
      <c r="AS15" s="60">
        <f>Бланк!N21</f>
        <v>0</v>
      </c>
      <c r="AT15" s="7"/>
      <c r="AU15" s="280" t="s">
        <v>511</v>
      </c>
      <c r="AV15" s="444">
        <v>25</v>
      </c>
      <c r="BA15" s="7"/>
      <c r="BB15" s="7"/>
      <c r="BC15" s="510">
        <f>IF($C$6&amp;Бланк!$E$36&amp;IF(Габариты!$AS$6="снизу",Габариты!$AS$6,"сверху")=$BD15&amp;$BE15&amp;$BF15,1,0)</f>
        <v>0</v>
      </c>
      <c r="BD15" s="509">
        <v>4</v>
      </c>
      <c r="BE15" s="528" t="s">
        <v>45</v>
      </c>
      <c r="BF15" s="528" t="s">
        <v>79</v>
      </c>
      <c r="BG15" s="530">
        <v>225</v>
      </c>
      <c r="BH15" s="530">
        <f t="shared" ref="BH15:BK16" si="85">BH13+25</f>
        <v>275</v>
      </c>
      <c r="BI15" s="530">
        <f t="shared" si="85"/>
        <v>525</v>
      </c>
      <c r="BJ15" s="530">
        <f t="shared" si="85"/>
        <v>525</v>
      </c>
      <c r="BK15" s="530">
        <f t="shared" si="85"/>
        <v>675</v>
      </c>
      <c r="BL15" s="550">
        <v>400</v>
      </c>
      <c r="BM15" s="550">
        <v>600</v>
      </c>
      <c r="BN15" s="550">
        <v>400</v>
      </c>
      <c r="BO15" s="550">
        <v>600</v>
      </c>
      <c r="BP15" s="550">
        <v>400</v>
      </c>
      <c r="BQ15" s="550">
        <v>600</v>
      </c>
      <c r="BR15" s="550">
        <v>400</v>
      </c>
      <c r="BS15" s="550">
        <v>600</v>
      </c>
      <c r="BT15" s="550">
        <v>400</v>
      </c>
      <c r="BU15" s="550">
        <v>600</v>
      </c>
      <c r="BV15" s="528">
        <v>725</v>
      </c>
      <c r="BW15" s="528">
        <v>725</v>
      </c>
      <c r="BX15" s="528">
        <v>725</v>
      </c>
      <c r="BY15" s="530">
        <v>250</v>
      </c>
      <c r="BZ15" s="530">
        <v>450</v>
      </c>
      <c r="CA15" s="530">
        <v>550</v>
      </c>
      <c r="CB15" s="530">
        <v>675</v>
      </c>
      <c r="CC15" s="528">
        <v>825</v>
      </c>
      <c r="CD15" s="528">
        <v>825</v>
      </c>
      <c r="CE15" s="528">
        <v>825</v>
      </c>
      <c r="CF15" s="528">
        <v>825</v>
      </c>
      <c r="CG15" s="528" t="s">
        <v>30</v>
      </c>
      <c r="CI15" s="157" t="s">
        <v>93</v>
      </c>
      <c r="CJ15" s="890">
        <f>IF(OR($G15=0,$B15="NSX"),0,ROUNDDOWN(($A$68-SUM(CL$6:CL14))/$G15,0))</f>
        <v>0</v>
      </c>
      <c r="CK15" s="880">
        <f t="shared" si="13"/>
        <v>0</v>
      </c>
      <c r="CL15" s="157">
        <f t="shared" si="60"/>
        <v>0</v>
      </c>
      <c r="CM15" s="890">
        <f>IF(OR($G15=0,$B15="NSX"),0,ROUNDDOWN(($A$68-SUM(CO$6:CO14))/$G15,0))</f>
        <v>0</v>
      </c>
      <c r="CN15" s="157">
        <f>IF(CM15&gt;=$F15-SUMIF($CK$5:CK$5,"Кол-во",$CK15:CK15),$F15-SUMIF($CK$5:CK$5,"Кол-во",$CK15:CK15),CM15)</f>
        <v>0</v>
      </c>
      <c r="CO15" s="157">
        <f t="shared" si="61"/>
        <v>0</v>
      </c>
      <c r="CP15" s="890">
        <f>IF(OR($G15=0,$B15="NSX"),0,ROUNDDOWN(($A$68-SUM(CR$6:CR14))/$G15,0))</f>
        <v>0</v>
      </c>
      <c r="CQ15" s="890">
        <f>IF(CP15&gt;=$F15-SUMIF($CK$5:CN$5,"Кол-во",$CK15:CN15),$F15-SUMIF($CK$5:CN$5,"Кол-во",$CK15:CN15),CP15)</f>
        <v>0</v>
      </c>
      <c r="CR15" s="890">
        <f t="shared" si="62"/>
        <v>0</v>
      </c>
      <c r="CS15" s="890">
        <f>IF(OR($G15=0,$B15="NSX"),0,ROUNDDOWN(($A$68-SUM(CU$6:CU14))/$G15,0))</f>
        <v>0</v>
      </c>
      <c r="CT15" s="890">
        <f>IF(CS15&gt;=$F15-SUMIF($CK$5:CQ$5,"Кол-во",$CK15:CQ15),$F15-SUMIF($CK$5:CQ$5,"Кол-во",$CK15:CQ15),CS15)</f>
        <v>0</v>
      </c>
      <c r="CU15" s="890">
        <f t="shared" si="63"/>
        <v>0</v>
      </c>
      <c r="CV15" s="890">
        <f>IF(OR($G15=0,$B15="NSX"),0,ROUNDDOWN(($A$68-SUM(CX$6:CX14))/$G15,0))</f>
        <v>0</v>
      </c>
      <c r="CW15" s="890">
        <f>IF(CV15&gt;=$F15-SUMIF($CK$5:CT$5,"Кол-во",$CK15:CT15),$F15-SUMIF($CK$5:CT$5,"Кол-во",$CK15:CT15),CV15)</f>
        <v>0</v>
      </c>
      <c r="CX15" s="890">
        <f t="shared" si="64"/>
        <v>0</v>
      </c>
      <c r="CY15" s="890">
        <f>IF(OR($G15=0,$B15="NSX"),0,ROUNDDOWN(($A$68-SUM(DA$6:DA14))/$G15,0))</f>
        <v>0</v>
      </c>
      <c r="CZ15" s="890">
        <f>IF(CY15&gt;=$F15-SUMIF($CK$5:CW$5,"Кол-во",$CK15:CW15),$F15-SUMIF($CK$5:CW$5,"Кол-во",$CK15:CW15),CY15)</f>
        <v>0</v>
      </c>
      <c r="DA15" s="890">
        <f t="shared" si="65"/>
        <v>0</v>
      </c>
      <c r="DB15" s="890">
        <f>IF(OR($G15=0,$B15="NSX"),0,ROUNDDOWN(($A$68-SUM(DD$6:DD14))/$G15,0))</f>
        <v>0</v>
      </c>
      <c r="DC15" s="890">
        <f>IF(DB15&gt;=$F15-SUMIF($CK$5:CZ$5,"Кол-во",$CK15:CZ15),$F15-SUMIF($CK$5:CZ$5,"Кол-во",$CK15:CZ15),DB15)</f>
        <v>0</v>
      </c>
      <c r="DD15" s="890">
        <f t="shared" si="66"/>
        <v>0</v>
      </c>
      <c r="DE15" s="890">
        <f>IF(OR($G15=0,$B15="NSX"),0,ROUNDDOWN(($A$68-SUM(DG$6:DG14))/$G15,0))</f>
        <v>0</v>
      </c>
      <c r="DF15" s="890">
        <f>IF(DE15&gt;=$F15-SUMIF($CK$5:DC$5,"Кол-во",$CK15:DC15),$F15-SUMIF($CK$5:DC$5,"Кол-во",$CK15:DC15),DE15)</f>
        <v>0</v>
      </c>
      <c r="DG15" s="890">
        <f t="shared" si="67"/>
        <v>0</v>
      </c>
      <c r="DH15" s="890">
        <f>IF(OR($G15=0,$B15="NSX"),0,ROUNDDOWN(($A$68-SUM(DJ$6:DJ14))/$G15,0))</f>
        <v>0</v>
      </c>
      <c r="DI15" s="890">
        <f>IF(DH15&gt;=$F15-SUMIF($CK$5:DF$5,"Кол-во",$CK15:DF15),$F15-SUMIF($CK$5:DF$5,"Кол-во",$CK15:DF15),DH15)</f>
        <v>0</v>
      </c>
      <c r="DJ15" s="890">
        <f t="shared" si="68"/>
        <v>0</v>
      </c>
      <c r="DK15" s="890">
        <f>IF(OR($G15=0,$B15="NSX"),0,ROUNDDOWN(($A$68-SUM(DM$6:DM14))/$G15,0))</f>
        <v>0</v>
      </c>
      <c r="DL15" s="890">
        <f>IF(DK15&gt;=$F15-SUMIF($CK$5:DI$5,"Кол-во",$CK15:DI15),$F15-SUMIF($CK$5:DI$5,"Кол-во",$CK15:DI15),DK15)</f>
        <v>0</v>
      </c>
      <c r="DM15" s="890">
        <f t="shared" si="69"/>
        <v>0</v>
      </c>
      <c r="DS15" s="352" t="str">
        <f>DT15&amp;DU15</f>
        <v>IT3</v>
      </c>
      <c r="DT15" s="932" t="s">
        <v>151</v>
      </c>
      <c r="DU15" s="932">
        <v>3</v>
      </c>
      <c r="DV15" s="932">
        <v>5</v>
      </c>
      <c r="DW15" s="358"/>
      <c r="DX15" s="352" t="str">
        <f t="shared" si="15"/>
        <v>TT1</v>
      </c>
      <c r="DY15" s="569" t="s">
        <v>763</v>
      </c>
      <c r="DZ15" s="569">
        <v>1</v>
      </c>
      <c r="EA15" s="569">
        <v>3</v>
      </c>
      <c r="EC15" s="559">
        <v>15</v>
      </c>
      <c r="ED15" s="559">
        <v>1</v>
      </c>
      <c r="EE15" s="352">
        <v>2.5</v>
      </c>
      <c r="EF15" s="560"/>
      <c r="EG15" s="20"/>
      <c r="EH15" s="32"/>
      <c r="EI15" s="21" t="s">
        <v>94</v>
      </c>
      <c r="EJ15" s="21">
        <f>Бланк!$O$22</f>
        <v>0</v>
      </c>
      <c r="EK15" s="296">
        <f>IFERROR(VALUE(MID(Бланк!$L22,1,1)),1)*EJ15</f>
        <v>0</v>
      </c>
      <c r="EL15" s="21" t="str">
        <f>IF(EJ15=EK15,MID(Бланк!$L22,1,100),MID(Бланк!$L22,3,100))</f>
        <v/>
      </c>
      <c r="EM15" s="21">
        <f>Бланк!$M22</f>
        <v>0</v>
      </c>
      <c r="EN15" s="354">
        <f>_xlfn.IFNA(VLOOKUP(Бланк!$K$3&amp;Габариты!$C16,$DX:$EA,4,FALSE)&amp;"x"&amp;VLOOKUP(Проверки!$D14,$EC:$EE,3,FALSE),0)</f>
        <v>0</v>
      </c>
      <c r="EO15" s="354">
        <f t="shared" si="16"/>
        <v>0</v>
      </c>
      <c r="EP15" s="4">
        <f>Бланк!$N22</f>
        <v>0</v>
      </c>
      <c r="EQ15" s="559">
        <f>_xlfn.IFNA(VLOOKUP(EL15&amp;" "&amp;EO15,'Список кабелей'!$I:$J,2,FALSE),0)</f>
        <v>0</v>
      </c>
      <c r="ER15" s="559">
        <f>IF(OR(EL15="-",EO15="-",EP15="-",Проверки!$D14=""),0,VLOOKUP(EO15,'Список кабелей'!$D:$J,7,FALSE))</f>
        <v>0</v>
      </c>
      <c r="ES15" s="559">
        <f t="shared" si="17"/>
        <v>0</v>
      </c>
      <c r="ET15" s="354">
        <f>EK15*_xlfn.IFNA(VLOOKUP(Проверки!$D14,$EC:$EE,2,FALSE),0)</f>
        <v>0</v>
      </c>
      <c r="EU15" s="44">
        <f t="shared" si="18"/>
        <v>0</v>
      </c>
      <c r="EV15" s="56">
        <f t="shared" si="19"/>
        <v>0</v>
      </c>
      <c r="EW15" s="55">
        <f t="shared" si="20"/>
        <v>0</v>
      </c>
      <c r="EX15" s="24">
        <f t="shared" si="0"/>
        <v>0</v>
      </c>
      <c r="EY15" s="24">
        <f t="shared" si="0"/>
        <v>0</v>
      </c>
      <c r="EZ15" s="24">
        <f t="shared" si="0"/>
        <v>0</v>
      </c>
      <c r="FA15" s="24">
        <f t="shared" si="0"/>
        <v>0</v>
      </c>
      <c r="FB15" s="24">
        <f t="shared" si="0"/>
        <v>0</v>
      </c>
      <c r="FC15" s="24">
        <f t="shared" si="0"/>
        <v>0</v>
      </c>
      <c r="FD15" s="24">
        <f t="shared" si="0"/>
        <v>0</v>
      </c>
      <c r="FE15" s="46">
        <f t="shared" si="0"/>
        <v>0</v>
      </c>
      <c r="FF15" s="561"/>
      <c r="FG15" s="1209" t="s">
        <v>79</v>
      </c>
      <c r="FH15" s="1184" t="s">
        <v>236</v>
      </c>
      <c r="FI15" s="160" t="s">
        <v>233</v>
      </c>
      <c r="FJ15" s="961">
        <f>FJ$5/FJ$21</f>
        <v>0</v>
      </c>
      <c r="FK15" s="962">
        <f t="shared" ref="FK15:FR15" si="86">FK$5/FK$21</f>
        <v>0.33333333333333331</v>
      </c>
      <c r="FL15" s="962">
        <f t="shared" si="86"/>
        <v>0</v>
      </c>
      <c r="FM15" s="962">
        <f t="shared" si="86"/>
        <v>0</v>
      </c>
      <c r="FN15" s="962">
        <f t="shared" si="86"/>
        <v>0</v>
      </c>
      <c r="FO15" s="962">
        <f t="shared" si="86"/>
        <v>0</v>
      </c>
      <c r="FP15" s="962">
        <f t="shared" si="86"/>
        <v>0.42857142857142855</v>
      </c>
      <c r="FQ15" s="962">
        <f t="shared" si="86"/>
        <v>0</v>
      </c>
      <c r="FR15" s="963">
        <f t="shared" si="86"/>
        <v>1</v>
      </c>
      <c r="FS15" s="1193">
        <f>SUM(FJ16:FR16)</f>
        <v>167</v>
      </c>
      <c r="FT15" s="1195">
        <f>MID($FH15,1,3)-70</f>
        <v>330</v>
      </c>
      <c r="FU15" s="1198" t="b">
        <f>AND(NOT(ISERROR(SUM(FJ15:FR17))),MAX(FS15,FS17)&lt;($EG$5-100))</f>
        <v>1</v>
      </c>
      <c r="FV15" s="561"/>
      <c r="GA15" s="785" t="s">
        <v>162</v>
      </c>
      <c r="GB15" s="785">
        <f>Бланк!C23</f>
        <v>0</v>
      </c>
      <c r="GC15" s="785">
        <f>Бланк!D23</f>
        <v>0</v>
      </c>
      <c r="GD15" s="786">
        <f t="shared" si="2"/>
        <v>26</v>
      </c>
      <c r="GE15" s="786" t="b">
        <f t="shared" si="22"/>
        <v>0</v>
      </c>
      <c r="GF15" s="786">
        <f t="shared" si="23"/>
        <v>0</v>
      </c>
      <c r="GG15" s="785">
        <v>11</v>
      </c>
      <c r="GI15" s="1014">
        <f t="shared" si="24"/>
        <v>0</v>
      </c>
      <c r="GJ15" s="1018">
        <f t="shared" ca="1" si="25"/>
        <v>13</v>
      </c>
      <c r="GL15" s="786">
        <v>40</v>
      </c>
      <c r="GM15" s="786">
        <v>11</v>
      </c>
      <c r="GO15" s="746">
        <v>15</v>
      </c>
      <c r="GP15" s="280">
        <f ca="1">SUMIFS(D!BY$85:BY$104,D!$BR$85:$BR$104,$GO15)</f>
        <v>0</v>
      </c>
      <c r="GQ15" s="757">
        <f ca="1">SUMIFS(D!BZ$85:BZ$99,D!$BR$85:$BR$99,$GO15)</f>
        <v>0</v>
      </c>
      <c r="GR15" s="758">
        <f ca="1">SUMIFS(D!CA$85:CA$99,D!$BR$85:$BR$99,$GO15)</f>
        <v>0</v>
      </c>
      <c r="GS15" s="280">
        <f>SUMIFS(D!BY$85:BY$99,D!$BP$85:$BP$99,TRUE,D!$BR$85:$BR$99,Габариты!$GO15)</f>
        <v>0</v>
      </c>
      <c r="GT15" s="757">
        <f>SUMIFS(D!BZ$85:BZ$99,D!$BP$85:$BP$99,TRUE,D!$BR$85:$BR$99,Габариты!$GO15)</f>
        <v>0</v>
      </c>
      <c r="GU15" s="758">
        <f>SUMIFS(D!CA$85:CA$99,D!$BP$85:$BP$99,TRUE,D!$BR$85:$BR$99,Габариты!$GO15)</f>
        <v>0</v>
      </c>
      <c r="GW15" s="757">
        <f ca="1">SUM(HB$5:HB14)-SUM(HC$5:HC14)</f>
        <v>24</v>
      </c>
      <c r="GX15" s="757">
        <f t="shared" ca="1" si="71"/>
        <v>1</v>
      </c>
      <c r="GY15" s="753">
        <f t="shared" ca="1" si="26"/>
        <v>0</v>
      </c>
      <c r="GZ15" s="280">
        <f t="shared" ca="1" si="27"/>
        <v>0</v>
      </c>
      <c r="HA15" s="758">
        <f t="shared" ca="1" si="28"/>
        <v>0</v>
      </c>
      <c r="HB15" s="280">
        <f t="shared" ca="1" si="29"/>
        <v>0</v>
      </c>
      <c r="HC15" s="753">
        <f t="shared" ca="1" si="30"/>
        <v>0</v>
      </c>
      <c r="HD15" s="802" t="b">
        <f t="shared" ca="1" si="3"/>
        <v>0</v>
      </c>
      <c r="HE15" s="802" t="b">
        <f t="shared" ca="1" si="4"/>
        <v>0</v>
      </c>
      <c r="HF15" s="754" t="b">
        <f t="shared" ca="1" si="31"/>
        <v>0</v>
      </c>
      <c r="HH15" s="757">
        <f ca="1">SUM(HM$5:HM14)-SUM(HN$5:HN14)</f>
        <v>0</v>
      </c>
      <c r="HI15" s="757">
        <f t="shared" ca="1" si="72"/>
        <v>0</v>
      </c>
      <c r="HJ15" s="753">
        <f t="shared" ca="1" si="73"/>
        <v>0</v>
      </c>
      <c r="HK15" s="280">
        <f t="shared" ca="1" si="80"/>
        <v>0</v>
      </c>
      <c r="HL15" s="758">
        <f t="shared" ca="1" si="81"/>
        <v>0</v>
      </c>
      <c r="HM15" s="280">
        <f t="shared" ca="1" si="32"/>
        <v>0</v>
      </c>
      <c r="HN15" s="753">
        <f t="shared" ca="1" si="33"/>
        <v>0</v>
      </c>
      <c r="HO15" s="802" t="b">
        <f t="shared" ca="1" si="7"/>
        <v>0</v>
      </c>
      <c r="HP15" s="802" t="b">
        <f t="shared" ca="1" si="8"/>
        <v>0</v>
      </c>
      <c r="HQ15" s="754" t="b">
        <f t="shared" ca="1" si="34"/>
        <v>0</v>
      </c>
      <c r="HS15" s="757">
        <f ca="1">SUM($HB$5:$HB14)-SUM($HC$5:$HC14)</f>
        <v>24</v>
      </c>
      <c r="HT15" s="757">
        <f t="shared" ca="1" si="74"/>
        <v>1</v>
      </c>
      <c r="HU15" s="753">
        <f t="shared" ca="1" si="35"/>
        <v>0</v>
      </c>
      <c r="HV15" s="280">
        <f t="shared" ca="1" si="36"/>
        <v>0</v>
      </c>
      <c r="HW15" s="758">
        <f t="shared" ca="1" si="37"/>
        <v>0</v>
      </c>
      <c r="HX15" s="280">
        <f t="shared" ca="1" si="38"/>
        <v>0</v>
      </c>
      <c r="HY15" s="753">
        <f t="shared" ca="1" si="39"/>
        <v>0</v>
      </c>
      <c r="HZ15" s="802" t="b">
        <f t="shared" ca="1" si="9"/>
        <v>0</v>
      </c>
      <c r="IA15" s="802" t="b">
        <f t="shared" ca="1" si="10"/>
        <v>0</v>
      </c>
      <c r="IB15" s="754" t="b">
        <f t="shared" ca="1" si="40"/>
        <v>0</v>
      </c>
      <c r="IC15" s="777"/>
      <c r="ID15" s="879">
        <f>0.2</f>
        <v>0.2</v>
      </c>
      <c r="IE15" s="879">
        <v>0.4</v>
      </c>
    </row>
    <row r="16" spans="1:245" ht="13.5" thickBot="1" x14ac:dyDescent="0.25">
      <c r="A16" s="65" t="s">
        <v>94</v>
      </c>
      <c r="B16" s="141" t="str">
        <f>MID(Бланк!B22,1,3)</f>
        <v/>
      </c>
      <c r="C16" s="149">
        <f>IF(ISBLANK(Бланк!$C22),0,MID(Бланк!$C22,1,1))</f>
        <v>0</v>
      </c>
      <c r="D16" s="60">
        <f>Бланк!D22</f>
        <v>0</v>
      </c>
      <c r="E16" s="267" t="b">
        <f>AND(MID(Бланк!$H22,1,3)&lt;&gt;"-",MID(Бланк!$H22,1,3)&lt;&gt;"")</f>
        <v>0</v>
      </c>
      <c r="F16" s="149">
        <f>Бланк!$O22</f>
        <v>0</v>
      </c>
      <c r="G16" s="60">
        <f t="shared" si="11"/>
        <v>0</v>
      </c>
      <c r="H16" s="143">
        <f t="shared" si="12"/>
        <v>0</v>
      </c>
      <c r="I16" s="266">
        <f>IF(AND($E16,Проверки!$I14,$D16&lt;=25,$C16="2"),$F16,0)</f>
        <v>0</v>
      </c>
      <c r="J16" s="267">
        <f>IF(AND($E16,Проверки!I14,$D16&lt;=63,$C16="2",I16=0),$F16,0)</f>
        <v>0</v>
      </c>
      <c r="K16" s="267">
        <f>IF(AND($E16,Проверки!$I14,$D16&lt;=25,$C16&gt;="3"),$F16,0)</f>
        <v>0</v>
      </c>
      <c r="L16" s="267">
        <f>IF(AND($E16,Проверки!$I14,$D16&lt;=63,C16&gt;="3",K16=0),$F16,0)</f>
        <v>0</v>
      </c>
      <c r="M16" s="267">
        <f>IF(AND($E16,Проверки!L14,$C16="2"),$F16,0)</f>
        <v>0</v>
      </c>
      <c r="N16" s="267">
        <f>IF(AND($E16,Проверки!$L14,$C16&gt;="3"),$F16,0)</f>
        <v>0</v>
      </c>
      <c r="O16" s="267">
        <f>IF(AND($E16,Проверки!$M14,$C16="2"),1,0)</f>
        <v>0</v>
      </c>
      <c r="P16" s="267">
        <f>IF(AND($E16,Проверки!$M14,$C16&gt;="3",$D16&lt;=63,ISERR(SEARCH("si",Бланк!H22))),1,0)</f>
        <v>0</v>
      </c>
      <c r="Q16" s="267">
        <f>IF(AND($E16,Проверки!$M14,$C16&gt;="3",P16=0),1,0)</f>
        <v>0</v>
      </c>
      <c r="R16" s="267">
        <f>IF(AND(Бланк!I22="+",OR(Проверки!$I14:$L14,Проверки!$O14)),$F16,0)</f>
        <v>0</v>
      </c>
      <c r="S16" s="267">
        <f>IF(AND(Бланк!J22="+",OR(Проверки!$I14:$L14,Проверки!$O14)),$F16,0)</f>
        <v>0</v>
      </c>
      <c r="T16" s="267">
        <f>IF(AND(Бланк!K22="+",OR(Проверки!$I14:$L14,Проверки!$O14)),$F16,0)</f>
        <v>0</v>
      </c>
      <c r="U16" s="267">
        <f>IF(AND(Бланк!I22="+",Проверки!$M14),Бланк!$O22,0)</f>
        <v>0</v>
      </c>
      <c r="V16" s="269">
        <f>IF(AND(Бланк!J22="+",Проверки!$M14),Бланк!$O22,0)</f>
        <v>0</v>
      </c>
      <c r="W16" s="424">
        <f>IF(AND(Бланк!K22="+",Проверки!$M14),Бланк!$O22,0)</f>
        <v>0</v>
      </c>
      <c r="X16" s="414">
        <f t="shared" si="41"/>
        <v>0</v>
      </c>
      <c r="Y16" s="411">
        <f t="shared" si="42"/>
        <v>0</v>
      </c>
      <c r="Z16" s="411">
        <f t="shared" si="43"/>
        <v>0</v>
      </c>
      <c r="AA16" s="276">
        <f t="shared" si="44"/>
        <v>0</v>
      </c>
      <c r="AB16" s="276">
        <f t="shared" si="45"/>
        <v>0</v>
      </c>
      <c r="AC16" s="411">
        <f t="shared" si="46"/>
        <v>0</v>
      </c>
      <c r="AD16" s="411">
        <f t="shared" si="47"/>
        <v>0</v>
      </c>
      <c r="AE16" s="421">
        <f t="shared" si="48"/>
        <v>0</v>
      </c>
      <c r="AF16" s="421">
        <f t="shared" si="49"/>
        <v>0</v>
      </c>
      <c r="AG16" s="276">
        <f t="shared" si="50"/>
        <v>0</v>
      </c>
      <c r="AH16" s="276">
        <f t="shared" si="51"/>
        <v>0</v>
      </c>
      <c r="AI16" s="276">
        <f t="shared" si="52"/>
        <v>0</v>
      </c>
      <c r="AJ16" s="276">
        <f t="shared" si="53"/>
        <v>0</v>
      </c>
      <c r="AK16" s="276">
        <f t="shared" si="54"/>
        <v>0</v>
      </c>
      <c r="AL16" s="281">
        <f t="shared" si="55"/>
        <v>0</v>
      </c>
      <c r="AM16" s="443">
        <f t="shared" si="56"/>
        <v>0</v>
      </c>
      <c r="AN16" s="444">
        <f t="shared" si="57"/>
        <v>0</v>
      </c>
      <c r="AO16" s="443">
        <f t="shared" si="58"/>
        <v>0</v>
      </c>
      <c r="AP16" s="444">
        <f t="shared" si="59"/>
        <v>0</v>
      </c>
      <c r="AQ16" s="412">
        <f>IF(MID(Бланк!L22,1,1)="3",3,IF(MID(Бланк!L22,1,1)="2",2,1))</f>
        <v>1</v>
      </c>
      <c r="AR16" s="60">
        <f>IF(ISERROR(VALUE(MID(Бланк!M22,3,LEN(Бланк!M22)-SEARCH("x",Бланк!M22)))),0,VALUE(MID(Бланк!M22,3,LEN(Бланк!M22)-SEARCH("x",Бланк!M22))))</f>
        <v>0</v>
      </c>
      <c r="AS16" s="60">
        <f>Бланк!N22</f>
        <v>0</v>
      </c>
      <c r="AT16" s="7"/>
      <c r="AU16" s="280" t="s">
        <v>512</v>
      </c>
      <c r="AV16" s="444">
        <v>25</v>
      </c>
      <c r="BA16" s="7"/>
      <c r="BB16" s="7"/>
      <c r="BC16" s="510">
        <f>IF($C$6&amp;Бланк!$E$36&amp;IF(Габариты!$AS$6="снизу",Габариты!$AS$6,"сверху")=$BD16&amp;$BE16&amp;$BF16,1,0)</f>
        <v>0</v>
      </c>
      <c r="BD16" s="282">
        <v>4</v>
      </c>
      <c r="BE16" s="529" t="s">
        <v>45</v>
      </c>
      <c r="BF16" s="529" t="s">
        <v>80</v>
      </c>
      <c r="BG16" s="530">
        <v>225</v>
      </c>
      <c r="BH16" s="530">
        <f t="shared" si="85"/>
        <v>275</v>
      </c>
      <c r="BI16" s="530">
        <f t="shared" si="85"/>
        <v>325</v>
      </c>
      <c r="BJ16" s="530">
        <f t="shared" si="85"/>
        <v>525</v>
      </c>
      <c r="BK16" s="530">
        <f t="shared" si="85"/>
        <v>475</v>
      </c>
      <c r="BL16" s="550">
        <v>400</v>
      </c>
      <c r="BM16" s="550">
        <v>400</v>
      </c>
      <c r="BN16" s="550">
        <v>400</v>
      </c>
      <c r="BO16" s="550">
        <v>400</v>
      </c>
      <c r="BP16" s="550">
        <v>400</v>
      </c>
      <c r="BQ16" s="550">
        <v>400</v>
      </c>
      <c r="BR16" s="550">
        <v>400</v>
      </c>
      <c r="BS16" s="550">
        <v>400</v>
      </c>
      <c r="BT16" s="550">
        <v>400</v>
      </c>
      <c r="BU16" s="550">
        <v>400</v>
      </c>
      <c r="BV16" s="528">
        <v>725</v>
      </c>
      <c r="BW16" s="528">
        <v>725</v>
      </c>
      <c r="BX16" s="528">
        <v>725</v>
      </c>
      <c r="BY16" s="530">
        <v>250</v>
      </c>
      <c r="BZ16" s="530">
        <v>250</v>
      </c>
      <c r="CA16" s="530">
        <v>550</v>
      </c>
      <c r="CB16" s="530">
        <v>675</v>
      </c>
      <c r="CC16" s="528">
        <v>825</v>
      </c>
      <c r="CD16" s="528">
        <v>825</v>
      </c>
      <c r="CE16" s="528">
        <v>825</v>
      </c>
      <c r="CF16" s="528">
        <v>825</v>
      </c>
      <c r="CG16" s="528" t="s">
        <v>30</v>
      </c>
      <c r="CI16" s="157" t="s">
        <v>94</v>
      </c>
      <c r="CJ16" s="890">
        <f>IF(OR($G16=0,$B16="NSX"),0,ROUNDDOWN(($A$68-SUM(CL$6:CL15))/$G16,0))</f>
        <v>0</v>
      </c>
      <c r="CK16" s="880">
        <f t="shared" si="13"/>
        <v>0</v>
      </c>
      <c r="CL16" s="157">
        <f t="shared" si="60"/>
        <v>0</v>
      </c>
      <c r="CM16" s="890">
        <f>IF(OR($G16=0,$B16="NSX"),0,ROUNDDOWN(($A$68-SUM(CO$6:CO15))/$G16,0))</f>
        <v>0</v>
      </c>
      <c r="CN16" s="157">
        <f>IF(CM16&gt;=$F16-SUMIF($CK$5:CK$5,"Кол-во",$CK16:CK16),$F16-SUMIF($CK$5:CK$5,"Кол-во",$CK16:CK16),CM16)</f>
        <v>0</v>
      </c>
      <c r="CO16" s="157">
        <f t="shared" si="61"/>
        <v>0</v>
      </c>
      <c r="CP16" s="890">
        <f>IF(OR($G16=0,$B16="NSX"),0,ROUNDDOWN(($A$68-SUM(CR$6:CR15))/$G16,0))</f>
        <v>0</v>
      </c>
      <c r="CQ16" s="890">
        <f>IF(CP16&gt;=$F16-SUMIF($CK$5:CN$5,"Кол-во",$CK16:CN16),$F16-SUMIF($CK$5:CN$5,"Кол-во",$CK16:CN16),CP16)</f>
        <v>0</v>
      </c>
      <c r="CR16" s="890">
        <f t="shared" si="62"/>
        <v>0</v>
      </c>
      <c r="CS16" s="890">
        <f>IF(OR($G16=0,$B16="NSX"),0,ROUNDDOWN(($A$68-SUM(CU$6:CU15))/$G16,0))</f>
        <v>0</v>
      </c>
      <c r="CT16" s="890">
        <f>IF(CS16&gt;=$F16-SUMIF($CK$5:CQ$5,"Кол-во",$CK16:CQ16),$F16-SUMIF($CK$5:CQ$5,"Кол-во",$CK16:CQ16),CS16)</f>
        <v>0</v>
      </c>
      <c r="CU16" s="890">
        <f t="shared" si="63"/>
        <v>0</v>
      </c>
      <c r="CV16" s="890">
        <f>IF(OR($G16=0,$B16="NSX"),0,ROUNDDOWN(($A$68-SUM(CX$6:CX15))/$G16,0))</f>
        <v>0</v>
      </c>
      <c r="CW16" s="890">
        <f>IF(CV16&gt;=$F16-SUMIF($CK$5:CT$5,"Кол-во",$CK16:CT16),$F16-SUMIF($CK$5:CT$5,"Кол-во",$CK16:CT16),CV16)</f>
        <v>0</v>
      </c>
      <c r="CX16" s="890">
        <f t="shared" si="64"/>
        <v>0</v>
      </c>
      <c r="CY16" s="890">
        <f>IF(OR($G16=0,$B16="NSX"),0,ROUNDDOWN(($A$68-SUM(DA$6:DA15))/$G16,0))</f>
        <v>0</v>
      </c>
      <c r="CZ16" s="890">
        <f>IF(CY16&gt;=$F16-SUMIF($CK$5:CW$5,"Кол-во",$CK16:CW16),$F16-SUMIF($CK$5:CW$5,"Кол-во",$CK16:CW16),CY16)</f>
        <v>0</v>
      </c>
      <c r="DA16" s="890">
        <f t="shared" si="65"/>
        <v>0</v>
      </c>
      <c r="DB16" s="890">
        <f>IF(OR($G16=0,$B16="NSX"),0,ROUNDDOWN(($A$68-SUM(DD$6:DD15))/$G16,0))</f>
        <v>0</v>
      </c>
      <c r="DC16" s="890">
        <f>IF(DB16&gt;=$F16-SUMIF($CK$5:CZ$5,"Кол-во",$CK16:CZ16),$F16-SUMIF($CK$5:CZ$5,"Кол-во",$CK16:CZ16),DB16)</f>
        <v>0</v>
      </c>
      <c r="DD16" s="890">
        <f t="shared" si="66"/>
        <v>0</v>
      </c>
      <c r="DE16" s="890">
        <f>IF(OR($G16=0,$B16="NSX"),0,ROUNDDOWN(($A$68-SUM(DG$6:DG15))/$G16,0))</f>
        <v>0</v>
      </c>
      <c r="DF16" s="890">
        <f>IF(DE16&gt;=$F16-SUMIF($CK$5:DC$5,"Кол-во",$CK16:DC16),$F16-SUMIF($CK$5:DC$5,"Кол-во",$CK16:DC16),DE16)</f>
        <v>0</v>
      </c>
      <c r="DG16" s="890">
        <f t="shared" si="67"/>
        <v>0</v>
      </c>
      <c r="DH16" s="890">
        <f>IF(OR($G16=0,$B16="NSX"),0,ROUNDDOWN(($A$68-SUM(DJ$6:DJ15))/$G16,0))</f>
        <v>0</v>
      </c>
      <c r="DI16" s="890">
        <f>IF(DH16&gt;=$F16-SUMIF($CK$5:DF$5,"Кол-во",$CK16:DF16),$F16-SUMIF($CK$5:DF$5,"Кол-во",$CK16:DF16),DH16)</f>
        <v>0</v>
      </c>
      <c r="DJ16" s="890">
        <f t="shared" si="68"/>
        <v>0</v>
      </c>
      <c r="DK16" s="890">
        <f>IF(OR($G16=0,$B16="NSX"),0,ROUNDDOWN(($A$68-SUM(DM$6:DM15))/$G16,0))</f>
        <v>0</v>
      </c>
      <c r="DL16" s="890">
        <f>IF(DK16&gt;=$F16-SUMIF($CK$5:DI$5,"Кол-во",$CK16:DI16),$F16-SUMIF($CK$5:DI$5,"Кол-во",$CK16:DI16),DK16)</f>
        <v>0</v>
      </c>
      <c r="DM16" s="890">
        <f t="shared" si="69"/>
        <v>0</v>
      </c>
      <c r="DS16" s="352" t="str">
        <f>DT16&amp;DU16</f>
        <v>IT4</v>
      </c>
      <c r="DT16" s="569" t="s">
        <v>151</v>
      </c>
      <c r="DU16" s="569">
        <v>4</v>
      </c>
      <c r="DV16" s="569">
        <v>5</v>
      </c>
      <c r="DW16" s="358"/>
      <c r="DX16" s="352" t="str">
        <f t="shared" si="15"/>
        <v>TT2</v>
      </c>
      <c r="DY16" s="569" t="s">
        <v>763</v>
      </c>
      <c r="DZ16" s="569">
        <v>2</v>
      </c>
      <c r="EA16" s="569">
        <v>3</v>
      </c>
      <c r="EC16" s="559">
        <v>16</v>
      </c>
      <c r="ED16" s="559">
        <v>1</v>
      </c>
      <c r="EE16" s="352">
        <v>2.5</v>
      </c>
      <c r="EF16" s="560"/>
      <c r="EG16" s="20"/>
      <c r="EH16" s="32"/>
      <c r="EI16" s="21" t="s">
        <v>162</v>
      </c>
      <c r="EJ16" s="21">
        <f>Бланк!$O$23</f>
        <v>0</v>
      </c>
      <c r="EK16" s="296">
        <f>IFERROR(VALUE(MID(Бланк!$L23,1,1)),1)*EJ16</f>
        <v>0</v>
      </c>
      <c r="EL16" s="21" t="str">
        <f>IF(EJ16=EK16,MID(Бланк!$L23,1,100),MID(Бланк!$L23,3,100))</f>
        <v/>
      </c>
      <c r="EM16" s="21">
        <f>Бланк!$M23</f>
        <v>0</v>
      </c>
      <c r="EN16" s="354">
        <f>_xlfn.IFNA(VLOOKUP(Бланк!$K$3&amp;Габариты!$C17,$DX:$EA,4,FALSE)&amp;"x"&amp;VLOOKUP(Проверки!$D15,$EC:$EE,3,FALSE),0)</f>
        <v>0</v>
      </c>
      <c r="EO16" s="354">
        <f t="shared" si="16"/>
        <v>0</v>
      </c>
      <c r="EP16" s="4">
        <f>Бланк!$N23</f>
        <v>0</v>
      </c>
      <c r="EQ16" s="559">
        <f>_xlfn.IFNA(VLOOKUP(EL16&amp;" "&amp;EO16,'Список кабелей'!$I:$J,2,FALSE),0)</f>
        <v>0</v>
      </c>
      <c r="ER16" s="559">
        <f>IF(OR(EL16="-",EO16="-",EP16="-",Проверки!$D15=""),0,VLOOKUP(EO16,'Список кабелей'!$D:$J,7,FALSE))</f>
        <v>0</v>
      </c>
      <c r="ES16" s="559">
        <f t="shared" si="17"/>
        <v>0</v>
      </c>
      <c r="ET16" s="354">
        <f>EK16*_xlfn.IFNA(VLOOKUP(Проверки!$D15,$EC:$EE,2,FALSE),0)</f>
        <v>0</v>
      </c>
      <c r="EU16" s="44">
        <f t="shared" si="18"/>
        <v>0</v>
      </c>
      <c r="EV16" s="56">
        <f t="shared" si="19"/>
        <v>0</v>
      </c>
      <c r="EW16" s="55">
        <f t="shared" si="20"/>
        <v>0</v>
      </c>
      <c r="EX16" s="24">
        <f t="shared" si="0"/>
        <v>0</v>
      </c>
      <c r="EY16" s="24">
        <f t="shared" si="0"/>
        <v>0</v>
      </c>
      <c r="EZ16" s="24">
        <f t="shared" si="0"/>
        <v>0</v>
      </c>
      <c r="FA16" s="24">
        <f t="shared" si="0"/>
        <v>0</v>
      </c>
      <c r="FB16" s="24">
        <f t="shared" si="0"/>
        <v>0</v>
      </c>
      <c r="FC16" s="24">
        <f t="shared" si="0"/>
        <v>0</v>
      </c>
      <c r="FD16" s="24">
        <f t="shared" si="0"/>
        <v>0</v>
      </c>
      <c r="FE16" s="46">
        <f t="shared" si="0"/>
        <v>0</v>
      </c>
      <c r="FF16" s="561"/>
      <c r="FG16" s="1210"/>
      <c r="FH16" s="1185"/>
      <c r="FI16" s="168" t="s">
        <v>862</v>
      </c>
      <c r="FJ16" s="952">
        <f>IF(ISERROR(FJ15),0,ROUNDUP(FJ15,0))*VLOOKUP(FJ$4,$DO$5:$DP$13,2,0)</f>
        <v>0</v>
      </c>
      <c r="FK16" s="953">
        <f t="shared" ref="FK16:FR16" si="87">IF(ISERROR(FK15),0,ROUNDUP(FK15,0))*VLOOKUP(FK$4,$DO$5:$DP$13,2,0)</f>
        <v>88</v>
      </c>
      <c r="FL16" s="953">
        <f t="shared" si="87"/>
        <v>0</v>
      </c>
      <c r="FM16" s="953">
        <f t="shared" si="87"/>
        <v>0</v>
      </c>
      <c r="FN16" s="953">
        <f t="shared" si="87"/>
        <v>0</v>
      </c>
      <c r="FO16" s="953">
        <f t="shared" si="87"/>
        <v>0</v>
      </c>
      <c r="FP16" s="953">
        <f t="shared" si="87"/>
        <v>44</v>
      </c>
      <c r="FQ16" s="953">
        <f t="shared" si="87"/>
        <v>0</v>
      </c>
      <c r="FR16" s="239">
        <f t="shared" si="87"/>
        <v>35</v>
      </c>
      <c r="FS16" s="1194"/>
      <c r="FT16" s="1196"/>
      <c r="FU16" s="1199"/>
      <c r="FV16" s="561"/>
      <c r="GA16" s="785" t="s">
        <v>163</v>
      </c>
      <c r="GB16" s="785">
        <f>Бланк!C24</f>
        <v>0</v>
      </c>
      <c r="GC16" s="785">
        <f>Бланк!D24</f>
        <v>0</v>
      </c>
      <c r="GD16" s="786">
        <f t="shared" si="2"/>
        <v>26</v>
      </c>
      <c r="GE16" s="786" t="b">
        <f t="shared" si="22"/>
        <v>0</v>
      </c>
      <c r="GF16" s="786">
        <f t="shared" si="23"/>
        <v>0</v>
      </c>
      <c r="GG16" s="785">
        <v>12</v>
      </c>
      <c r="GI16" s="1014">
        <f t="shared" si="24"/>
        <v>0</v>
      </c>
      <c r="GJ16" s="1018">
        <f t="shared" ca="1" si="25"/>
        <v>14</v>
      </c>
      <c r="GL16" s="786">
        <v>32</v>
      </c>
      <c r="GM16" s="786">
        <v>12</v>
      </c>
      <c r="GO16" s="746">
        <v>13</v>
      </c>
      <c r="GP16" s="280">
        <f ca="1">SUMIFS(D!BY$85:BY$104,D!$BR$85:$BR$104,$GO16)</f>
        <v>0</v>
      </c>
      <c r="GQ16" s="757">
        <f ca="1">SUMIFS(D!BZ$85:BZ$99,D!$BR$85:$BR$99,$GO16)</f>
        <v>0</v>
      </c>
      <c r="GR16" s="758">
        <f ca="1">SUMIFS(D!CA$85:CA$99,D!$BR$85:$BR$99,$GO16)</f>
        <v>0</v>
      </c>
      <c r="GS16" s="280">
        <f>SUMIFS(D!BY$85:BY$99,D!$BP$85:$BP$99,TRUE,D!$BR$85:$BR$99,Габариты!$GO16)</f>
        <v>0</v>
      </c>
      <c r="GT16" s="757">
        <f>SUMIFS(D!BZ$85:BZ$99,D!$BP$85:$BP$99,TRUE,D!$BR$85:$BR$99,Габариты!$GO16)</f>
        <v>0</v>
      </c>
      <c r="GU16" s="758">
        <f>SUMIFS(D!CA$85:CA$99,D!$BP$85:$BP$99,TRUE,D!$BR$85:$BR$99,Габариты!$GO16)</f>
        <v>0</v>
      </c>
      <c r="GW16" s="757">
        <f ca="1">SUM(HB$5:HB15)-SUM(HC$5:HC15)</f>
        <v>24</v>
      </c>
      <c r="GX16" s="757">
        <f t="shared" ca="1" si="71"/>
        <v>1</v>
      </c>
      <c r="GY16" s="753">
        <f t="shared" ca="1" si="26"/>
        <v>0</v>
      </c>
      <c r="GZ16" s="280">
        <f t="shared" ca="1" si="27"/>
        <v>0</v>
      </c>
      <c r="HA16" s="758">
        <f t="shared" ca="1" si="28"/>
        <v>0</v>
      </c>
      <c r="HB16" s="280">
        <f t="shared" ca="1" si="29"/>
        <v>0</v>
      </c>
      <c r="HC16" s="753">
        <f t="shared" ca="1" si="30"/>
        <v>0</v>
      </c>
      <c r="HD16" s="802" t="b">
        <f t="shared" ca="1" si="3"/>
        <v>0</v>
      </c>
      <c r="HE16" s="802" t="b">
        <f t="shared" ca="1" si="4"/>
        <v>0</v>
      </c>
      <c r="HF16" s="754" t="b">
        <f t="shared" ca="1" si="31"/>
        <v>0</v>
      </c>
      <c r="HH16" s="757">
        <f ca="1">SUM(HM$5:HM15)-SUM(HN$5:HN15)</f>
        <v>0</v>
      </c>
      <c r="HI16" s="757">
        <f t="shared" ca="1" si="72"/>
        <v>0</v>
      </c>
      <c r="HJ16" s="753">
        <f t="shared" ca="1" si="73"/>
        <v>0</v>
      </c>
      <c r="HK16" s="280">
        <f t="shared" ca="1" si="80"/>
        <v>0</v>
      </c>
      <c r="HL16" s="758">
        <f t="shared" ca="1" si="81"/>
        <v>0</v>
      </c>
      <c r="HM16" s="280">
        <f t="shared" ca="1" si="32"/>
        <v>0</v>
      </c>
      <c r="HN16" s="753">
        <f t="shared" ca="1" si="33"/>
        <v>0</v>
      </c>
      <c r="HO16" s="802" t="b">
        <f t="shared" ca="1" si="7"/>
        <v>0</v>
      </c>
      <c r="HP16" s="802" t="b">
        <f t="shared" ca="1" si="8"/>
        <v>0</v>
      </c>
      <c r="HQ16" s="754" t="b">
        <f t="shared" ca="1" si="34"/>
        <v>0</v>
      </c>
      <c r="HS16" s="757">
        <f ca="1">SUM($HB$5:$HB15)-SUM($HC$5:$HC15)</f>
        <v>24</v>
      </c>
      <c r="HT16" s="757">
        <f t="shared" ca="1" si="74"/>
        <v>1</v>
      </c>
      <c r="HU16" s="753">
        <f t="shared" ca="1" si="35"/>
        <v>0</v>
      </c>
      <c r="HV16" s="280">
        <f t="shared" ca="1" si="36"/>
        <v>0</v>
      </c>
      <c r="HW16" s="758">
        <f t="shared" ca="1" si="37"/>
        <v>0</v>
      </c>
      <c r="HX16" s="280">
        <f t="shared" ca="1" si="38"/>
        <v>0</v>
      </c>
      <c r="HY16" s="753">
        <f t="shared" ca="1" si="39"/>
        <v>0</v>
      </c>
      <c r="HZ16" s="802" t="b">
        <f t="shared" ca="1" si="9"/>
        <v>0</v>
      </c>
      <c r="IA16" s="802" t="b">
        <f t="shared" ca="1" si="10"/>
        <v>0</v>
      </c>
      <c r="IB16" s="754" t="b">
        <f t="shared" ca="1" si="40"/>
        <v>0</v>
      </c>
      <c r="IC16" s="777"/>
      <c r="ID16" s="870" t="s">
        <v>1105</v>
      </c>
    </row>
    <row r="17" spans="1:242" ht="13.5" thickBot="1" x14ac:dyDescent="0.25">
      <c r="A17" s="65" t="s">
        <v>162</v>
      </c>
      <c r="B17" s="141" t="str">
        <f>MID(Бланк!B23,1,3)</f>
        <v/>
      </c>
      <c r="C17" s="149">
        <f>IF(ISBLANK(Бланк!$C23),0,MID(Бланк!$C23,1,1))</f>
        <v>0</v>
      </c>
      <c r="D17" s="60">
        <f>Бланк!D23</f>
        <v>0</v>
      </c>
      <c r="E17" s="267" t="b">
        <f>AND(MID(Бланк!$H23,1,3)&lt;&gt;"-",MID(Бланк!$H23,1,3)&lt;&gt;"")</f>
        <v>0</v>
      </c>
      <c r="F17" s="149">
        <f>Бланк!$O23</f>
        <v>0</v>
      </c>
      <c r="G17" s="60">
        <f>IF($F17&gt;0,SUMPRODUCT($I$5:$AP$5,$I17:$AP17)/$F17,0)</f>
        <v>0</v>
      </c>
      <c r="H17" s="143">
        <f t="shared" si="12"/>
        <v>0</v>
      </c>
      <c r="I17" s="266">
        <f>IF(AND($E17,Проверки!$I15,$D17&lt;=25,$C17="2"),$F17,0)</f>
        <v>0</v>
      </c>
      <c r="J17" s="267">
        <f>IF(AND($E17,Проверки!I15,$D17&lt;=63,$C17="2",I17=0),$F17,0)</f>
        <v>0</v>
      </c>
      <c r="K17" s="267">
        <f>IF(AND($E17,Проверки!$I15,$D17&lt;=25,$C17&gt;="3"),$F17,0)</f>
        <v>0</v>
      </c>
      <c r="L17" s="267">
        <f>IF(AND($E17,Проверки!$I15,$D17&lt;=63,C17&gt;="3",K17=0),$F17,0)</f>
        <v>0</v>
      </c>
      <c r="M17" s="267">
        <f>IF(AND($E17,Проверки!L15,$C17="2"),$F17,0)</f>
        <v>0</v>
      </c>
      <c r="N17" s="267">
        <f>IF(AND($E17,Проверки!$L15,$C17&gt;="3"),$F17,0)</f>
        <v>0</v>
      </c>
      <c r="O17" s="267">
        <f>IF(AND($E17,Проверки!$M15,$C17="2"),1,0)</f>
        <v>0</v>
      </c>
      <c r="P17" s="267">
        <f>IF(AND($E17,Проверки!$M15,$C17&gt;="3",$D17&lt;=63,ISERR(SEARCH("si",Бланк!H23))),1,0)</f>
        <v>0</v>
      </c>
      <c r="Q17" s="267">
        <f>IF(AND($E17,Проверки!$M15,$C17&gt;="3",P17=0),1,0)</f>
        <v>0</v>
      </c>
      <c r="R17" s="267">
        <f>IF(AND(Бланк!I23="+",OR(Проверки!$I15:$L15,Проверки!$O15)),$F17,0)</f>
        <v>0</v>
      </c>
      <c r="S17" s="267">
        <f>IF(AND(Бланк!J23="+",OR(Проверки!$I15:$L15,Проверки!$O15)),$F17,0)</f>
        <v>0</v>
      </c>
      <c r="T17" s="267">
        <f>IF(AND(Бланк!K23="+",OR(Проверки!$I15:$L15,Проверки!$O15)),$F17,0)</f>
        <v>0</v>
      </c>
      <c r="U17" s="267">
        <f>IF(AND(Бланк!I23="+",Проверки!$M15),Бланк!$O23,0)</f>
        <v>0</v>
      </c>
      <c r="V17" s="269">
        <f>IF(AND(Бланк!J23="+",Проверки!$M15),Бланк!$O23,0)</f>
        <v>0</v>
      </c>
      <c r="W17" s="424">
        <f>IF(AND(Бланк!K23="+",Проверки!$M15),Бланк!$O23,0)</f>
        <v>0</v>
      </c>
      <c r="X17" s="414">
        <f t="shared" si="41"/>
        <v>0</v>
      </c>
      <c r="Y17" s="411">
        <f t="shared" si="42"/>
        <v>0</v>
      </c>
      <c r="Z17" s="411">
        <f t="shared" si="43"/>
        <v>0</v>
      </c>
      <c r="AA17" s="276">
        <f t="shared" si="44"/>
        <v>0</v>
      </c>
      <c r="AB17" s="276">
        <f t="shared" si="45"/>
        <v>0</v>
      </c>
      <c r="AC17" s="411">
        <f t="shared" si="46"/>
        <v>0</v>
      </c>
      <c r="AD17" s="411">
        <f t="shared" si="47"/>
        <v>0</v>
      </c>
      <c r="AE17" s="421">
        <f t="shared" si="48"/>
        <v>0</v>
      </c>
      <c r="AF17" s="421">
        <f t="shared" si="49"/>
        <v>0</v>
      </c>
      <c r="AG17" s="276">
        <f t="shared" si="50"/>
        <v>0</v>
      </c>
      <c r="AH17" s="276">
        <f t="shared" si="51"/>
        <v>0</v>
      </c>
      <c r="AI17" s="276">
        <f t="shared" si="52"/>
        <v>0</v>
      </c>
      <c r="AJ17" s="276">
        <f t="shared" si="53"/>
        <v>0</v>
      </c>
      <c r="AK17" s="276">
        <f t="shared" si="54"/>
        <v>0</v>
      </c>
      <c r="AL17" s="281">
        <f t="shared" si="55"/>
        <v>0</v>
      </c>
      <c r="AM17" s="443">
        <f t="shared" si="56"/>
        <v>0</v>
      </c>
      <c r="AN17" s="444">
        <f t="shared" si="57"/>
        <v>0</v>
      </c>
      <c r="AO17" s="443">
        <f t="shared" si="58"/>
        <v>0</v>
      </c>
      <c r="AP17" s="444">
        <f t="shared" si="59"/>
        <v>0</v>
      </c>
      <c r="AQ17" s="412">
        <f>IF(MID(Бланк!L23,1,1)="3",3,IF(MID(Бланк!L23,1,1)="2",2,1))</f>
        <v>1</v>
      </c>
      <c r="AR17" s="60">
        <f>IF(ISERROR(VALUE(MID(Бланк!M23,3,LEN(Бланк!M23)-SEARCH("x",Бланк!M23)))),0,VALUE(MID(Бланк!M23,3,LEN(Бланк!M23)-SEARCH("x",Бланк!M23))))</f>
        <v>0</v>
      </c>
      <c r="AS17" s="60">
        <f>Бланк!N23</f>
        <v>0</v>
      </c>
      <c r="AT17" s="7"/>
      <c r="AU17" s="282" t="s">
        <v>687</v>
      </c>
      <c r="AV17" s="284">
        <v>1000</v>
      </c>
      <c r="BA17" s="7"/>
      <c r="BB17" s="7"/>
      <c r="BC17" s="7"/>
      <c r="BD17" s="7"/>
      <c r="BE17" s="7"/>
      <c r="BF17" s="7"/>
      <c r="BG17" s="459">
        <f>IF(AND(Бланк!$C$41="ЩР",Проверки!$B$27=FALSE,$B$6="NSX",$D6&lt;=250,$AQ6=1,$AR6&lt;=70),1,0)</f>
        <v>1</v>
      </c>
      <c r="BH17" s="459">
        <f>IF(AND(Бланк!$C$41="ПР",Проверки!$B$27=FALSE,$B$6="NSX",$D$6&lt;=250,$AQ$6=1,$AR$6&lt;=70),1,0)</f>
        <v>0</v>
      </c>
      <c r="BI17" s="459">
        <f>IF(AND(Проверки!$B$27=FALSE,$B$6="NSX",$D$6&lt;=250,OR(AND($AQ$6=1,$AR$6&gt;70,$AR$6&lt;=120),AND($AQ$6=2,$AR$6&lt;=70))),1,0)</f>
        <v>0</v>
      </c>
      <c r="BJ17" s="459">
        <f>IF(AND(Проверки!$B$27=FALSE,$B$6="NSX",$D$6&lt;=250,OR(AND($AQ$6=1,$AR$6=150),AND($AQ$6=2,$AR$6&gt;95,$AR$6&lt;=150))),1,0)</f>
        <v>0</v>
      </c>
      <c r="BK17" s="459">
        <f>IF(AND(Проверки!$B$27=FALSE,$B$6="NSX",$D$6&gt;250,$D$6&lt;=630,OR(AND($AQ$6=1,$AR$6&lt;=185),AND($AQ$6=2,$AR$6&lt;=150))),1,0)</f>
        <v>0</v>
      </c>
      <c r="BL17" s="447">
        <f>IF(AND(NOT(ISERROR(FIND(MID(Габариты!BL4,1,12),Бланк!$B$11))),$AQ$6=1,$AW$9=FALSE),1,0)</f>
        <v>0</v>
      </c>
      <c r="BM17" s="447">
        <f>IF(AND(NOT(ISERROR(FIND(MID(Габариты!BM4,1,12),Бланк!$B$11))),$AQ$6=1,$AW$9,$AR$6&lt;=50),1,0)</f>
        <v>0</v>
      </c>
      <c r="BN17" s="447">
        <f>IF(AND(NOT(ISERROR(FIND(MID(Габариты!BN4,1,12),Бланк!$B$11))),$AQ$6=1,$AW$9=FALSE),1,0)</f>
        <v>0</v>
      </c>
      <c r="BO17" s="447">
        <f>IF(AND(NOT(ISERROR(FIND(MID(Габариты!BO4,1,12),Бланк!$B$11))),$AQ$6=1,$AW$9,$AR$6&lt;=50),1,0)</f>
        <v>0</v>
      </c>
      <c r="BP17" s="447">
        <f>IF(AND(NOT(ISERROR(FIND(MID(Габариты!BP4,1,12),Бланк!$B$11))),$AQ$6=1,$AW$9=FALSE),1,0)</f>
        <v>0</v>
      </c>
      <c r="BQ17" s="447">
        <f>IF(AND(NOT(ISERROR(FIND(MID(Габариты!BQ4,1,12),Бланк!$B$11))),$AQ$6=1,$AW$9,$AR$6&lt;=50),1,0)</f>
        <v>0</v>
      </c>
      <c r="BR17" s="447">
        <f>IF(AND(NOT(ISERROR(FIND(MID(Габариты!BR4,1,12),Бланк!$B$11))),$AQ$6=1,$AW$9=FALSE),1,0)</f>
        <v>0</v>
      </c>
      <c r="BS17" s="447">
        <f>IF(AND(NOT(ISERROR(FIND(MID(Габариты!BS4,1,12),Бланк!$B$11))),$AQ$6=1,$AW$9,$AR$6&lt;=50),1,0)</f>
        <v>0</v>
      </c>
      <c r="BT17" s="447">
        <f>IF(AND(NOT(ISERROR(FIND(MID(Габариты!BT4,1,12),Бланк!$B$11))),$AQ$6=1,$AW$9=FALSE),1,0)</f>
        <v>0</v>
      </c>
      <c r="BU17" s="447">
        <f>IF(AND(NOT(ISERROR(FIND(MID(Габариты!BU4,1,12),Бланк!$B$11))),$AQ$6=1,$AW$9,$AR$6&lt;=50),1,0)</f>
        <v>0</v>
      </c>
      <c r="BV17" s="459">
        <f>IF(AND(NOT(ISERROR(FIND(MID(Габариты!BV4,1,12),Бланк!$B$11))),OR(Проверки!$G$4,Проверки!$H$4),$AQ$6=1,$AR$6&lt;=70),1,0)</f>
        <v>0</v>
      </c>
      <c r="BW17" s="459">
        <f>IF(AND(NOT(ISERROR(FIND(MID(Габариты!BW4,1,12),Бланк!$B$11))),$AQ$6=1,$AR$6&lt;=70),1,0)</f>
        <v>0</v>
      </c>
      <c r="BX17" s="459">
        <f>IF(AND(NOT(ISERROR(FIND(MID(Габариты!BX4,1,12),Бланк!$B$11))),$AQ$6=1,$AR$6&lt;=70),1,0)</f>
        <v>0</v>
      </c>
      <c r="BY17" s="459">
        <f>IF(AND(Бланк!$C$41="ПР",Проверки!$B$27=FALSE,$B$6="NSX",$D$6&lt;=250,$AQ$6=1,$AR$6&lt;=70),1,0)</f>
        <v>0</v>
      </c>
      <c r="BZ17" s="459">
        <f>IF(AND(Бланк!$C$41="ПР",Проверки!$B$27=FALSE,$B$6="NSX",$D$6&lt;=250,OR(AND($AQ$6=1,$AR$6=95),AND($AQ$6=2,$AR$6&lt;=95))),1,0)</f>
        <v>0</v>
      </c>
      <c r="CA17" s="459">
        <f>IF(AND(Бланк!$C$41="ПР",Проверки!$B$27=FALSE,$B$6="NSX",$D$6&lt;=250,OR(AND($AQ$6=1,$AR$6&gt;95,$AR$6&lt;=185),AND($AQ$6=2,$AR$6&lt;=150),AND($AQ$6=3,$AR$6&lt;=120))),1,0)</f>
        <v>0</v>
      </c>
      <c r="CB17" s="459">
        <f>IF(AND(Бланк!$C$41="ПР",Проверки!$B$27=FALSE,$B$6="NSX",$D$6&gt;250,$D$6&lt;=630,OR(AND($AQ$6=1,$AR$6&lt;=185),AND($AQ$6=2,$AR$6&lt;=150),AND($AQ$6=3,$AR$6&lt;=120))),1,0)</f>
        <v>0</v>
      </c>
      <c r="CC17" s="459">
        <f>IF(AND(NOT(ISERROR(FIND(MID(Габариты!CC4,1,12),Бланк!$B$11))),OR(AND($AQ$6=1,$AR$6&lt;=150),AND($AQ$6=2,$AR$6&lt;=120))),1,0)</f>
        <v>0</v>
      </c>
      <c r="CD17" s="459">
        <f>IF(AND(NOT(ISERROR(FIND(MID(Габариты!CD4,1,12),Бланк!$B$11))),OR(AND($AQ$6=1,$AR$6&lt;=150),AND($AQ$6=2,$AR$6&lt;=120))),1,0)</f>
        <v>0</v>
      </c>
      <c r="CE17" s="459">
        <f>IF(AND(NOT(ISERROR(FIND(MID(Габариты!CE4,1,12),Бланк!$B$11))),OR(AND($AQ$6=1,$AR$6&lt;=150),AND($AQ$6=2,$AR$6&lt;=120))),1,0)</f>
        <v>0</v>
      </c>
      <c r="CF17" s="459">
        <f>IF(AND(NOT(ISERROR(FIND(MID(Габариты!CF4,1,12),Бланк!$B$11))),OR(AND($AQ$6=1,$AR$6&lt;=150),AND($AQ$6=2,$AR$6&lt;=120))),1,0)</f>
        <v>0</v>
      </c>
      <c r="CG17" s="459">
        <f>IF(AND(VALUE($C$6)&lt;=3,NOT(ISERROR(FIND(MID(Габариты!CG4,1,12),Бланк!$B$11))),OR(AND($AQ$6=1,$AR$6&lt;=150),AND($AQ$6=2,$AR$6&lt;=120))),1,0)</f>
        <v>0</v>
      </c>
      <c r="CI17" s="157" t="s">
        <v>162</v>
      </c>
      <c r="CJ17" s="890">
        <f>IF(OR($G17=0,$B17="NSX"),0,ROUNDDOWN(($A$68-SUM(CL$6:CL16))/$G17,0))</f>
        <v>0</v>
      </c>
      <c r="CK17" s="880">
        <f t="shared" si="13"/>
        <v>0</v>
      </c>
      <c r="CL17" s="157">
        <f t="shared" si="60"/>
        <v>0</v>
      </c>
      <c r="CM17" s="890">
        <f>IF(OR($G17=0,$B17="NSX"),0,ROUNDDOWN(($A$68-SUM(CO$6:CO16))/$G17,0))</f>
        <v>0</v>
      </c>
      <c r="CN17" s="157">
        <f>IF(CM17&gt;=$F17-SUMIF($CK$5:CK$5,"Кол-во",$CK17:CK17),$F17-SUMIF($CK$5:CK$5,"Кол-во",$CK17:CK17),CM17)</f>
        <v>0</v>
      </c>
      <c r="CO17" s="157">
        <f t="shared" si="61"/>
        <v>0</v>
      </c>
      <c r="CP17" s="890">
        <f>IF(OR($G17=0,$B17="NSX"),0,ROUNDDOWN(($A$68-SUM(CR$6:CR16))/$G17,0))</f>
        <v>0</v>
      </c>
      <c r="CQ17" s="890">
        <f>IF(CP17&gt;=$F17-SUMIF($CK$5:CN$5,"Кол-во",$CK17:CN17),$F17-SUMIF($CK$5:CN$5,"Кол-во",$CK17:CN17),CP17)</f>
        <v>0</v>
      </c>
      <c r="CR17" s="890">
        <f t="shared" si="62"/>
        <v>0</v>
      </c>
      <c r="CS17" s="890">
        <f>IF(OR($G17=0,$B17="NSX"),0,ROUNDDOWN(($A$68-SUM(CU$6:CU16))/$G17,0))</f>
        <v>0</v>
      </c>
      <c r="CT17" s="890">
        <f>IF(CS17&gt;=$F17-SUMIF($CK$5:CQ$5,"Кол-во",$CK17:CQ17),$F17-SUMIF($CK$5:CQ$5,"Кол-во",$CK17:CQ17),CS17)</f>
        <v>0</v>
      </c>
      <c r="CU17" s="890">
        <f t="shared" si="63"/>
        <v>0</v>
      </c>
      <c r="CV17" s="890">
        <f>IF(OR($G17=0,$B17="NSX"),0,ROUNDDOWN(($A$68-SUM(CX$6:CX16))/$G17,0))</f>
        <v>0</v>
      </c>
      <c r="CW17" s="890">
        <f>IF(CV17&gt;=$F17-SUMIF($CK$5:CT$5,"Кол-во",$CK17:CT17),$F17-SUMIF($CK$5:CT$5,"Кол-во",$CK17:CT17),CV17)</f>
        <v>0</v>
      </c>
      <c r="CX17" s="890">
        <f t="shared" si="64"/>
        <v>0</v>
      </c>
      <c r="CY17" s="890">
        <f>IF(OR($G17=0,$B17="NSX"),0,ROUNDDOWN(($A$68-SUM(DA$6:DA16))/$G17,0))</f>
        <v>0</v>
      </c>
      <c r="CZ17" s="890">
        <f>IF(CY17&gt;=$F17-SUMIF($CK$5:CW$5,"Кол-во",$CK17:CW17),$F17-SUMIF($CK$5:CW$5,"Кол-во",$CK17:CW17),CY17)</f>
        <v>0</v>
      </c>
      <c r="DA17" s="890">
        <f t="shared" si="65"/>
        <v>0</v>
      </c>
      <c r="DB17" s="890">
        <f>IF(OR($G17=0,$B17="NSX"),0,ROUNDDOWN(($A$68-SUM(DD$6:DD16))/$G17,0))</f>
        <v>0</v>
      </c>
      <c r="DC17" s="890">
        <f>IF(DB17&gt;=$F17-SUMIF($CK$5:CZ$5,"Кол-во",$CK17:CZ17),$F17-SUMIF($CK$5:CZ$5,"Кол-во",$CK17:CZ17),DB17)</f>
        <v>0</v>
      </c>
      <c r="DD17" s="890">
        <f t="shared" si="66"/>
        <v>0</v>
      </c>
      <c r="DE17" s="890">
        <f>IF(OR($G17=0,$B17="NSX"),0,ROUNDDOWN(($A$68-SUM(DG$6:DG16))/$G17,0))</f>
        <v>0</v>
      </c>
      <c r="DF17" s="890">
        <f>IF(DE17&gt;=$F17-SUMIF($CK$5:DC$5,"Кол-во",$CK17:DC17),$F17-SUMIF($CK$5:DC$5,"Кол-во",$CK17:DC17),DE17)</f>
        <v>0</v>
      </c>
      <c r="DG17" s="890">
        <f t="shared" si="67"/>
        <v>0</v>
      </c>
      <c r="DH17" s="890">
        <f>IF(OR($G17=0,$B17="NSX"),0,ROUNDDOWN(($A$68-SUM(DJ$6:DJ16))/$G17,0))</f>
        <v>0</v>
      </c>
      <c r="DI17" s="890">
        <f>IF(DH17&gt;=$F17-SUMIF($CK$5:DF$5,"Кол-во",$CK17:DF17),$F17-SUMIF($CK$5:DF$5,"Кол-во",$CK17:DF17),DH17)</f>
        <v>0</v>
      </c>
      <c r="DJ17" s="890">
        <f t="shared" si="68"/>
        <v>0</v>
      </c>
      <c r="DK17" s="890">
        <f>IF(OR($G17=0,$B17="NSX"),0,ROUNDDOWN(($A$68-SUM(DM$6:DM16))/$G17,0))</f>
        <v>0</v>
      </c>
      <c r="DL17" s="890">
        <f>IF(DK17&gt;=$F17-SUMIF($CK$5:DI$5,"Кол-во",$CK17:DI17),$F17-SUMIF($CK$5:DI$5,"Кол-во",$CK17:DI17),DK17)</f>
        <v>0</v>
      </c>
      <c r="DM17" s="890">
        <f t="shared" si="69"/>
        <v>0</v>
      </c>
      <c r="DS17" s="124"/>
      <c r="DT17" s="124"/>
      <c r="DU17" s="124"/>
      <c r="DV17" s="124"/>
      <c r="DW17" s="358"/>
      <c r="DX17" s="352" t="str">
        <f t="shared" si="15"/>
        <v>TT3</v>
      </c>
      <c r="DY17" s="569" t="s">
        <v>763</v>
      </c>
      <c r="DZ17" s="569">
        <v>3</v>
      </c>
      <c r="EA17" s="569">
        <v>5</v>
      </c>
      <c r="EC17" s="559">
        <v>20</v>
      </c>
      <c r="ED17" s="559">
        <v>1</v>
      </c>
      <c r="EE17" s="352">
        <v>2.5</v>
      </c>
      <c r="EF17" s="560"/>
      <c r="EG17" s="20"/>
      <c r="EH17" s="32"/>
      <c r="EI17" s="21" t="s">
        <v>163</v>
      </c>
      <c r="EJ17" s="21">
        <f>Бланк!$O$24</f>
        <v>0</v>
      </c>
      <c r="EK17" s="296">
        <f>IFERROR(VALUE(MID(Бланк!$L24,1,1)),1)*EJ17</f>
        <v>0</v>
      </c>
      <c r="EL17" s="21" t="str">
        <f>IF(EJ17=EK17,MID(Бланк!$L24,1,100),MID(Бланк!$L24,3,100))</f>
        <v/>
      </c>
      <c r="EM17" s="21">
        <f>Бланк!$M24</f>
        <v>0</v>
      </c>
      <c r="EN17" s="354">
        <f>_xlfn.IFNA(VLOOKUP(Бланк!$K$3&amp;Габариты!$C18,$DX:$EA,4,FALSE)&amp;"x"&amp;VLOOKUP(Проверки!$D16,$EC:$EE,3,FALSE),0)</f>
        <v>0</v>
      </c>
      <c r="EO17" s="354">
        <f t="shared" si="16"/>
        <v>0</v>
      </c>
      <c r="EP17" s="4">
        <f>Бланк!$N24</f>
        <v>0</v>
      </c>
      <c r="EQ17" s="559">
        <f>_xlfn.IFNA(VLOOKUP(EL17&amp;" "&amp;EO17,'Список кабелей'!$I:$J,2,FALSE),0)</f>
        <v>0</v>
      </c>
      <c r="ER17" s="559">
        <f>IF(OR(EL17="-",EO17="-",EP17="-",Проверки!$D16=""),0,VLOOKUP(EO17,'Список кабелей'!$D:$J,7,FALSE))</f>
        <v>0</v>
      </c>
      <c r="ES17" s="559">
        <f t="shared" si="17"/>
        <v>0</v>
      </c>
      <c r="ET17" s="354">
        <f>EK17*_xlfn.IFNA(VLOOKUP(Проверки!$D16,$EC:$EE,2,FALSE),0)</f>
        <v>0</v>
      </c>
      <c r="EU17" s="44">
        <f t="shared" si="18"/>
        <v>0</v>
      </c>
      <c r="EV17" s="56">
        <f t="shared" si="19"/>
        <v>0</v>
      </c>
      <c r="EW17" s="55">
        <f t="shared" si="20"/>
        <v>0</v>
      </c>
      <c r="EX17" s="24">
        <f t="shared" si="0"/>
        <v>0</v>
      </c>
      <c r="EY17" s="24">
        <f t="shared" si="0"/>
        <v>0</v>
      </c>
      <c r="EZ17" s="24">
        <f t="shared" si="0"/>
        <v>0</v>
      </c>
      <c r="FA17" s="24">
        <f t="shared" si="0"/>
        <v>0</v>
      </c>
      <c r="FB17" s="24">
        <f t="shared" si="0"/>
        <v>0</v>
      </c>
      <c r="FC17" s="24">
        <f t="shared" si="0"/>
        <v>0</v>
      </c>
      <c r="FD17" s="24">
        <f t="shared" si="0"/>
        <v>0</v>
      </c>
      <c r="FE17" s="46">
        <f t="shared" si="0"/>
        <v>0</v>
      </c>
      <c r="FF17" s="561"/>
      <c r="FG17" s="1201" t="s">
        <v>80</v>
      </c>
      <c r="FH17" s="1185"/>
      <c r="FI17" s="164" t="s">
        <v>233</v>
      </c>
      <c r="FJ17" s="959">
        <f>FJ$8/FJ$21</f>
        <v>0</v>
      </c>
      <c r="FK17" s="121">
        <f t="shared" ref="FK17:FR17" si="88">FK$8/FK$21</f>
        <v>0</v>
      </c>
      <c r="FL17" s="121">
        <f t="shared" si="88"/>
        <v>0</v>
      </c>
      <c r="FM17" s="121">
        <f t="shared" si="88"/>
        <v>0</v>
      </c>
      <c r="FN17" s="121">
        <f t="shared" si="88"/>
        <v>0</v>
      </c>
      <c r="FO17" s="121">
        <f t="shared" si="88"/>
        <v>0</v>
      </c>
      <c r="FP17" s="121">
        <f t="shared" si="88"/>
        <v>0</v>
      </c>
      <c r="FQ17" s="121">
        <f t="shared" si="88"/>
        <v>0</v>
      </c>
      <c r="FR17" s="935">
        <f t="shared" si="88"/>
        <v>0</v>
      </c>
      <c r="FS17" s="1203">
        <f>SUM(FJ18:FR18)</f>
        <v>0</v>
      </c>
      <c r="FT17" s="1196"/>
      <c r="FU17" s="1199"/>
      <c r="FV17" s="561"/>
      <c r="GA17" s="785" t="s">
        <v>164</v>
      </c>
      <c r="GB17" s="785">
        <f>Бланк!C25</f>
        <v>0</v>
      </c>
      <c r="GC17" s="785">
        <f>Бланк!D25</f>
        <v>0</v>
      </c>
      <c r="GD17" s="786">
        <f t="shared" si="2"/>
        <v>26</v>
      </c>
      <c r="GE17" s="786" t="b">
        <f t="shared" si="22"/>
        <v>0</v>
      </c>
      <c r="GF17" s="786">
        <f t="shared" si="23"/>
        <v>0</v>
      </c>
      <c r="GG17" s="785">
        <v>13</v>
      </c>
      <c r="GI17" s="1014">
        <f t="shared" si="24"/>
        <v>0</v>
      </c>
      <c r="GJ17" s="1018">
        <f t="shared" ca="1" si="25"/>
        <v>15</v>
      </c>
      <c r="GL17" s="786">
        <v>25</v>
      </c>
      <c r="GM17" s="786">
        <v>13</v>
      </c>
      <c r="GO17" s="746">
        <v>10</v>
      </c>
      <c r="GP17" s="280">
        <f ca="1">SUMIFS(D!BY$85:BY$104,D!$BR$85:$BR$104,$GO17)</f>
        <v>0</v>
      </c>
      <c r="GQ17" s="757">
        <f ca="1">SUMIFS(D!BZ$85:BZ$99,D!$BR$85:$BR$99,$GO17)</f>
        <v>0</v>
      </c>
      <c r="GR17" s="758">
        <f ca="1">SUMIFS(D!CA$85:CA$99,D!$BR$85:$BR$99,$GO17)</f>
        <v>0</v>
      </c>
      <c r="GS17" s="280">
        <f>SUMIFS(D!BY$85:BY$99,D!$BP$85:$BP$99,TRUE,D!$BR$85:$BR$99,Габариты!$GO17)</f>
        <v>0</v>
      </c>
      <c r="GT17" s="757">
        <f>SUMIFS(D!BZ$85:BZ$99,D!$BP$85:$BP$99,TRUE,D!$BR$85:$BR$99,Габариты!$GO17)</f>
        <v>0</v>
      </c>
      <c r="GU17" s="758">
        <f>SUMIFS(D!CA$85:CA$99,D!$BP$85:$BP$99,TRUE,D!$BR$85:$BR$99,Габариты!$GO17)</f>
        <v>0</v>
      </c>
      <c r="GW17" s="757">
        <f ca="1">SUM(HB$5:HB16)-SUM(HC$5:HC16)</f>
        <v>24</v>
      </c>
      <c r="GX17" s="757">
        <f t="shared" ca="1" si="71"/>
        <v>2</v>
      </c>
      <c r="GY17" s="753">
        <f t="shared" ca="1" si="26"/>
        <v>0</v>
      </c>
      <c r="GZ17" s="280">
        <f t="shared" ca="1" si="27"/>
        <v>0</v>
      </c>
      <c r="HA17" s="758">
        <f t="shared" ca="1" si="28"/>
        <v>0</v>
      </c>
      <c r="HB17" s="280">
        <f t="shared" ca="1" si="29"/>
        <v>0</v>
      </c>
      <c r="HC17" s="753">
        <f t="shared" ca="1" si="30"/>
        <v>0</v>
      </c>
      <c r="HD17" s="802" t="b">
        <f t="shared" ca="1" si="3"/>
        <v>0</v>
      </c>
      <c r="HE17" s="802" t="b">
        <f t="shared" ca="1" si="4"/>
        <v>0</v>
      </c>
      <c r="HF17" s="754" t="b">
        <f t="shared" ca="1" si="31"/>
        <v>0</v>
      </c>
      <c r="HH17" s="757">
        <f ca="1">SUM(HM$5:HM16)-SUM(HN$5:HN16)</f>
        <v>0</v>
      </c>
      <c r="HI17" s="757">
        <f t="shared" ca="1" si="72"/>
        <v>0</v>
      </c>
      <c r="HJ17" s="753">
        <f t="shared" ca="1" si="73"/>
        <v>0</v>
      </c>
      <c r="HK17" s="280">
        <f t="shared" ca="1" si="80"/>
        <v>0</v>
      </c>
      <c r="HL17" s="758">
        <f t="shared" ca="1" si="81"/>
        <v>0</v>
      </c>
      <c r="HM17" s="280">
        <f t="shared" ca="1" si="32"/>
        <v>0</v>
      </c>
      <c r="HN17" s="753">
        <f t="shared" ca="1" si="33"/>
        <v>0</v>
      </c>
      <c r="HO17" s="802" t="b">
        <f t="shared" ca="1" si="7"/>
        <v>0</v>
      </c>
      <c r="HP17" s="802" t="b">
        <f t="shared" ca="1" si="8"/>
        <v>0</v>
      </c>
      <c r="HQ17" s="754" t="b">
        <f t="shared" ca="1" si="34"/>
        <v>0</v>
      </c>
      <c r="HS17" s="757">
        <f ca="1">SUM($HB$5:$HB16)-SUM($HC$5:$HC16)</f>
        <v>24</v>
      </c>
      <c r="HT17" s="757">
        <f t="shared" ca="1" si="74"/>
        <v>2</v>
      </c>
      <c r="HU17" s="753">
        <f t="shared" ca="1" si="35"/>
        <v>0</v>
      </c>
      <c r="HV17" s="280">
        <f t="shared" ca="1" si="36"/>
        <v>0</v>
      </c>
      <c r="HW17" s="758">
        <f t="shared" ca="1" si="37"/>
        <v>0</v>
      </c>
      <c r="HX17" s="280">
        <f t="shared" ca="1" si="38"/>
        <v>0</v>
      </c>
      <c r="HY17" s="753">
        <f t="shared" ca="1" si="39"/>
        <v>0</v>
      </c>
      <c r="HZ17" s="802" t="b">
        <f t="shared" ca="1" si="9"/>
        <v>0</v>
      </c>
      <c r="IA17" s="802" t="b">
        <f t="shared" ca="1" si="10"/>
        <v>0</v>
      </c>
      <c r="IB17" s="754" t="b">
        <f t="shared" ca="1" si="40"/>
        <v>0</v>
      </c>
      <c r="IC17" s="777"/>
      <c r="ID17" s="870">
        <v>0.15</v>
      </c>
    </row>
    <row r="18" spans="1:242" ht="13.5" thickBot="1" x14ac:dyDescent="0.25">
      <c r="A18" s="65" t="s">
        <v>163</v>
      </c>
      <c r="B18" s="141" t="str">
        <f>MID(Бланк!B24,1,3)</f>
        <v/>
      </c>
      <c r="C18" s="149">
        <f>IF(ISBLANK(Бланк!$C24),0,MID(Бланк!$C24,1,1))</f>
        <v>0</v>
      </c>
      <c r="D18" s="60">
        <f>Бланк!D24</f>
        <v>0</v>
      </c>
      <c r="E18" s="267" t="b">
        <f>AND(MID(Бланк!$H24,1,3)&lt;&gt;"-",MID(Бланк!$H24,1,3)&lt;&gt;"")</f>
        <v>0</v>
      </c>
      <c r="F18" s="149">
        <f>Бланк!$O24</f>
        <v>0</v>
      </c>
      <c r="G18" s="60">
        <f>IF($F18&gt;0,SUMPRODUCT($I$5:$AP$5,$I18:$AP18)/$F18,0)</f>
        <v>0</v>
      </c>
      <c r="H18" s="143">
        <f t="shared" si="12"/>
        <v>0</v>
      </c>
      <c r="I18" s="266">
        <f>IF(AND($E18,Проверки!$I16,$D18&lt;=25,$C18="2"),$F18,0)</f>
        <v>0</v>
      </c>
      <c r="J18" s="267">
        <f>IF(AND($E18,Проверки!I16,$D18&lt;=63,$C18="2",I18=0),$F18,0)</f>
        <v>0</v>
      </c>
      <c r="K18" s="267">
        <f>IF(AND($E18,Проверки!$I16,$D18&lt;=25,$C18&gt;="3"),$F18,0)</f>
        <v>0</v>
      </c>
      <c r="L18" s="267">
        <f>IF(AND($E18,Проверки!$I16,$D18&lt;=63,C18&gt;="3",K18=0),$F18,0)</f>
        <v>0</v>
      </c>
      <c r="M18" s="267">
        <f>IF(AND($E18,Проверки!L16,$C18="2"),$F18,0)</f>
        <v>0</v>
      </c>
      <c r="N18" s="267">
        <f>IF(AND($E18,Проверки!$L16,$C18&gt;="3"),$F18,0)</f>
        <v>0</v>
      </c>
      <c r="O18" s="267">
        <f>IF(AND($E18,Проверки!$M16,$C18="2"),1,0)</f>
        <v>0</v>
      </c>
      <c r="P18" s="267">
        <f>IF(AND($E18,Проверки!$M16,$C18&gt;="3",$D18&lt;=63,ISERR(SEARCH("si",Бланк!H24))),1,0)</f>
        <v>0</v>
      </c>
      <c r="Q18" s="267">
        <f>IF(AND($E18,Проверки!$M16,$C18&gt;="3",P18=0),1,0)</f>
        <v>0</v>
      </c>
      <c r="R18" s="267">
        <f>IF(AND(Бланк!I24="+",OR(Проверки!$I16:$L16,Проверки!$O16)),$F18,0)</f>
        <v>0</v>
      </c>
      <c r="S18" s="267">
        <f>IF(AND(Бланк!J24="+",OR(Проверки!$I16:$L16,Проверки!$O16)),$F18,0)</f>
        <v>0</v>
      </c>
      <c r="T18" s="267">
        <f>IF(AND(Бланк!K24="+",OR(Проверки!$I16:$L16,Проверки!$O16)),$F18,0)</f>
        <v>0</v>
      </c>
      <c r="U18" s="267">
        <f>IF(AND(Бланк!I24="+",Проверки!$M16),Бланк!$O24,0)</f>
        <v>0</v>
      </c>
      <c r="V18" s="269">
        <f>IF(AND(Бланк!J24="+",Проверки!$M16),Бланк!$O24,0)</f>
        <v>0</v>
      </c>
      <c r="W18" s="424">
        <f>IF(AND(Бланк!K24="+",Проверки!$M16),Бланк!$O24,0)</f>
        <v>0</v>
      </c>
      <c r="X18" s="414">
        <f t="shared" si="41"/>
        <v>0</v>
      </c>
      <c r="Y18" s="411">
        <f t="shared" si="42"/>
        <v>0</v>
      </c>
      <c r="Z18" s="411">
        <f t="shared" si="43"/>
        <v>0</v>
      </c>
      <c r="AA18" s="276">
        <f t="shared" si="44"/>
        <v>0</v>
      </c>
      <c r="AB18" s="276">
        <f t="shared" si="45"/>
        <v>0</v>
      </c>
      <c r="AC18" s="411">
        <f t="shared" si="46"/>
        <v>0</v>
      </c>
      <c r="AD18" s="411">
        <f t="shared" si="47"/>
        <v>0</v>
      </c>
      <c r="AE18" s="421">
        <f t="shared" si="48"/>
        <v>0</v>
      </c>
      <c r="AF18" s="421">
        <f t="shared" si="49"/>
        <v>0</v>
      </c>
      <c r="AG18" s="276">
        <f t="shared" si="50"/>
        <v>0</v>
      </c>
      <c r="AH18" s="276">
        <f t="shared" si="51"/>
        <v>0</v>
      </c>
      <c r="AI18" s="276">
        <f t="shared" si="52"/>
        <v>0</v>
      </c>
      <c r="AJ18" s="276">
        <f t="shared" si="53"/>
        <v>0</v>
      </c>
      <c r="AK18" s="276">
        <f t="shared" si="54"/>
        <v>0</v>
      </c>
      <c r="AL18" s="281">
        <f t="shared" si="55"/>
        <v>0</v>
      </c>
      <c r="AM18" s="443">
        <f t="shared" si="56"/>
        <v>0</v>
      </c>
      <c r="AN18" s="444">
        <f t="shared" si="57"/>
        <v>0</v>
      </c>
      <c r="AO18" s="443">
        <f t="shared" si="58"/>
        <v>0</v>
      </c>
      <c r="AP18" s="444">
        <f t="shared" si="59"/>
        <v>0</v>
      </c>
      <c r="AQ18" s="412">
        <f>IF(MID(Бланк!L24,1,1)="3",3,IF(MID(Бланк!L24,1,1)="2",2,1))</f>
        <v>1</v>
      </c>
      <c r="AR18" s="60">
        <f>IF(ISERROR(VALUE(MID(Бланк!M24,3,LEN(Бланк!M24)-SEARCH("x",Бланк!M24)))),0,VALUE(MID(Бланк!M24,3,LEN(Бланк!M24)-SEARCH("x",Бланк!M24))))</f>
        <v>0</v>
      </c>
      <c r="AS18" s="60">
        <f>Бланк!N24</f>
        <v>0</v>
      </c>
      <c r="AT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552"/>
      <c r="BM18" s="552"/>
      <c r="BN18" s="552"/>
      <c r="BO18" s="552"/>
      <c r="BP18" s="552"/>
      <c r="BQ18" s="552"/>
      <c r="BR18" s="552"/>
      <c r="BS18" s="552"/>
      <c r="BT18" s="552"/>
      <c r="BU18" s="552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157" t="s">
        <v>163</v>
      </c>
      <c r="CJ18" s="890">
        <f>IF(OR($G18=0,$B18="NSX"),0,ROUNDDOWN(($A$68-SUM(CL$6:CL17))/$G18,0))</f>
        <v>0</v>
      </c>
      <c r="CK18" s="880">
        <f t="shared" si="13"/>
        <v>0</v>
      </c>
      <c r="CL18" s="157">
        <f t="shared" si="60"/>
        <v>0</v>
      </c>
      <c r="CM18" s="890">
        <f>IF(OR($G18=0,$B18="NSX"),0,ROUNDDOWN(($A$68-SUM(CO$6:CO17))/$G18,0))</f>
        <v>0</v>
      </c>
      <c r="CN18" s="157">
        <f>IF(CM18&gt;=$F18-SUMIF($CK$5:CK$5,"Кол-во",$CK18:CK18),$F18-SUMIF($CK$5:CK$5,"Кол-во",$CK18:CK18),CM18)</f>
        <v>0</v>
      </c>
      <c r="CO18" s="157">
        <f t="shared" si="61"/>
        <v>0</v>
      </c>
      <c r="CP18" s="890">
        <f>IF(OR($G18=0,$B18="NSX"),0,ROUNDDOWN(($A$68-SUM(CR$6:CR17))/$G18,0))</f>
        <v>0</v>
      </c>
      <c r="CQ18" s="890">
        <f>IF(CP18&gt;=$F18-SUMIF($CK$5:CN$5,"Кол-во",$CK18:CN18),$F18-SUMIF($CK$5:CN$5,"Кол-во",$CK18:CN18),CP18)</f>
        <v>0</v>
      </c>
      <c r="CR18" s="890">
        <f t="shared" si="62"/>
        <v>0</v>
      </c>
      <c r="CS18" s="890">
        <f>IF(OR($G18=0,$B18="NSX"),0,ROUNDDOWN(($A$68-SUM(CU$6:CU17))/$G18,0))</f>
        <v>0</v>
      </c>
      <c r="CT18" s="890">
        <f>IF(CS18&gt;=$F18-SUMIF($CK$5:CQ$5,"Кол-во",$CK18:CQ18),$F18-SUMIF($CK$5:CQ$5,"Кол-во",$CK18:CQ18),CS18)</f>
        <v>0</v>
      </c>
      <c r="CU18" s="890">
        <f t="shared" si="63"/>
        <v>0</v>
      </c>
      <c r="CV18" s="890">
        <f>IF(OR($G18=0,$B18="NSX"),0,ROUNDDOWN(($A$68-SUM(CX$6:CX17))/$G18,0))</f>
        <v>0</v>
      </c>
      <c r="CW18" s="890">
        <f>IF(CV18&gt;=$F18-SUMIF($CK$5:CT$5,"Кол-во",$CK18:CT18),$F18-SUMIF($CK$5:CT$5,"Кол-во",$CK18:CT18),CV18)</f>
        <v>0</v>
      </c>
      <c r="CX18" s="890">
        <f t="shared" si="64"/>
        <v>0</v>
      </c>
      <c r="CY18" s="890">
        <f>IF(OR($G18=0,$B18="NSX"),0,ROUNDDOWN(($A$68-SUM(DA$6:DA17))/$G18,0))</f>
        <v>0</v>
      </c>
      <c r="CZ18" s="890">
        <f>IF(CY18&gt;=$F18-SUMIF($CK$5:CW$5,"Кол-во",$CK18:CW18),$F18-SUMIF($CK$5:CW$5,"Кол-во",$CK18:CW18),CY18)</f>
        <v>0</v>
      </c>
      <c r="DA18" s="890">
        <f t="shared" si="65"/>
        <v>0</v>
      </c>
      <c r="DB18" s="890">
        <f>IF(OR($G18=0,$B18="NSX"),0,ROUNDDOWN(($A$68-SUM(DD$6:DD17))/$G18,0))</f>
        <v>0</v>
      </c>
      <c r="DC18" s="890">
        <f>IF(DB18&gt;=$F18-SUMIF($CK$5:CZ$5,"Кол-во",$CK18:CZ18),$F18-SUMIF($CK$5:CZ$5,"Кол-во",$CK18:CZ18),DB18)</f>
        <v>0</v>
      </c>
      <c r="DD18" s="890">
        <f t="shared" si="66"/>
        <v>0</v>
      </c>
      <c r="DE18" s="890">
        <f>IF(OR($G18=0,$B18="NSX"),0,ROUNDDOWN(($A$68-SUM(DG$6:DG17))/$G18,0))</f>
        <v>0</v>
      </c>
      <c r="DF18" s="890">
        <f>IF(DE18&gt;=$F18-SUMIF($CK$5:DC$5,"Кол-во",$CK18:DC18),$F18-SUMIF($CK$5:DC$5,"Кол-во",$CK18:DC18),DE18)</f>
        <v>0</v>
      </c>
      <c r="DG18" s="890">
        <f t="shared" si="67"/>
        <v>0</v>
      </c>
      <c r="DH18" s="890">
        <f>IF(OR($G18=0,$B18="NSX"),0,ROUNDDOWN(($A$68-SUM(DJ$6:DJ17))/$G18,0))</f>
        <v>0</v>
      </c>
      <c r="DI18" s="890">
        <f>IF(DH18&gt;=$F18-SUMIF($CK$5:DF$5,"Кол-во",$CK18:DF18),$F18-SUMIF($CK$5:DF$5,"Кол-во",$CK18:DF18),DH18)</f>
        <v>0</v>
      </c>
      <c r="DJ18" s="890">
        <f t="shared" si="68"/>
        <v>0</v>
      </c>
      <c r="DK18" s="890">
        <f>IF(OR($G18=0,$B18="NSX"),0,ROUNDDOWN(($A$68-SUM(DM$6:DM17))/$G18,0))</f>
        <v>0</v>
      </c>
      <c r="DL18" s="890">
        <f>IF(DK18&gt;=$F18-SUMIF($CK$5:DI$5,"Кол-во",$CK18:DI18),$F18-SUMIF($CK$5:DI$5,"Кол-во",$CK18:DI18),DK18)</f>
        <v>0</v>
      </c>
      <c r="DM18" s="890">
        <f t="shared" si="69"/>
        <v>0</v>
      </c>
      <c r="DS18" s="358"/>
      <c r="DT18" s="358"/>
      <c r="DU18" s="358"/>
      <c r="DV18" s="358"/>
      <c r="DW18" s="358"/>
      <c r="DX18" s="352" t="str">
        <f t="shared" si="15"/>
        <v>TT4</v>
      </c>
      <c r="DY18" s="569" t="s">
        <v>763</v>
      </c>
      <c r="DZ18" s="569">
        <v>4</v>
      </c>
      <c r="EA18" s="569">
        <v>5</v>
      </c>
      <c r="EC18" s="559">
        <v>25</v>
      </c>
      <c r="ED18" s="559">
        <v>1</v>
      </c>
      <c r="EE18" s="352">
        <v>4</v>
      </c>
      <c r="EF18" s="560"/>
      <c r="EG18" s="20"/>
      <c r="EH18" s="32"/>
      <c r="EI18" s="21" t="s">
        <v>164</v>
      </c>
      <c r="EJ18" s="21">
        <f>Бланк!$O$25</f>
        <v>0</v>
      </c>
      <c r="EK18" s="296">
        <f>IFERROR(VALUE(MID(Бланк!$L25,1,1)),1)*EJ18</f>
        <v>0</v>
      </c>
      <c r="EL18" s="21" t="str">
        <f>IF(EJ18=EK18,MID(Бланк!$L25,1,100),MID(Бланк!$L25,3,100))</f>
        <v/>
      </c>
      <c r="EM18" s="21">
        <f>Бланк!$M25</f>
        <v>0</v>
      </c>
      <c r="EN18" s="354">
        <f>_xlfn.IFNA(VLOOKUP(Бланк!$K$3&amp;Габариты!$C19,$DX:$EA,4,FALSE)&amp;"x"&amp;VLOOKUP(Проверки!$D17,$EC:$EE,3,FALSE),0)</f>
        <v>0</v>
      </c>
      <c r="EO18" s="354">
        <f t="shared" si="16"/>
        <v>0</v>
      </c>
      <c r="EP18" s="4">
        <f>Бланк!$N25</f>
        <v>0</v>
      </c>
      <c r="EQ18" s="559">
        <f>_xlfn.IFNA(VLOOKUP(EL18&amp;" "&amp;EO18,'Список кабелей'!$I:$J,2,FALSE),0)</f>
        <v>0</v>
      </c>
      <c r="ER18" s="559">
        <f>IF(OR(EL18="-",EO18="-",EP18="-",Проверки!$D17=""),0,VLOOKUP(EO18,'Список кабелей'!$D:$J,7,FALSE))</f>
        <v>0</v>
      </c>
      <c r="ES18" s="559">
        <f t="shared" si="17"/>
        <v>0</v>
      </c>
      <c r="ET18" s="354">
        <f>EK18*_xlfn.IFNA(VLOOKUP(Проверки!$D17,$EC:$EE,2,FALSE),0)</f>
        <v>0</v>
      </c>
      <c r="EU18" s="44">
        <f t="shared" si="18"/>
        <v>0</v>
      </c>
      <c r="EV18" s="56">
        <f t="shared" si="19"/>
        <v>0</v>
      </c>
      <c r="EW18" s="55">
        <f t="shared" si="20"/>
        <v>0</v>
      </c>
      <c r="EX18" s="24">
        <f t="shared" si="0"/>
        <v>0</v>
      </c>
      <c r="EY18" s="24">
        <f t="shared" si="0"/>
        <v>0</v>
      </c>
      <c r="EZ18" s="24">
        <f t="shared" si="0"/>
        <v>0</v>
      </c>
      <c r="FA18" s="24">
        <f t="shared" si="0"/>
        <v>0</v>
      </c>
      <c r="FB18" s="24">
        <f t="shared" si="0"/>
        <v>0</v>
      </c>
      <c r="FC18" s="24">
        <f t="shared" si="0"/>
        <v>0</v>
      </c>
      <c r="FD18" s="24">
        <f t="shared" si="0"/>
        <v>0</v>
      </c>
      <c r="FE18" s="46">
        <f t="shared" si="0"/>
        <v>0</v>
      </c>
      <c r="FF18" s="561"/>
      <c r="FG18" s="1202"/>
      <c r="FH18" s="1211"/>
      <c r="FI18" s="173" t="s">
        <v>862</v>
      </c>
      <c r="FJ18" s="964">
        <f>IF(ISERROR(FJ17),0,ROUNDUP(FJ17,0))*VLOOKUP(FJ$4,$DO$5:$DP$13,2,0)</f>
        <v>0</v>
      </c>
      <c r="FK18" s="965">
        <f t="shared" ref="FK18:FR18" si="89">IF(ISERROR(FK17),0,ROUNDUP(FK17,0))*VLOOKUP(FK$4,$DO$5:$DP$13,2,0)</f>
        <v>0</v>
      </c>
      <c r="FL18" s="965">
        <f t="shared" si="89"/>
        <v>0</v>
      </c>
      <c r="FM18" s="965">
        <f t="shared" si="89"/>
        <v>0</v>
      </c>
      <c r="FN18" s="965">
        <f t="shared" si="89"/>
        <v>0</v>
      </c>
      <c r="FO18" s="965">
        <f t="shared" si="89"/>
        <v>0</v>
      </c>
      <c r="FP18" s="965">
        <f t="shared" si="89"/>
        <v>0</v>
      </c>
      <c r="FQ18" s="965">
        <f t="shared" si="89"/>
        <v>0</v>
      </c>
      <c r="FR18" s="966">
        <f t="shared" si="89"/>
        <v>0</v>
      </c>
      <c r="FS18" s="1204"/>
      <c r="FT18" s="1197"/>
      <c r="FU18" s="1200"/>
      <c r="FV18" s="561"/>
      <c r="GA18" s="785" t="s">
        <v>165</v>
      </c>
      <c r="GB18" s="785">
        <f>Бланк!C26</f>
        <v>0</v>
      </c>
      <c r="GC18" s="785">
        <f>Бланк!D26</f>
        <v>0</v>
      </c>
      <c r="GD18" s="786">
        <f t="shared" si="2"/>
        <v>26</v>
      </c>
      <c r="GE18" s="786" t="b">
        <f t="shared" si="22"/>
        <v>0</v>
      </c>
      <c r="GF18" s="786">
        <f t="shared" si="23"/>
        <v>0</v>
      </c>
      <c r="GG18" s="785">
        <v>14</v>
      </c>
      <c r="GI18" s="1014">
        <f t="shared" si="24"/>
        <v>0</v>
      </c>
      <c r="GJ18" s="1018">
        <f t="shared" ca="1" si="25"/>
        <v>16</v>
      </c>
      <c r="GL18" s="786">
        <v>20</v>
      </c>
      <c r="GM18" s="786">
        <v>14</v>
      </c>
      <c r="GO18" s="746">
        <v>6</v>
      </c>
      <c r="GP18" s="280">
        <f ca="1">SUMIFS(D!BY$85:BY$104,D!$BR$85:$BR$104,$GO18)</f>
        <v>0</v>
      </c>
      <c r="GQ18" s="757">
        <f ca="1">SUMIFS(D!BZ$85:BZ$99,D!$BR$85:$BR$99,$GO18)</f>
        <v>0</v>
      </c>
      <c r="GR18" s="758">
        <f ca="1">SUMIFS(D!CA$85:CA$99,D!$BR$85:$BR$99,$GO18)</f>
        <v>0</v>
      </c>
      <c r="GS18" s="280">
        <f>SUMIFS(D!BY$85:BY$99,D!$BP$85:$BP$99,TRUE,D!$BR$85:$BR$99,Габариты!$GO18)</f>
        <v>0</v>
      </c>
      <c r="GT18" s="757">
        <f>SUMIFS(D!BZ$85:BZ$99,D!$BP$85:$BP$99,TRUE,D!$BR$85:$BR$99,Габариты!$GO18)</f>
        <v>0</v>
      </c>
      <c r="GU18" s="758">
        <f>SUMIFS(D!CA$85:CA$99,D!$BP$85:$BP$99,TRUE,D!$BR$85:$BR$99,Габариты!$GO18)</f>
        <v>0</v>
      </c>
      <c r="GW18" s="757">
        <f ca="1">SUM(HB$5:HB17)-SUM(HC$5:HC17)</f>
        <v>24</v>
      </c>
      <c r="GX18" s="757">
        <f t="shared" ca="1" si="71"/>
        <v>4</v>
      </c>
      <c r="GY18" s="753">
        <f t="shared" ca="1" si="26"/>
        <v>0</v>
      </c>
      <c r="GZ18" s="280">
        <f t="shared" ca="1" si="27"/>
        <v>0</v>
      </c>
      <c r="HA18" s="758">
        <f t="shared" ca="1" si="28"/>
        <v>0</v>
      </c>
      <c r="HB18" s="280">
        <f t="shared" ca="1" si="29"/>
        <v>0</v>
      </c>
      <c r="HC18" s="753">
        <f t="shared" ca="1" si="30"/>
        <v>0</v>
      </c>
      <c r="HD18" s="802" t="b">
        <f t="shared" ca="1" si="3"/>
        <v>0</v>
      </c>
      <c r="HE18" s="802" t="b">
        <f t="shared" ca="1" si="4"/>
        <v>0</v>
      </c>
      <c r="HF18" s="754" t="b">
        <f t="shared" ca="1" si="31"/>
        <v>0</v>
      </c>
      <c r="HH18" s="757">
        <f ca="1">SUM(HM$5:HM17)-SUM(HN$5:HN17)</f>
        <v>0</v>
      </c>
      <c r="HI18" s="757">
        <f t="shared" ca="1" si="72"/>
        <v>0</v>
      </c>
      <c r="HJ18" s="753">
        <f t="shared" ca="1" si="73"/>
        <v>0</v>
      </c>
      <c r="HK18" s="280">
        <f t="shared" ca="1" si="80"/>
        <v>0</v>
      </c>
      <c r="HL18" s="758">
        <f t="shared" ca="1" si="81"/>
        <v>0</v>
      </c>
      <c r="HM18" s="280">
        <f t="shared" ca="1" si="32"/>
        <v>0</v>
      </c>
      <c r="HN18" s="753">
        <f t="shared" ca="1" si="33"/>
        <v>0</v>
      </c>
      <c r="HO18" s="802" t="b">
        <f t="shared" ca="1" si="7"/>
        <v>0</v>
      </c>
      <c r="HP18" s="802" t="b">
        <f t="shared" ca="1" si="8"/>
        <v>0</v>
      </c>
      <c r="HQ18" s="754" t="b">
        <f t="shared" ca="1" si="34"/>
        <v>0</v>
      </c>
      <c r="HS18" s="757">
        <f ca="1">SUM($HB$5:$HB17)-SUM($HC$5:$HC17)</f>
        <v>24</v>
      </c>
      <c r="HT18" s="757">
        <f t="shared" ca="1" si="74"/>
        <v>4</v>
      </c>
      <c r="HU18" s="753">
        <f t="shared" ca="1" si="35"/>
        <v>0</v>
      </c>
      <c r="HV18" s="280">
        <f t="shared" ca="1" si="36"/>
        <v>0</v>
      </c>
      <c r="HW18" s="758">
        <f t="shared" ca="1" si="37"/>
        <v>0</v>
      </c>
      <c r="HX18" s="280">
        <f t="shared" ca="1" si="38"/>
        <v>0</v>
      </c>
      <c r="HY18" s="753">
        <f t="shared" ca="1" si="39"/>
        <v>0</v>
      </c>
      <c r="HZ18" s="802" t="b">
        <f t="shared" ca="1" si="9"/>
        <v>0</v>
      </c>
      <c r="IA18" s="802" t="b">
        <f t="shared" ca="1" si="10"/>
        <v>0</v>
      </c>
      <c r="IB18" s="754" t="b">
        <f t="shared" ca="1" si="40"/>
        <v>0</v>
      </c>
      <c r="IC18" s="777"/>
      <c r="ID18" s="61" t="s">
        <v>1100</v>
      </c>
    </row>
    <row r="19" spans="1:242" ht="13.5" customHeight="1" thickTop="1" x14ac:dyDescent="0.2">
      <c r="A19" s="65" t="s">
        <v>164</v>
      </c>
      <c r="B19" s="141" t="str">
        <f>MID(Бланк!B25,1,3)</f>
        <v/>
      </c>
      <c r="C19" s="149">
        <f>IF(ISBLANK(Бланк!$C25),0,MID(Бланк!$C25,1,1))</f>
        <v>0</v>
      </c>
      <c r="D19" s="60">
        <f>Бланк!D25</f>
        <v>0</v>
      </c>
      <c r="E19" s="267" t="b">
        <f>AND(MID(Бланк!$H25,1,3)&lt;&gt;"-",MID(Бланк!$H25,1,3)&lt;&gt;"")</f>
        <v>0</v>
      </c>
      <c r="F19" s="149">
        <f>Бланк!$O25</f>
        <v>0</v>
      </c>
      <c r="G19" s="60">
        <f>IF($F19&gt;0,SUMPRODUCT($I$5:$AP$5,$I19:$AP19)/$F19,0)</f>
        <v>0</v>
      </c>
      <c r="H19" s="143">
        <f t="shared" si="12"/>
        <v>0</v>
      </c>
      <c r="I19" s="266">
        <f>IF(AND($E19,Проверки!$I17,$D19&lt;=25,$C19="2"),$F19,0)</f>
        <v>0</v>
      </c>
      <c r="J19" s="267">
        <f>IF(AND($E19,Проверки!I17,$D19&lt;=63,$C19="2",I19=0),$F19,0)</f>
        <v>0</v>
      </c>
      <c r="K19" s="267">
        <f>IF(AND($E19,Проверки!$I17,$D19&lt;=25,$C19&gt;="3"),$F19,0)</f>
        <v>0</v>
      </c>
      <c r="L19" s="267">
        <f>IF(AND($E19,Проверки!$I17,$D19&lt;=63,C19&gt;="3",K19=0),$F19,0)</f>
        <v>0</v>
      </c>
      <c r="M19" s="267">
        <f>IF(AND($E19,Проверки!L17,$C19="2"),$F19,0)</f>
        <v>0</v>
      </c>
      <c r="N19" s="267">
        <f>IF(AND($E19,Проверки!$L17,$C19&gt;="3"),$F19,0)</f>
        <v>0</v>
      </c>
      <c r="O19" s="267">
        <f>IF(AND($E19,Проверки!$M17,$C19="2"),1,0)</f>
        <v>0</v>
      </c>
      <c r="P19" s="267">
        <f>IF(AND($E19,Проверки!$M17,$C19&gt;="3",$D19&lt;=63,ISERR(SEARCH("si",Бланк!H25))),1,0)</f>
        <v>0</v>
      </c>
      <c r="Q19" s="267">
        <f>IF(AND($E19,Проверки!$M17,$C19&gt;="3",P19=0),1,0)</f>
        <v>0</v>
      </c>
      <c r="R19" s="267">
        <f>IF(AND(Бланк!I25="+",OR(Проверки!$I17:$L17,Проверки!$O17)),$F19,0)</f>
        <v>0</v>
      </c>
      <c r="S19" s="267">
        <f>IF(AND(Бланк!J25="+",OR(Проверки!$I17:$L17,Проверки!$O17)),$F19,0)</f>
        <v>0</v>
      </c>
      <c r="T19" s="267">
        <f>IF(AND(Бланк!K25="+",OR(Проверки!$I17:$L17,Проверки!$O17)),$F19,0)</f>
        <v>0</v>
      </c>
      <c r="U19" s="267">
        <f>IF(AND(Бланк!I25="+",Проверки!$M17),Бланк!$O25,0)</f>
        <v>0</v>
      </c>
      <c r="V19" s="269">
        <f>IF(AND(Бланк!J25="+",Проверки!$M17),Бланк!$O25,0)</f>
        <v>0</v>
      </c>
      <c r="W19" s="424">
        <f>IF(AND(Бланк!K25="+",Проверки!$M17),Бланк!$O25,0)</f>
        <v>0</v>
      </c>
      <c r="X19" s="414">
        <f t="shared" si="41"/>
        <v>0</v>
      </c>
      <c r="Y19" s="411">
        <f t="shared" si="42"/>
        <v>0</v>
      </c>
      <c r="Z19" s="411">
        <f t="shared" si="43"/>
        <v>0</v>
      </c>
      <c r="AA19" s="276">
        <f t="shared" si="44"/>
        <v>0</v>
      </c>
      <c r="AB19" s="276">
        <f t="shared" si="45"/>
        <v>0</v>
      </c>
      <c r="AC19" s="411">
        <f t="shared" si="46"/>
        <v>0</v>
      </c>
      <c r="AD19" s="411">
        <f t="shared" si="47"/>
        <v>0</v>
      </c>
      <c r="AE19" s="421">
        <f t="shared" si="48"/>
        <v>0</v>
      </c>
      <c r="AF19" s="421">
        <f t="shared" si="49"/>
        <v>0</v>
      </c>
      <c r="AG19" s="276">
        <f t="shared" si="50"/>
        <v>0</v>
      </c>
      <c r="AH19" s="276">
        <f t="shared" si="51"/>
        <v>0</v>
      </c>
      <c r="AI19" s="276">
        <f t="shared" si="52"/>
        <v>0</v>
      </c>
      <c r="AJ19" s="276">
        <f t="shared" si="53"/>
        <v>0</v>
      </c>
      <c r="AK19" s="276">
        <f t="shared" si="54"/>
        <v>0</v>
      </c>
      <c r="AL19" s="281">
        <f t="shared" si="55"/>
        <v>0</v>
      </c>
      <c r="AM19" s="443">
        <f t="shared" si="56"/>
        <v>0</v>
      </c>
      <c r="AN19" s="444">
        <f t="shared" si="57"/>
        <v>0</v>
      </c>
      <c r="AO19" s="443">
        <f t="shared" si="58"/>
        <v>0</v>
      </c>
      <c r="AP19" s="444">
        <f t="shared" si="59"/>
        <v>0</v>
      </c>
      <c r="AQ19" s="412">
        <f>IF(MID(Бланк!L25,1,1)="3",3,IF(MID(Бланк!L25,1,1)="2",2,1))</f>
        <v>1</v>
      </c>
      <c r="AR19" s="60">
        <f>IF(ISERROR(VALUE(MID(Бланк!M25,3,LEN(Бланк!M25)-SEARCH("x",Бланк!M25)))),0,VALUE(MID(Бланк!M25,3,LEN(Бланк!M25)-SEARCH("x",Бланк!M25))))</f>
        <v>0</v>
      </c>
      <c r="AS19" s="60">
        <f>Бланк!N25</f>
        <v>0</v>
      </c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552"/>
      <c r="BM19" s="552"/>
      <c r="BN19" s="552"/>
      <c r="BO19" s="552"/>
      <c r="BP19" s="552"/>
      <c r="BQ19" s="552"/>
      <c r="BR19" s="552"/>
      <c r="BS19" s="552"/>
      <c r="BT19" s="552"/>
      <c r="BU19" s="552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157" t="s">
        <v>164</v>
      </c>
      <c r="CJ19" s="890">
        <f>IF(OR($G19=0,$B19="NSX"),0,ROUNDDOWN(($A$68-SUM(CL$6:CL18))/$G19,0))</f>
        <v>0</v>
      </c>
      <c r="CK19" s="892">
        <f t="shared" si="13"/>
        <v>0</v>
      </c>
      <c r="CL19" s="890">
        <f t="shared" si="60"/>
        <v>0</v>
      </c>
      <c r="CM19" s="890">
        <f>IF(OR($G19=0,$B19="NSX"),0,ROUNDDOWN(($A$68-SUM(CO$6:CO18))/$G19,0))</f>
        <v>0</v>
      </c>
      <c r="CN19" s="890">
        <f>IF(CM19&gt;=$F19-SUMIF($CK$5:CK$5,"Кол-во",$CK19:CK19),$F19-SUMIF($CK$5:CK$5,"Кол-во",$CK19:CK19),CM19)</f>
        <v>0</v>
      </c>
      <c r="CO19" s="890">
        <f t="shared" si="61"/>
        <v>0</v>
      </c>
      <c r="CP19" s="890">
        <f>IF(OR($G19=0,$B19="NSX"),0,ROUNDDOWN(($A$68-SUM(CR$6:CR18))/$G19,0))</f>
        <v>0</v>
      </c>
      <c r="CQ19" s="890">
        <f>IF(CP19&gt;=$F19-SUMIF($CK$5:CN$5,"Кол-во",$CK19:CN19),$F19-SUMIF($CK$5:CN$5,"Кол-во",$CK19:CN19),CP19)</f>
        <v>0</v>
      </c>
      <c r="CR19" s="890">
        <f t="shared" si="62"/>
        <v>0</v>
      </c>
      <c r="CS19" s="890">
        <f>IF(OR($G19=0,$B19="NSX"),0,ROUNDDOWN(($A$68-SUM(CU$6:CU18))/$G19,0))</f>
        <v>0</v>
      </c>
      <c r="CT19" s="890">
        <f>IF(CS19&gt;=$F19-SUMIF($CK$5:CQ$5,"Кол-во",$CK19:CQ19),$F19-SUMIF($CK$5:CQ$5,"Кол-во",$CK19:CQ19),CS19)</f>
        <v>0</v>
      </c>
      <c r="CU19" s="890">
        <f t="shared" si="63"/>
        <v>0</v>
      </c>
      <c r="CV19" s="890">
        <f>IF(OR($G19=0,$B19="NSX"),0,ROUNDDOWN(($A$68-SUM(CX$6:CX18))/$G19,0))</f>
        <v>0</v>
      </c>
      <c r="CW19" s="890">
        <f>IF(CV19&gt;=$F19-SUMIF($CK$5:CT$5,"Кол-во",$CK19:CT19),$F19-SUMIF($CK$5:CT$5,"Кол-во",$CK19:CT19),CV19)</f>
        <v>0</v>
      </c>
      <c r="CX19" s="890">
        <f t="shared" si="64"/>
        <v>0</v>
      </c>
      <c r="CY19" s="890">
        <f>IF(OR($G19=0,$B19="NSX"),0,ROUNDDOWN(($A$68-SUM(DA$6:DA18))/$G19,0))</f>
        <v>0</v>
      </c>
      <c r="CZ19" s="890">
        <f>IF(CY19&gt;=$F19-SUMIF($CK$5:CW$5,"Кол-во",$CK19:CW19),$F19-SUMIF($CK$5:CW$5,"Кол-во",$CK19:CW19),CY19)</f>
        <v>0</v>
      </c>
      <c r="DA19" s="890">
        <f t="shared" si="65"/>
        <v>0</v>
      </c>
      <c r="DB19" s="890">
        <f>IF(OR($G19=0,$B19="NSX"),0,ROUNDDOWN(($A$68-SUM(DD$6:DD18))/$G19,0))</f>
        <v>0</v>
      </c>
      <c r="DC19" s="890">
        <f>IF(DB19&gt;=$F19-SUMIF($CK$5:CZ$5,"Кол-во",$CK19:CZ19),$F19-SUMIF($CK$5:CZ$5,"Кол-во",$CK19:CZ19),DB19)</f>
        <v>0</v>
      </c>
      <c r="DD19" s="890">
        <f t="shared" si="66"/>
        <v>0</v>
      </c>
      <c r="DE19" s="890">
        <f>IF(OR($G19=0,$B19="NSX"),0,ROUNDDOWN(($A$68-SUM(DG$6:DG18))/$G19,0))</f>
        <v>0</v>
      </c>
      <c r="DF19" s="890">
        <f>IF(DE19&gt;=$F19-SUMIF($CK$5:DC$5,"Кол-во",$CK19:DC19),$F19-SUMIF($CK$5:DC$5,"Кол-во",$CK19:DC19),DE19)</f>
        <v>0</v>
      </c>
      <c r="DG19" s="890">
        <f t="shared" si="67"/>
        <v>0</v>
      </c>
      <c r="DH19" s="890">
        <f>IF(OR($G19=0,$B19="NSX"),0,ROUNDDOWN(($A$68-SUM(DJ$6:DJ18))/$G19,0))</f>
        <v>0</v>
      </c>
      <c r="DI19" s="890">
        <f>IF(DH19&gt;=$F19-SUMIF($CK$5:DF$5,"Кол-во",$CK19:DF19),$F19-SUMIF($CK$5:DF$5,"Кол-во",$CK19:DF19),DH19)</f>
        <v>0</v>
      </c>
      <c r="DJ19" s="890">
        <f t="shared" si="68"/>
        <v>0</v>
      </c>
      <c r="DK19" s="890">
        <f>IF(OR($G19=0,$B19="NSX"),0,ROUNDDOWN(($A$68-SUM(DM$6:DM18))/$G19,0))</f>
        <v>0</v>
      </c>
      <c r="DL19" s="890">
        <f>IF(DK19&gt;=$F19-SUMIF($CK$5:DI$5,"Кол-во",$CK19:DI19),$F19-SUMIF($CK$5:DI$5,"Кол-во",$CK19:DI19),DK19)</f>
        <v>0</v>
      </c>
      <c r="DM19" s="890">
        <f t="shared" si="69"/>
        <v>0</v>
      </c>
      <c r="DS19" s="358"/>
      <c r="DT19" s="358"/>
      <c r="DU19" s="358"/>
      <c r="DV19" s="358"/>
      <c r="DW19" s="358"/>
      <c r="DX19" s="352" t="str">
        <f t="shared" si="15"/>
        <v>IT1</v>
      </c>
      <c r="DY19" s="569" t="s">
        <v>151</v>
      </c>
      <c r="DZ19" s="569">
        <v>1</v>
      </c>
      <c r="EA19" s="569">
        <v>3</v>
      </c>
      <c r="EC19" s="559">
        <v>32</v>
      </c>
      <c r="ED19" s="559">
        <v>1</v>
      </c>
      <c r="EE19" s="352">
        <v>6</v>
      </c>
      <c r="EF19" s="560"/>
      <c r="EG19" s="20"/>
      <c r="EH19" s="32"/>
      <c r="EI19" s="21" t="s">
        <v>165</v>
      </c>
      <c r="EJ19" s="35">
        <f>Бланк!$O$26</f>
        <v>0</v>
      </c>
      <c r="EK19" s="296">
        <f>IFERROR(VALUE(MID(Бланк!$L26,1,1)),1)*EJ19</f>
        <v>0</v>
      </c>
      <c r="EL19" s="21" t="str">
        <f>IF(EJ19=EK19,MID(Бланк!$L26,1,100),MID(Бланк!$L26,3,100))</f>
        <v/>
      </c>
      <c r="EM19" s="21">
        <f>Бланк!$M26</f>
        <v>0</v>
      </c>
      <c r="EN19" s="354">
        <f>_xlfn.IFNA(VLOOKUP(Бланк!$K$3&amp;Габариты!$C20,$DX:$EA,4,FALSE)&amp;"x"&amp;VLOOKUP(Проверки!$D18,$EC:$EE,3,FALSE),0)</f>
        <v>0</v>
      </c>
      <c r="EO19" s="354">
        <f t="shared" si="16"/>
        <v>0</v>
      </c>
      <c r="EP19" s="4">
        <f>Бланк!$N26</f>
        <v>0</v>
      </c>
      <c r="EQ19" s="559">
        <f>_xlfn.IFNA(VLOOKUP(EL19&amp;" "&amp;EO19,'Список кабелей'!$I:$J,2,FALSE),0)</f>
        <v>0</v>
      </c>
      <c r="ER19" s="559">
        <f>IF(OR(EL19="-",EO19="-",EP19="-",Проверки!$D18=""),0,VLOOKUP(EO19,'Список кабелей'!$D:$J,7,FALSE))</f>
        <v>0</v>
      </c>
      <c r="ES19" s="559">
        <f t="shared" si="17"/>
        <v>0</v>
      </c>
      <c r="ET19" s="354">
        <f>EK19*_xlfn.IFNA(VLOOKUP(Проверки!$D18,$EC:$EE,2,FALSE),0)</f>
        <v>0</v>
      </c>
      <c r="EU19" s="44">
        <f t="shared" si="18"/>
        <v>0</v>
      </c>
      <c r="EV19" s="56">
        <f t="shared" si="19"/>
        <v>0</v>
      </c>
      <c r="EW19" s="55">
        <f t="shared" si="20"/>
        <v>0</v>
      </c>
      <c r="EX19" s="24">
        <f t="shared" si="0"/>
        <v>0</v>
      </c>
      <c r="EY19" s="24">
        <f t="shared" si="0"/>
        <v>0</v>
      </c>
      <c r="EZ19" s="24">
        <f t="shared" si="0"/>
        <v>0</v>
      </c>
      <c r="FA19" s="24">
        <f t="shared" si="0"/>
        <v>0</v>
      </c>
      <c r="FB19" s="24">
        <f t="shared" si="0"/>
        <v>0</v>
      </c>
      <c r="FC19" s="24">
        <f t="shared" si="0"/>
        <v>0</v>
      </c>
      <c r="FD19" s="24">
        <f t="shared" si="0"/>
        <v>0</v>
      </c>
      <c r="FE19" s="46">
        <f t="shared" si="0"/>
        <v>0</v>
      </c>
      <c r="FF19" s="561"/>
      <c r="FG19" s="586"/>
      <c r="FH19" s="163" t="s">
        <v>234</v>
      </c>
      <c r="FI19" s="1221" t="s">
        <v>524</v>
      </c>
      <c r="FJ19" s="967">
        <f t="shared" ref="FJ19:FR21" si="90">ROUNDDOWN((MID($FH19,1,3)-70)/FJ$2,0)</f>
        <v>1</v>
      </c>
      <c r="FK19" s="776">
        <f t="shared" si="90"/>
        <v>1</v>
      </c>
      <c r="FL19" s="968">
        <f t="shared" si="90"/>
        <v>1</v>
      </c>
      <c r="FM19" s="969">
        <f t="shared" si="90"/>
        <v>1</v>
      </c>
      <c r="FN19" s="776">
        <f t="shared" si="90"/>
        <v>1</v>
      </c>
      <c r="FO19" s="968">
        <f t="shared" si="90"/>
        <v>2</v>
      </c>
      <c r="FP19" s="968">
        <f t="shared" si="90"/>
        <v>2</v>
      </c>
      <c r="FQ19" s="968">
        <f t="shared" si="90"/>
        <v>3</v>
      </c>
      <c r="FR19" s="970">
        <f t="shared" si="90"/>
        <v>3</v>
      </c>
      <c r="FS19" s="1302">
        <f>$EG$5-100</f>
        <v>300</v>
      </c>
      <c r="FT19" s="180"/>
      <c r="FU19" s="181"/>
      <c r="FV19" s="9"/>
      <c r="GA19" s="785" t="s">
        <v>166</v>
      </c>
      <c r="GB19" s="785">
        <f>Бланк!C27</f>
        <v>0</v>
      </c>
      <c r="GC19" s="785">
        <f>Бланк!D27</f>
        <v>0</v>
      </c>
      <c r="GD19" s="786">
        <f t="shared" si="2"/>
        <v>26</v>
      </c>
      <c r="GE19" s="786" t="b">
        <f t="shared" si="22"/>
        <v>0</v>
      </c>
      <c r="GF19" s="786">
        <f>GD19*GE19</f>
        <v>0</v>
      </c>
      <c r="GG19" s="785">
        <v>15</v>
      </c>
      <c r="GI19" s="1014">
        <f t="shared" si="24"/>
        <v>0</v>
      </c>
      <c r="GJ19" s="1018">
        <f t="shared" ca="1" si="25"/>
        <v>17</v>
      </c>
      <c r="GL19" s="786">
        <v>16</v>
      </c>
      <c r="GM19" s="786">
        <v>15</v>
      </c>
      <c r="GO19" s="746">
        <v>5</v>
      </c>
      <c r="GP19" s="280">
        <f ca="1">SUMIFS(D!BY$85:BY$104,D!$BR$85:$BR$104,$GO19)</f>
        <v>0</v>
      </c>
      <c r="GQ19" s="757">
        <f ca="1">SUMIFS(D!BZ$85:BZ$99,D!$BR$85:$BR$99,$GO19)</f>
        <v>0</v>
      </c>
      <c r="GR19" s="758">
        <f ca="1">SUMIFS(D!CA$85:CA$99,D!$BR$85:$BR$99,$GO19)</f>
        <v>0</v>
      </c>
      <c r="GS19" s="280">
        <f>SUMIFS(D!BY$85:BY$99,D!$BP$85:$BP$99,TRUE,D!$BR$85:$BR$99,Габариты!$GO19)</f>
        <v>0</v>
      </c>
      <c r="GT19" s="757">
        <f>SUMIFS(D!BZ$85:BZ$99,D!$BP$85:$BP$99,TRUE,D!$BR$85:$BR$99,Габариты!$GO19)</f>
        <v>0</v>
      </c>
      <c r="GU19" s="758">
        <f>SUMIFS(D!CA$85:CA$99,D!$BP$85:$BP$99,TRUE,D!$BR$85:$BR$99,Габариты!$GO19)</f>
        <v>0</v>
      </c>
      <c r="GW19" s="757">
        <f ca="1">SUM(HB$5:HB18)-SUM(HC$5:HC18)</f>
        <v>24</v>
      </c>
      <c r="GX19" s="757">
        <f t="shared" ca="1" si="71"/>
        <v>4</v>
      </c>
      <c r="GY19" s="753">
        <f t="shared" ca="1" si="26"/>
        <v>0</v>
      </c>
      <c r="GZ19" s="280">
        <f t="shared" ca="1" si="27"/>
        <v>0</v>
      </c>
      <c r="HA19" s="758">
        <f t="shared" ca="1" si="28"/>
        <v>0</v>
      </c>
      <c r="HB19" s="280">
        <f t="shared" ca="1" si="29"/>
        <v>0</v>
      </c>
      <c r="HC19" s="753">
        <f t="shared" ca="1" si="30"/>
        <v>0</v>
      </c>
      <c r="HD19" s="802" t="b">
        <f t="shared" ca="1" si="3"/>
        <v>0</v>
      </c>
      <c r="HE19" s="802" t="b">
        <f t="shared" ca="1" si="4"/>
        <v>0</v>
      </c>
      <c r="HF19" s="754" t="b">
        <f t="shared" ca="1" si="31"/>
        <v>0</v>
      </c>
      <c r="HH19" s="757">
        <f ca="1">SUM(HM$5:HM18)-SUM(HN$5:HN18)</f>
        <v>0</v>
      </c>
      <c r="HI19" s="757">
        <f t="shared" ca="1" si="72"/>
        <v>0</v>
      </c>
      <c r="HJ19" s="753">
        <f t="shared" ca="1" si="73"/>
        <v>0</v>
      </c>
      <c r="HK19" s="280">
        <f t="shared" ca="1" si="80"/>
        <v>0</v>
      </c>
      <c r="HL19" s="758">
        <f t="shared" ca="1" si="81"/>
        <v>0</v>
      </c>
      <c r="HM19" s="280">
        <f t="shared" ca="1" si="32"/>
        <v>0</v>
      </c>
      <c r="HN19" s="753">
        <f t="shared" ca="1" si="33"/>
        <v>0</v>
      </c>
      <c r="HO19" s="802" t="b">
        <f t="shared" ca="1" si="7"/>
        <v>0</v>
      </c>
      <c r="HP19" s="802" t="b">
        <f t="shared" ca="1" si="8"/>
        <v>0</v>
      </c>
      <c r="HQ19" s="754" t="b">
        <f t="shared" ca="1" si="34"/>
        <v>0</v>
      </c>
      <c r="HS19" s="757">
        <f ca="1">SUM($HB$5:$HB18)-SUM($HC$5:$HC18)</f>
        <v>24</v>
      </c>
      <c r="HT19" s="757">
        <f t="shared" ca="1" si="74"/>
        <v>4</v>
      </c>
      <c r="HU19" s="753">
        <f t="shared" ca="1" si="35"/>
        <v>0</v>
      </c>
      <c r="HV19" s="280">
        <f t="shared" ca="1" si="36"/>
        <v>0</v>
      </c>
      <c r="HW19" s="758">
        <f t="shared" ca="1" si="37"/>
        <v>0</v>
      </c>
      <c r="HX19" s="280">
        <f t="shared" ca="1" si="38"/>
        <v>0</v>
      </c>
      <c r="HY19" s="753">
        <f t="shared" ca="1" si="39"/>
        <v>0</v>
      </c>
      <c r="HZ19" s="802" t="b">
        <f t="shared" ca="1" si="9"/>
        <v>0</v>
      </c>
      <c r="IA19" s="802" t="b">
        <f t="shared" ca="1" si="10"/>
        <v>0</v>
      </c>
      <c r="IB19" s="754" t="b">
        <f t="shared" ca="1" si="40"/>
        <v>0</v>
      </c>
      <c r="IC19" s="777"/>
      <c r="ID19" s="886">
        <f ca="1">SUM(Бланк!C66:C68)*ID15*ID17</f>
        <v>7.92</v>
      </c>
    </row>
    <row r="20" spans="1:242" x14ac:dyDescent="0.2">
      <c r="A20" s="65" t="s">
        <v>165</v>
      </c>
      <c r="B20" s="141" t="str">
        <f>MID(Бланк!B26,1,3)</f>
        <v/>
      </c>
      <c r="C20" s="149">
        <f>IF(ISBLANK(Бланк!$C26),0,MID(Бланк!$C26,1,1))</f>
        <v>0</v>
      </c>
      <c r="D20" s="60">
        <f>Бланк!D26</f>
        <v>0</v>
      </c>
      <c r="E20" s="267" t="b">
        <f>AND(MID(Бланк!$H26,1,3)&lt;&gt;"-",MID(Бланк!$H26,1,3)&lt;&gt;"")</f>
        <v>0</v>
      </c>
      <c r="F20" s="149">
        <f>Бланк!$O26</f>
        <v>0</v>
      </c>
      <c r="G20" s="60">
        <f>IF($F20&gt;0,SUMPRODUCT($I$5:$AP$5,$I20:$AP20)/$F20,0)</f>
        <v>0</v>
      </c>
      <c r="H20" s="143">
        <f t="shared" si="12"/>
        <v>0</v>
      </c>
      <c r="I20" s="266">
        <f>IF(AND($E20,Проверки!$I18,$D20&lt;=25,$C20="2"),$F20,0)</f>
        <v>0</v>
      </c>
      <c r="J20" s="267">
        <f>IF(AND($E20,Проверки!I18,$D20&lt;=63,$C20="2",I20=0),$F20,0)</f>
        <v>0</v>
      </c>
      <c r="K20" s="267">
        <f>IF(AND($E20,Проверки!$I18,$D20&lt;=25,$C20&gt;="3"),$F20,0)</f>
        <v>0</v>
      </c>
      <c r="L20" s="267">
        <f>IF(AND($E20,Проверки!$I18,$D20&lt;=63,C20&gt;="3",K20=0),$F20,0)</f>
        <v>0</v>
      </c>
      <c r="M20" s="267">
        <f>IF(AND($E20,Проверки!L18,$C20="2"),$F20,0)</f>
        <v>0</v>
      </c>
      <c r="N20" s="267">
        <f>IF(AND($E20,Проверки!$L18,$C20&gt;="3"),$F20,0)</f>
        <v>0</v>
      </c>
      <c r="O20" s="267">
        <f>IF(AND($E20,Проверки!$M18,$C20="2"),1,0)</f>
        <v>0</v>
      </c>
      <c r="P20" s="267">
        <f>IF(AND($E20,Проверки!$M18,$C20&gt;="3",$D20&lt;=63,ISERR(SEARCH("si",Бланк!H26))),1,0)</f>
        <v>0</v>
      </c>
      <c r="Q20" s="267">
        <f>IF(AND($E20,Проверки!$M18,$C20&gt;="3",P20=0),1,0)</f>
        <v>0</v>
      </c>
      <c r="R20" s="267">
        <f>IF(AND(Бланк!I26="+",OR(Проверки!$I18:$L18,Проверки!$O18)),$F20,0)</f>
        <v>0</v>
      </c>
      <c r="S20" s="267">
        <f>IF(AND(Бланк!J26="+",OR(Проверки!$I18:$L18,Проверки!$O18)),$F20,0)</f>
        <v>0</v>
      </c>
      <c r="T20" s="267">
        <f>IF(AND(Бланк!K26="+",OR(Проверки!$I18:$L18,Проверки!$O18)),$F20,0)</f>
        <v>0</v>
      </c>
      <c r="U20" s="267">
        <f>IF(AND(Бланк!I26="+",Проверки!$M18),Бланк!$O26,0)</f>
        <v>0</v>
      </c>
      <c r="V20" s="267">
        <f>IF(AND(Бланк!J26="+",Проверки!$M18),Бланк!$O26,0)</f>
        <v>0</v>
      </c>
      <c r="W20" s="281">
        <f>IF(AND(Бланк!K26="+",Проверки!$M18),Бланк!$O26,0)</f>
        <v>0</v>
      </c>
      <c r="X20" s="414">
        <f t="shared" si="41"/>
        <v>0</v>
      </c>
      <c r="Y20" s="411">
        <f t="shared" si="42"/>
        <v>0</v>
      </c>
      <c r="Z20" s="411">
        <f t="shared" si="43"/>
        <v>0</v>
      </c>
      <c r="AA20" s="276">
        <f t="shared" si="44"/>
        <v>0</v>
      </c>
      <c r="AB20" s="276">
        <f t="shared" si="45"/>
        <v>0</v>
      </c>
      <c r="AC20" s="411">
        <f t="shared" si="46"/>
        <v>0</v>
      </c>
      <c r="AD20" s="411">
        <f t="shared" si="47"/>
        <v>0</v>
      </c>
      <c r="AE20" s="421">
        <f t="shared" si="48"/>
        <v>0</v>
      </c>
      <c r="AF20" s="421">
        <f t="shared" si="49"/>
        <v>0</v>
      </c>
      <c r="AG20" s="276">
        <f t="shared" si="50"/>
        <v>0</v>
      </c>
      <c r="AH20" s="276">
        <f t="shared" si="51"/>
        <v>0</v>
      </c>
      <c r="AI20" s="276">
        <f t="shared" si="52"/>
        <v>0</v>
      </c>
      <c r="AJ20" s="276">
        <f t="shared" si="53"/>
        <v>0</v>
      </c>
      <c r="AK20" s="276">
        <f t="shared" si="54"/>
        <v>0</v>
      </c>
      <c r="AL20" s="281">
        <f t="shared" si="55"/>
        <v>0</v>
      </c>
      <c r="AM20" s="443">
        <f t="shared" si="56"/>
        <v>0</v>
      </c>
      <c r="AN20" s="444">
        <f t="shared" si="57"/>
        <v>0</v>
      </c>
      <c r="AO20" s="443">
        <f t="shared" si="58"/>
        <v>0</v>
      </c>
      <c r="AP20" s="444">
        <f t="shared" si="59"/>
        <v>0</v>
      </c>
      <c r="AQ20" s="412">
        <f>IF(MID(Бланк!L26,1,1)="3",3,IF(MID(Бланк!L26,1,1)="2",2,1))</f>
        <v>1</v>
      </c>
      <c r="AR20" s="60">
        <f>IF(ISERROR(VALUE(MID(Бланк!M26,3,LEN(Бланк!M26)-SEARCH("x",Бланк!M26)))),0,VALUE(MID(Бланк!M26,3,LEN(Бланк!M26)-SEARCH("x",Бланк!M26))))</f>
        <v>0</v>
      </c>
      <c r="AS20" s="60">
        <f>Бланк!N26</f>
        <v>0</v>
      </c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552"/>
      <c r="BM20" s="552"/>
      <c r="BN20" s="552"/>
      <c r="BO20" s="552"/>
      <c r="BP20" s="552"/>
      <c r="BQ20" s="552"/>
      <c r="BR20" s="552"/>
      <c r="BS20" s="552"/>
      <c r="BT20" s="552"/>
      <c r="BU20" s="552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157" t="s">
        <v>165</v>
      </c>
      <c r="CJ20" s="890">
        <f>IF(OR($G20=0,$B20="NSX"),0,ROUNDDOWN(($A$68-SUM(CL$6:CL19))/$G20,0))</f>
        <v>0</v>
      </c>
      <c r="CK20" s="892">
        <f t="shared" si="13"/>
        <v>0</v>
      </c>
      <c r="CL20" s="890">
        <f t="shared" si="60"/>
        <v>0</v>
      </c>
      <c r="CM20" s="890">
        <f>IF(OR($G20=0,$B20="NSX"),0,ROUNDDOWN(($A$68-SUM(CO$6:CO19))/$G20,0))</f>
        <v>0</v>
      </c>
      <c r="CN20" s="890">
        <f>IF(CM20&gt;=$F20-SUMIF($CK$5:CK$5,"Кол-во",$CK20:CK20),$F20-SUMIF($CK$5:CK$5,"Кол-во",$CK20:CK20),CM20)</f>
        <v>0</v>
      </c>
      <c r="CO20" s="890">
        <f t="shared" si="61"/>
        <v>0</v>
      </c>
      <c r="CP20" s="890">
        <f>IF(OR($G20=0,$B20="NSX"),0,ROUNDDOWN(($A$68-SUM(CR$6:CR19))/$G20,0))</f>
        <v>0</v>
      </c>
      <c r="CQ20" s="890">
        <f>IF(CP20&gt;=$F20-SUMIF($CK$5:CN$5,"Кол-во",$CK20:CN20),$F20-SUMIF($CK$5:CN$5,"Кол-во",$CK20:CN20),CP20)</f>
        <v>0</v>
      </c>
      <c r="CR20" s="890">
        <f t="shared" si="62"/>
        <v>0</v>
      </c>
      <c r="CS20" s="890">
        <f>IF(OR($G20=0,$B20="NSX"),0,ROUNDDOWN(($A$68-SUM(CU$6:CU19))/$G20,0))</f>
        <v>0</v>
      </c>
      <c r="CT20" s="890">
        <f>IF(CS20&gt;=$F20-SUMIF($CK$5:CQ$5,"Кол-во",$CK20:CQ20),$F20-SUMIF($CK$5:CQ$5,"Кол-во",$CK20:CQ20),CS20)</f>
        <v>0</v>
      </c>
      <c r="CU20" s="890">
        <f t="shared" si="63"/>
        <v>0</v>
      </c>
      <c r="CV20" s="890">
        <f>IF(OR($G20=0,$B20="NSX"),0,ROUNDDOWN(($A$68-SUM(CX$6:CX19))/$G20,0))</f>
        <v>0</v>
      </c>
      <c r="CW20" s="890">
        <f>IF(CV20&gt;=$F20-SUMIF($CK$5:CT$5,"Кол-во",$CK20:CT20),$F20-SUMIF($CK$5:CT$5,"Кол-во",$CK20:CT20),CV20)</f>
        <v>0</v>
      </c>
      <c r="CX20" s="890">
        <f t="shared" si="64"/>
        <v>0</v>
      </c>
      <c r="CY20" s="890">
        <f>IF(OR($G20=0,$B20="NSX"),0,ROUNDDOWN(($A$68-SUM(DA$6:DA19))/$G20,0))</f>
        <v>0</v>
      </c>
      <c r="CZ20" s="890">
        <f>IF(CY20&gt;=$F20-SUMIF($CK$5:CW$5,"Кол-во",$CK20:CW20),$F20-SUMIF($CK$5:CW$5,"Кол-во",$CK20:CW20),CY20)</f>
        <v>0</v>
      </c>
      <c r="DA20" s="890">
        <f t="shared" si="65"/>
        <v>0</v>
      </c>
      <c r="DB20" s="890">
        <f>IF(OR($G20=0,$B20="NSX"),0,ROUNDDOWN(($A$68-SUM(DD$6:DD19))/$G20,0))</f>
        <v>0</v>
      </c>
      <c r="DC20" s="890">
        <f>IF(DB20&gt;=$F20-SUMIF($CK$5:CZ$5,"Кол-во",$CK20:CZ20),$F20-SUMIF($CK$5:CZ$5,"Кол-во",$CK20:CZ20),DB20)</f>
        <v>0</v>
      </c>
      <c r="DD20" s="890">
        <f t="shared" si="66"/>
        <v>0</v>
      </c>
      <c r="DE20" s="890">
        <f>IF(OR($G20=0,$B20="NSX"),0,ROUNDDOWN(($A$68-SUM(DG$6:DG19))/$G20,0))</f>
        <v>0</v>
      </c>
      <c r="DF20" s="890">
        <f>IF(DE20&gt;=$F20-SUMIF($CK$5:DC$5,"Кол-во",$CK20:DC20),$F20-SUMIF($CK$5:DC$5,"Кол-во",$CK20:DC20),DE20)</f>
        <v>0</v>
      </c>
      <c r="DG20" s="890">
        <f t="shared" si="67"/>
        <v>0</v>
      </c>
      <c r="DH20" s="890">
        <f>IF(OR($G20=0,$B20="NSX"),0,ROUNDDOWN(($A$68-SUM(DJ$6:DJ19))/$G20,0))</f>
        <v>0</v>
      </c>
      <c r="DI20" s="890">
        <f>IF(DH20&gt;=$F20-SUMIF($CK$5:DF$5,"Кол-во",$CK20:DF20),$F20-SUMIF($CK$5:DF$5,"Кол-во",$CK20:DF20),DH20)</f>
        <v>0</v>
      </c>
      <c r="DJ20" s="890">
        <f t="shared" si="68"/>
        <v>0</v>
      </c>
      <c r="DK20" s="890">
        <f>IF(OR($G20=0,$B20="NSX"),0,ROUNDDOWN(($A$68-SUM(DM$6:DM19))/$G20,0))</f>
        <v>0</v>
      </c>
      <c r="DL20" s="890">
        <f>IF(DK20&gt;=$F20-SUMIF($CK$5:DI$5,"Кол-во",$CK20:DI20),$F20-SUMIF($CK$5:DI$5,"Кол-во",$CK20:DI20),DK20)</f>
        <v>0</v>
      </c>
      <c r="DM20" s="890">
        <f t="shared" si="69"/>
        <v>0</v>
      </c>
      <c r="DS20" s="358"/>
      <c r="DT20" s="358"/>
      <c r="DU20" s="358"/>
      <c r="DV20" s="358"/>
      <c r="DW20" s="358"/>
      <c r="DX20" s="352" t="str">
        <f t="shared" si="15"/>
        <v>IT2</v>
      </c>
      <c r="DY20" s="569" t="s">
        <v>151</v>
      </c>
      <c r="DZ20" s="569">
        <v>2</v>
      </c>
      <c r="EA20" s="569">
        <v>3</v>
      </c>
      <c r="EC20" s="559">
        <v>40</v>
      </c>
      <c r="ED20" s="559">
        <v>1</v>
      </c>
      <c r="EE20" s="352">
        <v>10</v>
      </c>
      <c r="EF20" s="560"/>
      <c r="EG20" s="55"/>
      <c r="EH20" s="24"/>
      <c r="EI20" s="21" t="s">
        <v>166</v>
      </c>
      <c r="EJ20" s="21">
        <f>Бланк!$O$27</f>
        <v>0</v>
      </c>
      <c r="EK20" s="296">
        <f>IFERROR(VALUE(MID(Бланк!$L27,1,1)),1)*EJ20</f>
        <v>0</v>
      </c>
      <c r="EL20" s="21" t="str">
        <f>IF(EJ20=EK20,MID(Бланк!$L27,1,100),MID(Бланк!$L27,3,100))</f>
        <v/>
      </c>
      <c r="EM20" s="21">
        <f>Бланк!$M27</f>
        <v>0</v>
      </c>
      <c r="EN20" s="354">
        <f>_xlfn.IFNA(VLOOKUP(Бланк!$K$3&amp;Габариты!$C21,$DX:$EA,4,FALSE)&amp;"x"&amp;VLOOKUP(Проверки!$D19,$EC:$EE,3,FALSE),0)</f>
        <v>0</v>
      </c>
      <c r="EO20" s="354">
        <f t="shared" si="16"/>
        <v>0</v>
      </c>
      <c r="EP20" s="1030">
        <f>Бланк!$N27</f>
        <v>0</v>
      </c>
      <c r="EQ20" s="1025">
        <f>_xlfn.IFNA(VLOOKUP(EL20&amp;" "&amp;EO20,'Список кабелей'!$I:$J,2,FALSE),0)</f>
        <v>0</v>
      </c>
      <c r="ER20" s="1025">
        <f>IF(OR(EL20="-",EO20="-",EP20="-",Проверки!$D19=""),0,VLOOKUP(EO20,'Список кабелей'!$D:$J,7,FALSE))</f>
        <v>0</v>
      </c>
      <c r="ES20" s="1025">
        <f t="shared" si="17"/>
        <v>0</v>
      </c>
      <c r="ET20" s="354">
        <f>EK20*_xlfn.IFNA(VLOOKUP(Проверки!$D19,$EC:$EE,2,FALSE),0)</f>
        <v>0</v>
      </c>
      <c r="EU20" s="44">
        <f t="shared" si="18"/>
        <v>0</v>
      </c>
      <c r="EV20" s="56">
        <f t="shared" si="19"/>
        <v>0</v>
      </c>
      <c r="EW20" s="29">
        <f t="shared" si="20"/>
        <v>0</v>
      </c>
      <c r="EX20" s="1030">
        <f t="shared" si="0"/>
        <v>0</v>
      </c>
      <c r="EY20" s="1030">
        <f t="shared" si="0"/>
        <v>0</v>
      </c>
      <c r="EZ20" s="1030">
        <f t="shared" si="0"/>
        <v>0</v>
      </c>
      <c r="FA20" s="1030">
        <f t="shared" si="0"/>
        <v>0</v>
      </c>
      <c r="FB20" s="1030">
        <f t="shared" si="0"/>
        <v>0</v>
      </c>
      <c r="FC20" s="1030">
        <f t="shared" si="0"/>
        <v>0</v>
      </c>
      <c r="FD20" s="1030">
        <f t="shared" si="0"/>
        <v>0</v>
      </c>
      <c r="FE20" s="52">
        <f t="shared" si="0"/>
        <v>0</v>
      </c>
      <c r="FF20" s="561"/>
      <c r="FG20" s="587"/>
      <c r="FH20" s="161" t="s">
        <v>235</v>
      </c>
      <c r="FI20" s="1222"/>
      <c r="FJ20" s="967">
        <f t="shared" si="90"/>
        <v>1</v>
      </c>
      <c r="FK20" s="971">
        <f t="shared" si="90"/>
        <v>2</v>
      </c>
      <c r="FL20" s="971">
        <f t="shared" si="90"/>
        <v>2</v>
      </c>
      <c r="FM20" s="971">
        <f t="shared" si="90"/>
        <v>3</v>
      </c>
      <c r="FN20" s="971">
        <f t="shared" si="90"/>
        <v>3</v>
      </c>
      <c r="FO20" s="971">
        <f t="shared" si="90"/>
        <v>4</v>
      </c>
      <c r="FP20" s="971">
        <f t="shared" si="90"/>
        <v>5</v>
      </c>
      <c r="FQ20" s="971">
        <f t="shared" si="90"/>
        <v>6</v>
      </c>
      <c r="FR20" s="972">
        <f t="shared" si="90"/>
        <v>6</v>
      </c>
      <c r="FS20" s="1302"/>
      <c r="FT20" s="178"/>
      <c r="FU20" s="179"/>
      <c r="FV20" s="9"/>
      <c r="GA20" s="1014" t="s">
        <v>1305</v>
      </c>
      <c r="GB20" s="1014">
        <f>Бланк!C28</f>
        <v>0</v>
      </c>
      <c r="GC20" s="1014">
        <f>Бланк!D28</f>
        <v>0</v>
      </c>
      <c r="GD20" s="1018">
        <f t="shared" ref="GD20:GD24" si="91">VLOOKUP(GC20,GL$5:GM$30,2,FALSE)</f>
        <v>26</v>
      </c>
      <c r="GE20" s="1018" t="b">
        <f t="shared" ref="GE20:GE24" si="92">NOT(ISERR(SEARCH("пофазно",GB20)))</f>
        <v>0</v>
      </c>
      <c r="GF20" s="1018">
        <f t="shared" ref="GF20:GF24" si="93">GD20*GE20</f>
        <v>0</v>
      </c>
      <c r="GG20" s="1014">
        <v>16</v>
      </c>
      <c r="GI20" s="1014">
        <f t="shared" si="24"/>
        <v>0</v>
      </c>
      <c r="GJ20" s="1018">
        <f t="shared" ca="1" si="25"/>
        <v>18</v>
      </c>
      <c r="GL20" s="786">
        <v>15</v>
      </c>
      <c r="GM20" s="786">
        <v>16</v>
      </c>
      <c r="GO20" s="746">
        <v>4</v>
      </c>
      <c r="GP20" s="280">
        <f ca="1">SUMIFS(D!BY$85:BY$104,D!$BR$85:$BR$104,$GO20)</f>
        <v>0</v>
      </c>
      <c r="GQ20" s="757">
        <f ca="1">SUMIFS(D!BZ$85:BZ$99,D!$BR$85:$BR$99,$GO20)</f>
        <v>0</v>
      </c>
      <c r="GR20" s="758">
        <f ca="1">SUMIFS(D!CA$85:CA$99,D!$BR$85:$BR$99,$GO20)</f>
        <v>0</v>
      </c>
      <c r="GS20" s="280">
        <f>SUMIFS(D!BY$85:BY$99,D!$BP$85:$BP$99,TRUE,D!$BR$85:$BR$99,Габариты!$GO20)</f>
        <v>0</v>
      </c>
      <c r="GT20" s="757">
        <f>SUMIFS(D!BZ$85:BZ$99,D!$BP$85:$BP$99,TRUE,D!$BR$85:$BR$99,Габариты!$GO20)</f>
        <v>0</v>
      </c>
      <c r="GU20" s="758">
        <f>SUMIFS(D!CA$85:CA$99,D!$BP$85:$BP$99,TRUE,D!$BR$85:$BR$99,Габариты!$GO20)</f>
        <v>0</v>
      </c>
      <c r="GW20" s="757">
        <f ca="1">SUM(HB$5:HB19)-SUM(HC$5:HC19)</f>
        <v>24</v>
      </c>
      <c r="GX20" s="757">
        <f t="shared" ca="1" si="71"/>
        <v>6</v>
      </c>
      <c r="GY20" s="753">
        <f t="shared" ca="1" si="26"/>
        <v>0</v>
      </c>
      <c r="GZ20" s="280">
        <f t="shared" ca="1" si="27"/>
        <v>0</v>
      </c>
      <c r="HA20" s="758">
        <f t="shared" ca="1" si="28"/>
        <v>0</v>
      </c>
      <c r="HB20" s="280">
        <f t="shared" ca="1" si="29"/>
        <v>0</v>
      </c>
      <c r="HC20" s="753">
        <f t="shared" ca="1" si="30"/>
        <v>0</v>
      </c>
      <c r="HD20" s="802" t="b">
        <f t="shared" ca="1" si="3"/>
        <v>0</v>
      </c>
      <c r="HE20" s="802" t="b">
        <f t="shared" ca="1" si="4"/>
        <v>0</v>
      </c>
      <c r="HF20" s="754" t="b">
        <f t="shared" ca="1" si="31"/>
        <v>0</v>
      </c>
      <c r="HH20" s="757">
        <f ca="1">SUM(HM$5:HM19)-SUM(HN$5:HN19)</f>
        <v>0</v>
      </c>
      <c r="HI20" s="757">
        <f t="shared" ca="1" si="72"/>
        <v>0</v>
      </c>
      <c r="HJ20" s="753">
        <f t="shared" ca="1" si="73"/>
        <v>0</v>
      </c>
      <c r="HK20" s="280">
        <f t="shared" ca="1" si="80"/>
        <v>0</v>
      </c>
      <c r="HL20" s="758">
        <f t="shared" ca="1" si="81"/>
        <v>0</v>
      </c>
      <c r="HM20" s="280">
        <f t="shared" ca="1" si="32"/>
        <v>0</v>
      </c>
      <c r="HN20" s="753">
        <f t="shared" ca="1" si="33"/>
        <v>0</v>
      </c>
      <c r="HO20" s="802" t="b">
        <f t="shared" ca="1" si="7"/>
        <v>0</v>
      </c>
      <c r="HP20" s="802" t="b">
        <f t="shared" ca="1" si="8"/>
        <v>0</v>
      </c>
      <c r="HQ20" s="754" t="b">
        <f t="shared" ca="1" si="34"/>
        <v>0</v>
      </c>
      <c r="HS20" s="757">
        <f ca="1">SUM($HB$5:$HB19)-SUM($HC$5:$HC19)</f>
        <v>24</v>
      </c>
      <c r="HT20" s="757">
        <f t="shared" ca="1" si="74"/>
        <v>6</v>
      </c>
      <c r="HU20" s="753">
        <f t="shared" ca="1" si="35"/>
        <v>0</v>
      </c>
      <c r="HV20" s="280">
        <f t="shared" ca="1" si="36"/>
        <v>0</v>
      </c>
      <c r="HW20" s="758">
        <f t="shared" ca="1" si="37"/>
        <v>0</v>
      </c>
      <c r="HX20" s="280">
        <f t="shared" ca="1" si="38"/>
        <v>0</v>
      </c>
      <c r="HY20" s="753">
        <f t="shared" ca="1" si="39"/>
        <v>0</v>
      </c>
      <c r="HZ20" s="802" t="b">
        <f t="shared" ca="1" si="9"/>
        <v>0</v>
      </c>
      <c r="IA20" s="802" t="b">
        <f t="shared" ca="1" si="10"/>
        <v>0</v>
      </c>
      <c r="IB20" s="754" t="b">
        <f t="shared" ca="1" si="40"/>
        <v>0</v>
      </c>
      <c r="IC20" s="777"/>
      <c r="ID20" s="61" t="s">
        <v>1099</v>
      </c>
    </row>
    <row r="21" spans="1:242" ht="13.5" thickBot="1" x14ac:dyDescent="0.25">
      <c r="A21" s="1023" t="s">
        <v>166</v>
      </c>
      <c r="B21" s="1012" t="str">
        <f>MID(Бланк!B27,1,3)</f>
        <v/>
      </c>
      <c r="C21" s="149">
        <f>IF(ISBLANK(Бланк!$C27),0,MID(Бланк!$C27,1,1))</f>
        <v>0</v>
      </c>
      <c r="D21" s="1014">
        <f>Бланк!D27</f>
        <v>0</v>
      </c>
      <c r="E21" s="1018" t="b">
        <f>AND(MID(Бланк!$H27,1,3)&lt;&gt;"-",MID(Бланк!$H27,1,3)&lt;&gt;"")</f>
        <v>0</v>
      </c>
      <c r="F21" s="1075">
        <f>Бланк!$O27</f>
        <v>0</v>
      </c>
      <c r="G21" s="1018">
        <f>IF($F21&gt;0,SUMPRODUCT($I$5:$AP$5,$I21:$AP21)/$F21,0)</f>
        <v>0</v>
      </c>
      <c r="H21" s="1020">
        <f>SUMPRODUCT($I$5:$AP$5,I21:AP21)</f>
        <v>0</v>
      </c>
      <c r="I21" s="280">
        <f>IF(AND($E21,Проверки!$I19,$D21&lt;=25,$C21="2"),$F21,0)</f>
        <v>0</v>
      </c>
      <c r="J21" s="1018">
        <f>IF(AND($E21,Проверки!I19,$D21&lt;=63,$C21="2",I21=0),$F21,0)</f>
        <v>0</v>
      </c>
      <c r="K21" s="1018">
        <f>IF(AND($E21,Проверки!$I19,$D21&lt;=25,$C21&gt;="3"),$F21,0)</f>
        <v>0</v>
      </c>
      <c r="L21" s="1018">
        <f>IF(AND($E21,Проверки!$I19,$D21&lt;=63,C21&gt;="3",K21=0),$F21,0)</f>
        <v>0</v>
      </c>
      <c r="M21" s="1018">
        <f>IF(AND($E21,Проверки!L19,$C21="2"),$F21,0)</f>
        <v>0</v>
      </c>
      <c r="N21" s="1018">
        <f>IF(AND($E21,Проверки!$L19,$C21&gt;="3"),$F21,0)</f>
        <v>0</v>
      </c>
      <c r="O21" s="1018">
        <f>IF(AND($E21,Проверки!$M19,$C21="2"),1,0)</f>
        <v>0</v>
      </c>
      <c r="P21" s="1018">
        <f>IF(AND($E21,Проверки!$M19,$C21&gt;="3",$D21&lt;=63,ISERR(SEARCH("si",Бланк!H27))),1,0)</f>
        <v>0</v>
      </c>
      <c r="Q21" s="1018">
        <f>IF(AND($E21,Проверки!$M19,$C21&gt;="3",P21=0),1,0)</f>
        <v>0</v>
      </c>
      <c r="R21" s="1018">
        <f>IF(AND(Бланк!I27="+",OR(Проверки!$I19:$L19,Проверки!$O19)),$F21,0)</f>
        <v>0</v>
      </c>
      <c r="S21" s="1018">
        <f>IF(AND(Бланк!J27="+",OR(Проверки!$I19:$L19,Проверки!$O19)),$F21,0)</f>
        <v>0</v>
      </c>
      <c r="T21" s="1018">
        <f>IF(AND(Бланк!K27="+",OR(Проверки!$I19:$L19,Проверки!$O19)),$F21,0)</f>
        <v>0</v>
      </c>
      <c r="U21" s="1018">
        <f>IF(AND(Бланк!I27="+",Проверки!$M19),Бланк!$O27,0)</f>
        <v>0</v>
      </c>
      <c r="V21" s="1018">
        <f>IF(AND(Бланк!J27="+",Проверки!$M19),Бланк!$O27,0)</f>
        <v>0</v>
      </c>
      <c r="W21" s="1020">
        <f>IF(AND(Бланк!K27="+",Проверки!$M19),Бланк!$O27,0)</f>
        <v>0</v>
      </c>
      <c r="X21" s="1016">
        <f t="shared" si="41"/>
        <v>0</v>
      </c>
      <c r="Y21" s="1018">
        <f t="shared" si="42"/>
        <v>0</v>
      </c>
      <c r="Z21" s="1018">
        <f t="shared" si="43"/>
        <v>0</v>
      </c>
      <c r="AA21" s="1018">
        <f t="shared" si="44"/>
        <v>0</v>
      </c>
      <c r="AB21" s="1018">
        <f t="shared" si="45"/>
        <v>0</v>
      </c>
      <c r="AC21" s="1018">
        <f t="shared" si="46"/>
        <v>0</v>
      </c>
      <c r="AD21" s="1018">
        <f t="shared" si="47"/>
        <v>0</v>
      </c>
      <c r="AE21" s="1018">
        <f t="shared" si="48"/>
        <v>0</v>
      </c>
      <c r="AF21" s="1018">
        <f t="shared" si="49"/>
        <v>0</v>
      </c>
      <c r="AG21" s="1018">
        <f t="shared" si="50"/>
        <v>0</v>
      </c>
      <c r="AH21" s="1018">
        <f t="shared" si="51"/>
        <v>0</v>
      </c>
      <c r="AI21" s="1018">
        <f t="shared" si="52"/>
        <v>0</v>
      </c>
      <c r="AJ21" s="1018">
        <f t="shared" si="53"/>
        <v>0</v>
      </c>
      <c r="AK21" s="1018">
        <f t="shared" si="54"/>
        <v>0</v>
      </c>
      <c r="AL21" s="1020">
        <f t="shared" si="55"/>
        <v>0</v>
      </c>
      <c r="AM21" s="280">
        <f t="shared" si="56"/>
        <v>0</v>
      </c>
      <c r="AN21" s="1020">
        <f t="shared" si="57"/>
        <v>0</v>
      </c>
      <c r="AO21" s="1016">
        <f t="shared" si="58"/>
        <v>0</v>
      </c>
      <c r="AP21" s="1020">
        <f t="shared" si="59"/>
        <v>0</v>
      </c>
      <c r="AQ21" s="1013">
        <f>IF(MID(Бланк!L27,1,1)="3",3,IF(MID(Бланк!L27,1,1)="2",2,1))</f>
        <v>1</v>
      </c>
      <c r="AR21" s="1014">
        <f>IF(ISERROR(VALUE(MID(Бланк!M27,3,LEN(Бланк!M27)-SEARCH("x",Бланк!M27)))),0,VALUE(MID(Бланк!M27,3,LEN(Бланк!M27)-SEARCH("x",Бланк!M27))))</f>
        <v>0</v>
      </c>
      <c r="AS21" s="1014">
        <f>Бланк!N27</f>
        <v>0</v>
      </c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552"/>
      <c r="BM21" s="552"/>
      <c r="BN21" s="552"/>
      <c r="BO21" s="552"/>
      <c r="BP21" s="552"/>
      <c r="BQ21" s="552"/>
      <c r="BR21" s="552"/>
      <c r="BS21" s="552"/>
      <c r="BT21" s="552"/>
      <c r="BU21" s="552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157" t="s">
        <v>166</v>
      </c>
      <c r="CJ21" s="890">
        <f>IF(OR($G21=0,$B21="NSX"),0,ROUNDDOWN(($A$68-SUM(CL$6:CL20))/$G21,0))</f>
        <v>0</v>
      </c>
      <c r="CK21" s="892">
        <f t="shared" si="13"/>
        <v>0</v>
      </c>
      <c r="CL21" s="890">
        <f t="shared" si="60"/>
        <v>0</v>
      </c>
      <c r="CM21" s="890">
        <f>IF(OR($G21=0,$B21="NSX"),0,ROUNDDOWN(($A$68-SUM(CO$6:CO20))/$G21,0))</f>
        <v>0</v>
      </c>
      <c r="CN21" s="890">
        <f>IF(CM21&gt;=$F21-SUMIF($CK$5:CK$5,"Кол-во",$CK21:CK21),$F21-SUMIF($CK$5:CK$5,"Кол-во",$CK21:CK21),CM21)</f>
        <v>0</v>
      </c>
      <c r="CO21" s="890">
        <f t="shared" si="61"/>
        <v>0</v>
      </c>
      <c r="CP21" s="890">
        <f>IF(OR($G21=0,$B21="NSX"),0,ROUNDDOWN(($A$68-SUM(CR$6:CR20))/$G21,0))</f>
        <v>0</v>
      </c>
      <c r="CQ21" s="890">
        <f>IF(CP21&gt;=$F21-SUMIF($CK$5:CN$5,"Кол-во",$CK21:CN21),$F21-SUMIF($CK$5:CN$5,"Кол-во",$CK21:CN21),CP21)</f>
        <v>0</v>
      </c>
      <c r="CR21" s="890">
        <f t="shared" si="62"/>
        <v>0</v>
      </c>
      <c r="CS21" s="890">
        <f>IF(OR($G21=0,$B21="NSX"),0,ROUNDDOWN(($A$68-SUM(CU$6:CU20))/$G21,0))</f>
        <v>0</v>
      </c>
      <c r="CT21" s="890">
        <f>IF(CS21&gt;=$F21-SUMIF($CK$5:CQ$5,"Кол-во",$CK21:CQ21),$F21-SUMIF($CK$5:CQ$5,"Кол-во",$CK21:CQ21),CS21)</f>
        <v>0</v>
      </c>
      <c r="CU21" s="890">
        <f t="shared" si="63"/>
        <v>0</v>
      </c>
      <c r="CV21" s="890">
        <f>IF(OR($G21=0,$B21="NSX"),0,ROUNDDOWN(($A$68-SUM(CX$6:CX20))/$G21,0))</f>
        <v>0</v>
      </c>
      <c r="CW21" s="890">
        <f>IF(CV21&gt;=$F21-SUMIF($CK$5:CT$5,"Кол-во",$CK21:CT21),$F21-SUMIF($CK$5:CT$5,"Кол-во",$CK21:CT21),CV21)</f>
        <v>0</v>
      </c>
      <c r="CX21" s="890">
        <f t="shared" si="64"/>
        <v>0</v>
      </c>
      <c r="CY21" s="890">
        <f>IF(OR($G21=0,$B21="NSX"),0,ROUNDDOWN(($A$68-SUM(DA$6:DA20))/$G21,0))</f>
        <v>0</v>
      </c>
      <c r="CZ21" s="890">
        <f>IF(CY21&gt;=$F21-SUMIF($CK$5:CW$5,"Кол-во",$CK21:CW21),$F21-SUMIF($CK$5:CW$5,"Кол-во",$CK21:CW21),CY21)</f>
        <v>0</v>
      </c>
      <c r="DA21" s="890">
        <f t="shared" si="65"/>
        <v>0</v>
      </c>
      <c r="DB21" s="890">
        <f>IF(OR($G21=0,$B21="NSX"),0,ROUNDDOWN(($A$68-SUM(DD$6:DD20))/$G21,0))</f>
        <v>0</v>
      </c>
      <c r="DC21" s="890">
        <f>IF(DB21&gt;=$F21-SUMIF($CK$5:CZ$5,"Кол-во",$CK21:CZ21),$F21-SUMIF($CK$5:CZ$5,"Кол-во",$CK21:CZ21),DB21)</f>
        <v>0</v>
      </c>
      <c r="DD21" s="890">
        <f t="shared" si="66"/>
        <v>0</v>
      </c>
      <c r="DE21" s="890">
        <f>IF(OR($G21=0,$B21="NSX"),0,ROUNDDOWN(($A$68-SUM(DG$6:DG20))/$G21,0))</f>
        <v>0</v>
      </c>
      <c r="DF21" s="890">
        <f>IF(DE21&gt;=$F21-SUMIF($CK$5:DC$5,"Кол-во",$CK21:DC21),$F21-SUMIF($CK$5:DC$5,"Кол-во",$CK21:DC21),DE21)</f>
        <v>0</v>
      </c>
      <c r="DG21" s="890">
        <f t="shared" si="67"/>
        <v>0</v>
      </c>
      <c r="DH21" s="890">
        <f>IF(OR($G21=0,$B21="NSX"),0,ROUNDDOWN(($A$68-SUM(DJ$6:DJ20))/$G21,0))</f>
        <v>0</v>
      </c>
      <c r="DI21" s="890">
        <f>IF(DH21&gt;=$F21-SUMIF($CK$5:DF$5,"Кол-во",$CK21:DF21),$F21-SUMIF($CK$5:DF$5,"Кол-во",$CK21:DF21),DH21)</f>
        <v>0</v>
      </c>
      <c r="DJ21" s="890">
        <f t="shared" si="68"/>
        <v>0</v>
      </c>
      <c r="DK21" s="890">
        <f>IF(OR($G21=0,$B21="NSX"),0,ROUNDDOWN(($A$68-SUM(DM$6:DM20))/$G21,0))</f>
        <v>0</v>
      </c>
      <c r="DL21" s="890">
        <f>IF(DK21&gt;=$F21-SUMIF($CK$5:DI$5,"Кол-во",$CK21:DI21),$F21-SUMIF($CK$5:DI$5,"Кол-во",$CK21:DI21),DK21)</f>
        <v>0</v>
      </c>
      <c r="DM21" s="890">
        <f t="shared" si="69"/>
        <v>0</v>
      </c>
      <c r="DS21" s="358"/>
      <c r="DT21" s="358"/>
      <c r="DU21" s="358"/>
      <c r="DV21" s="358"/>
      <c r="DW21" s="358"/>
      <c r="DX21" s="352" t="str">
        <f t="shared" si="15"/>
        <v>IT3</v>
      </c>
      <c r="DY21" s="569" t="s">
        <v>151</v>
      </c>
      <c r="DZ21" s="569">
        <v>3</v>
      </c>
      <c r="EA21" s="569">
        <v>5</v>
      </c>
      <c r="EC21" s="559">
        <v>50</v>
      </c>
      <c r="ED21" s="559">
        <v>1</v>
      </c>
      <c r="EE21" s="352">
        <v>10</v>
      </c>
      <c r="EF21" s="560"/>
      <c r="EG21" s="29"/>
      <c r="EH21" s="1030"/>
      <c r="EI21" s="21" t="s">
        <v>1305</v>
      </c>
      <c r="EJ21" s="21">
        <f>Бланк!$O$27</f>
        <v>0</v>
      </c>
      <c r="EK21" s="296">
        <f>IFERROR(VALUE(MID(Бланк!$L28,1,1)),1)*EJ21</f>
        <v>0</v>
      </c>
      <c r="EL21" s="21" t="str">
        <f>IF(EJ21=EK21,MID(Бланк!$L28,1,100),MID(Бланк!$L28,3,100))</f>
        <v/>
      </c>
      <c r="EM21" s="21">
        <f>Бланк!$M28</f>
        <v>0</v>
      </c>
      <c r="EN21" s="1026">
        <f>_xlfn.IFNA(VLOOKUP(Бланк!$K$3&amp;Габариты!$C22,$DX:$EA,4,FALSE)&amp;"x"&amp;VLOOKUP(Проверки!$D20,$EC:$EE,3,FALSE),0)</f>
        <v>0</v>
      </c>
      <c r="EO21" s="1026">
        <f t="shared" ref="EO21:EO25" si="94">IF(ISTEXT(EM21),EM21,EN21)</f>
        <v>0</v>
      </c>
      <c r="EP21" s="1030">
        <f>Бланк!$N28</f>
        <v>0</v>
      </c>
      <c r="EQ21" s="1025">
        <f>_xlfn.IFNA(VLOOKUP(EL21&amp;" "&amp;EO21,'Список кабелей'!$I:$J,2,FALSE),0)</f>
        <v>0</v>
      </c>
      <c r="ER21" s="1025">
        <f>IF(OR(EL21="-",EO21="-",EP21="-",Проверки!$D20=""),0,VLOOKUP(EO21,'Список кабелей'!$D:$J,7,FALSE))</f>
        <v>0</v>
      </c>
      <c r="ES21" s="1025">
        <f t="shared" ref="ES21:ES25" si="95">IF(ISTEXT(EQ21),EQ21,ER21)</f>
        <v>0</v>
      </c>
      <c r="ET21" s="1026">
        <f>EK21*_xlfn.IFNA(VLOOKUP(Проверки!$D20,$EC:$EE,2,FALSE),0)</f>
        <v>0</v>
      </c>
      <c r="EU21" s="34">
        <f t="shared" ref="EU21:EU25" si="96">IF(EK21,EK21,ET21)</f>
        <v>0</v>
      </c>
      <c r="EV21" s="30">
        <f t="shared" ref="EV21:EV25" si="97">IF(ER21=0,0,VLOOKUP(ER21,$DO$5:$DP$13,2,0))</f>
        <v>0</v>
      </c>
      <c r="EW21" s="29">
        <f t="shared" si="20"/>
        <v>0</v>
      </c>
      <c r="EX21" s="1030">
        <f t="shared" si="0"/>
        <v>0</v>
      </c>
      <c r="EY21" s="1030">
        <f t="shared" si="0"/>
        <v>0</v>
      </c>
      <c r="EZ21" s="1030">
        <f t="shared" si="0"/>
        <v>0</v>
      </c>
      <c r="FA21" s="1030">
        <f t="shared" si="0"/>
        <v>0</v>
      </c>
      <c r="FB21" s="1030">
        <f t="shared" si="0"/>
        <v>0</v>
      </c>
      <c r="FC21" s="1030">
        <f t="shared" si="0"/>
        <v>0</v>
      </c>
      <c r="FD21" s="1030">
        <f t="shared" si="0"/>
        <v>0</v>
      </c>
      <c r="FE21" s="52">
        <f t="shared" si="0"/>
        <v>0</v>
      </c>
      <c r="FF21" s="561"/>
      <c r="FG21" s="587"/>
      <c r="FH21" s="169" t="s">
        <v>236</v>
      </c>
      <c r="FI21" s="1223"/>
      <c r="FJ21" s="967">
        <f t="shared" si="90"/>
        <v>2</v>
      </c>
      <c r="FK21" s="971">
        <f t="shared" si="90"/>
        <v>3</v>
      </c>
      <c r="FL21" s="971">
        <f t="shared" si="90"/>
        <v>4</v>
      </c>
      <c r="FM21" s="971">
        <f t="shared" si="90"/>
        <v>4</v>
      </c>
      <c r="FN21" s="971">
        <f t="shared" si="90"/>
        <v>4</v>
      </c>
      <c r="FO21" s="971">
        <f t="shared" si="90"/>
        <v>6</v>
      </c>
      <c r="FP21" s="971">
        <f t="shared" si="90"/>
        <v>7</v>
      </c>
      <c r="FQ21" s="971">
        <f t="shared" si="90"/>
        <v>8</v>
      </c>
      <c r="FR21" s="972">
        <f t="shared" si="90"/>
        <v>9</v>
      </c>
      <c r="FS21" s="1303"/>
      <c r="FT21" s="178"/>
      <c r="FU21" s="179"/>
      <c r="FV21" s="9"/>
      <c r="GA21" s="1014" t="s">
        <v>1306</v>
      </c>
      <c r="GB21" s="1014">
        <f>Бланк!C29</f>
        <v>0</v>
      </c>
      <c r="GC21" s="1014">
        <f>Бланк!D29</f>
        <v>0</v>
      </c>
      <c r="GD21" s="1018">
        <f t="shared" si="91"/>
        <v>26</v>
      </c>
      <c r="GE21" s="1018" t="b">
        <f t="shared" si="92"/>
        <v>0</v>
      </c>
      <c r="GF21" s="1018">
        <f t="shared" si="93"/>
        <v>0</v>
      </c>
      <c r="GG21" s="1014">
        <v>17</v>
      </c>
      <c r="GI21" s="1014">
        <f t="shared" si="24"/>
        <v>0</v>
      </c>
      <c r="GJ21" s="1018">
        <f t="shared" ca="1" si="25"/>
        <v>19</v>
      </c>
      <c r="GL21" s="786">
        <v>13</v>
      </c>
      <c r="GM21" s="786">
        <v>17</v>
      </c>
      <c r="GO21" s="746">
        <v>3</v>
      </c>
      <c r="GP21" s="280">
        <f ca="1">SUMIFS(D!BY$85:BY$104,D!$BR$85:$BR$104,$GO21)</f>
        <v>0</v>
      </c>
      <c r="GQ21" s="757">
        <f ca="1">SUMIFS(D!BZ$85:BZ$99,D!$BR$85:$BR$99,$GO21)</f>
        <v>0</v>
      </c>
      <c r="GR21" s="758">
        <f ca="1">SUMIFS(D!CA$85:CA$99,D!$BR$85:$BR$99,$GO21)</f>
        <v>0</v>
      </c>
      <c r="GS21" s="280">
        <f>SUMIFS(D!BY$85:BY$99,D!$BP$85:$BP$99,TRUE,D!$BR$85:$BR$99,Габариты!$GO21)</f>
        <v>0</v>
      </c>
      <c r="GT21" s="757">
        <f>SUMIFS(D!BZ$85:BZ$99,D!$BP$85:$BP$99,TRUE,D!$BR$85:$BR$99,Габариты!$GO21)</f>
        <v>0</v>
      </c>
      <c r="GU21" s="758">
        <f>SUMIFS(D!CA$85:CA$99,D!$BP$85:$BP$99,TRUE,D!$BR$85:$BR$99,Габариты!$GO21)</f>
        <v>0</v>
      </c>
      <c r="GW21" s="757">
        <f ca="1">SUM(HB$5:HB20)-SUM(HC$5:HC20)</f>
        <v>24</v>
      </c>
      <c r="GX21" s="757">
        <f t="shared" ca="1" si="71"/>
        <v>8</v>
      </c>
      <c r="GY21" s="753">
        <f t="shared" ca="1" si="26"/>
        <v>0</v>
      </c>
      <c r="GZ21" s="280">
        <f t="shared" ca="1" si="27"/>
        <v>0</v>
      </c>
      <c r="HA21" s="758">
        <f t="shared" ca="1" si="28"/>
        <v>0</v>
      </c>
      <c r="HB21" s="280">
        <f t="shared" ca="1" si="29"/>
        <v>0</v>
      </c>
      <c r="HC21" s="753">
        <f t="shared" ca="1" si="30"/>
        <v>0</v>
      </c>
      <c r="HD21" s="802" t="b">
        <f t="shared" ca="1" si="3"/>
        <v>0</v>
      </c>
      <c r="HE21" s="802" t="b">
        <f t="shared" ca="1" si="4"/>
        <v>0</v>
      </c>
      <c r="HF21" s="754" t="b">
        <f t="shared" ca="1" si="31"/>
        <v>0</v>
      </c>
      <c r="HH21" s="757">
        <f ca="1">SUM(HM$5:HM20)-SUM(HN$5:HN20)</f>
        <v>0</v>
      </c>
      <c r="HI21" s="757">
        <f t="shared" ca="1" si="72"/>
        <v>0</v>
      </c>
      <c r="HJ21" s="753">
        <f t="shared" ca="1" si="73"/>
        <v>0</v>
      </c>
      <c r="HK21" s="280">
        <f t="shared" ca="1" si="80"/>
        <v>0</v>
      </c>
      <c r="HL21" s="758">
        <f t="shared" ca="1" si="81"/>
        <v>0</v>
      </c>
      <c r="HM21" s="280">
        <f t="shared" ca="1" si="32"/>
        <v>0</v>
      </c>
      <c r="HN21" s="753">
        <f t="shared" ca="1" si="33"/>
        <v>0</v>
      </c>
      <c r="HO21" s="802" t="b">
        <f t="shared" ca="1" si="7"/>
        <v>0</v>
      </c>
      <c r="HP21" s="802" t="b">
        <f t="shared" ca="1" si="8"/>
        <v>0</v>
      </c>
      <c r="HQ21" s="754" t="b">
        <f t="shared" ca="1" si="34"/>
        <v>0</v>
      </c>
      <c r="HS21" s="757">
        <f ca="1">SUM($HB$5:$HB20)-SUM($HC$5:$HC20)</f>
        <v>24</v>
      </c>
      <c r="HT21" s="757">
        <f t="shared" ca="1" si="74"/>
        <v>8</v>
      </c>
      <c r="HU21" s="753">
        <f t="shared" ca="1" si="35"/>
        <v>0</v>
      </c>
      <c r="HV21" s="280">
        <f t="shared" ca="1" si="36"/>
        <v>0</v>
      </c>
      <c r="HW21" s="758">
        <f t="shared" ca="1" si="37"/>
        <v>0</v>
      </c>
      <c r="HX21" s="280">
        <f t="shared" ca="1" si="38"/>
        <v>0</v>
      </c>
      <c r="HY21" s="753">
        <f t="shared" ca="1" si="39"/>
        <v>0</v>
      </c>
      <c r="HZ21" s="802" t="b">
        <f t="shared" ca="1" si="9"/>
        <v>0</v>
      </c>
      <c r="IA21" s="802" t="b">
        <f t="shared" ca="1" si="10"/>
        <v>0</v>
      </c>
      <c r="IB21" s="754" t="b">
        <f t="shared" ca="1" si="40"/>
        <v>0</v>
      </c>
      <c r="IC21" s="777"/>
      <c r="ID21" s="870">
        <f>IF(Проверки!$B$27,ID15+IE15,ID15)*Бланк!$D$11*IF(Габариты!$C$6&gt;=3,3,1)*Бланк!$O$11*ID17</f>
        <v>22.5</v>
      </c>
    </row>
    <row r="22" spans="1:242" x14ac:dyDescent="0.2">
      <c r="A22" s="1023" t="s">
        <v>1305</v>
      </c>
      <c r="B22" s="1012" t="str">
        <f>MID(Бланк!B28,1,3)</f>
        <v/>
      </c>
      <c r="C22" s="149">
        <f>IF(ISBLANK(Бланк!$C28),0,MID(Бланк!$C28,1,1))</f>
        <v>0</v>
      </c>
      <c r="D22" s="1014">
        <f>Бланк!D28</f>
        <v>0</v>
      </c>
      <c r="E22" s="1018" t="b">
        <f>AND(MID(Бланк!$H28,1,3)&lt;&gt;"-",MID(Бланк!$H28,1,3)&lt;&gt;"")</f>
        <v>0</v>
      </c>
      <c r="F22" s="1075">
        <f>Бланк!$O28</f>
        <v>0</v>
      </c>
      <c r="G22" s="1018">
        <f t="shared" ref="G22:G26" si="98">IF($F22&gt;0,SUMPRODUCT($I$5:$AP$5,$I22:$AP22)/$F22,0)</f>
        <v>0</v>
      </c>
      <c r="H22" s="1020">
        <f t="shared" ref="H22:H26" si="99">SUMPRODUCT($I$5:$AP$5,I22:AP22)</f>
        <v>0</v>
      </c>
      <c r="I22" s="280">
        <f>IF(AND($E22,Проверки!$I20,$D22&lt;=25,$C22="2"),$F22,0)</f>
        <v>0</v>
      </c>
      <c r="J22" s="1018">
        <f>IF(AND($E22,Проверки!I20,$D22&lt;=63,$C22="2",I22=0),$F22,0)</f>
        <v>0</v>
      </c>
      <c r="K22" s="1018">
        <f>IF(AND($E22,Проверки!$I20,$D22&lt;=25,$C22&gt;="3"),$F22,0)</f>
        <v>0</v>
      </c>
      <c r="L22" s="1018">
        <f>IF(AND($E22,Проверки!$I20,$D22&lt;=63,C22&gt;="3",K22=0),$F22,0)</f>
        <v>0</v>
      </c>
      <c r="M22" s="1018">
        <f>IF(AND($E22,Проверки!L20,$C22="2"),$F22,0)</f>
        <v>0</v>
      </c>
      <c r="N22" s="1018">
        <f>IF(AND($E22,Проверки!$L20,$C22&gt;="3"),$F22,0)</f>
        <v>0</v>
      </c>
      <c r="O22" s="1018">
        <f>IF(AND($E22,Проверки!$M20,$C22="2"),1,0)</f>
        <v>0</v>
      </c>
      <c r="P22" s="1018">
        <f>IF(AND($E22,Проверки!$M20,$C22&gt;="3",$D22&lt;=63,ISERR(SEARCH("si",Бланк!H28))),1,0)</f>
        <v>0</v>
      </c>
      <c r="Q22" s="1018">
        <f>IF(AND($E22,Проверки!$M20,$C22&gt;="3",P22=0),1,0)</f>
        <v>0</v>
      </c>
      <c r="R22" s="1018">
        <f>IF(AND(Бланк!I28="+",OR(Проверки!$I20:$L20,Проверки!$O20)),$F22,0)</f>
        <v>0</v>
      </c>
      <c r="S22" s="1018">
        <f>IF(AND(Бланк!J28="+",OR(Проверки!$I20:$L20,Проверки!$O20)),$F22,0)</f>
        <v>0</v>
      </c>
      <c r="T22" s="1018">
        <f>IF(AND(Бланк!K28="+",OR(Проверки!$I20:$L20,Проверки!$O20)),$F22,0)</f>
        <v>0</v>
      </c>
      <c r="U22" s="1018">
        <f>IF(AND(Бланк!I28="+",Проверки!$M20),Бланк!$O28,0)</f>
        <v>0</v>
      </c>
      <c r="V22" s="1018">
        <f>IF(AND(Бланк!J28="+",Проверки!$M20),Бланк!$O28,0)</f>
        <v>0</v>
      </c>
      <c r="W22" s="1020">
        <f>IF(AND(Бланк!K28="+",Проверки!$M20),Бланк!$O28,0)</f>
        <v>0</v>
      </c>
      <c r="X22" s="1016">
        <f t="shared" si="41"/>
        <v>0</v>
      </c>
      <c r="Y22" s="1018">
        <f t="shared" si="42"/>
        <v>0</v>
      </c>
      <c r="Z22" s="1018">
        <f t="shared" si="43"/>
        <v>0</v>
      </c>
      <c r="AA22" s="1018">
        <f t="shared" si="44"/>
        <v>0</v>
      </c>
      <c r="AB22" s="1018">
        <f t="shared" si="45"/>
        <v>0</v>
      </c>
      <c r="AC22" s="1018">
        <f t="shared" si="46"/>
        <v>0</v>
      </c>
      <c r="AD22" s="1018">
        <f t="shared" si="47"/>
        <v>0</v>
      </c>
      <c r="AE22" s="1018">
        <f t="shared" si="48"/>
        <v>0</v>
      </c>
      <c r="AF22" s="1018">
        <f t="shared" si="49"/>
        <v>0</v>
      </c>
      <c r="AG22" s="1018">
        <f t="shared" si="50"/>
        <v>0</v>
      </c>
      <c r="AH22" s="1018">
        <f t="shared" si="51"/>
        <v>0</v>
      </c>
      <c r="AI22" s="1018">
        <f t="shared" si="52"/>
        <v>0</v>
      </c>
      <c r="AJ22" s="1018">
        <f t="shared" si="53"/>
        <v>0</v>
      </c>
      <c r="AK22" s="1018">
        <f t="shared" si="54"/>
        <v>0</v>
      </c>
      <c r="AL22" s="1020">
        <f t="shared" si="55"/>
        <v>0</v>
      </c>
      <c r="AM22" s="280">
        <f t="shared" si="56"/>
        <v>0</v>
      </c>
      <c r="AN22" s="1020">
        <f t="shared" si="57"/>
        <v>0</v>
      </c>
      <c r="AO22" s="1016">
        <f t="shared" si="58"/>
        <v>0</v>
      </c>
      <c r="AP22" s="1020">
        <f t="shared" si="59"/>
        <v>0</v>
      </c>
      <c r="AQ22" s="1013">
        <f>IF(MID(Бланк!L28,1,1)="3",3,IF(MID(Бланк!L28,1,1)="2",2,1))</f>
        <v>1</v>
      </c>
      <c r="AR22" s="1014">
        <f>IF(ISERROR(VALUE(MID(Бланк!M28,3,LEN(Бланк!M28)-SEARCH("x",Бланк!M28)))),0,VALUE(MID(Бланк!M28,3,LEN(Бланк!M28)-SEARCH("x",Бланк!M28))))</f>
        <v>0</v>
      </c>
      <c r="AS22" s="1014">
        <f>Бланк!N28</f>
        <v>0</v>
      </c>
      <c r="CI22" s="1017" t="s">
        <v>1305</v>
      </c>
      <c r="CJ22" s="1017">
        <f>IF(OR($G22=0,$B22="NSX"),0,ROUNDDOWN(($A$68-SUM(CL$6:CL21))/$G22,0))</f>
        <v>0</v>
      </c>
      <c r="CK22" s="1018">
        <f t="shared" ref="CK22:CK26" si="100">IF(CJ22&gt;=$F22,$F22,CJ22)</f>
        <v>0</v>
      </c>
      <c r="CL22" s="1017">
        <f t="shared" ref="CL22:CL26" si="101">CK22*$G22</f>
        <v>0</v>
      </c>
      <c r="CM22" s="1017">
        <f>IF(OR($G22=0,$B22="NSX"),0,ROUNDDOWN(($A$68-SUM(CO$6:CO21))/$G22,0))</f>
        <v>0</v>
      </c>
      <c r="CN22" s="1017">
        <f>IF(CM22&gt;=$F22-SUMIF($CK$5:CK$5,"Кол-во",$CK22:CK22),$F22-SUMIF($CK$5:CK$5,"Кол-во",$CK22:CK22),CM22)</f>
        <v>0</v>
      </c>
      <c r="CO22" s="1017">
        <f t="shared" ref="CO22:CO26" si="102">CN22*$G22</f>
        <v>0</v>
      </c>
      <c r="CP22" s="1017">
        <f>IF(OR($G22=0,$B22="NSX"),0,ROUNDDOWN(($A$68-SUM(CR$6:CR21))/$G22,0))</f>
        <v>0</v>
      </c>
      <c r="CQ22" s="1017">
        <f>IF(CP22&gt;=$F22-SUMIF($CK$5:CN$5,"Кол-во",$CK22:CN22),$F22-SUMIF($CK$5:CN$5,"Кол-во",$CK22:CN22),CP22)</f>
        <v>0</v>
      </c>
      <c r="CR22" s="1017">
        <f t="shared" ref="CR22:CR27" si="103">CQ22*$G22</f>
        <v>0</v>
      </c>
      <c r="CS22" s="1017">
        <f>IF(OR($G22=0,$B22="NSX"),0,ROUNDDOWN(($A$68-SUM(CU$6:CU21))/$G22,0))</f>
        <v>0</v>
      </c>
      <c r="CT22" s="1017">
        <f>IF(CS22&gt;=$F22-SUMIF($CK$5:CQ$5,"Кол-во",$CK22:CQ22),$F22-SUMIF($CK$5:CQ$5,"Кол-во",$CK22:CQ22),CS22)</f>
        <v>0</v>
      </c>
      <c r="CU22" s="1017">
        <f t="shared" ref="CU22:CU27" si="104">CT22*$G22</f>
        <v>0</v>
      </c>
      <c r="CV22" s="1017">
        <f>IF(OR($G22=0,$B22="NSX"),0,ROUNDDOWN(($A$68-SUM(CX$6:CX21))/$G22,0))</f>
        <v>0</v>
      </c>
      <c r="CW22" s="1017">
        <f>IF(CV22&gt;=$F22-SUMIF($CK$5:CT$5,"Кол-во",$CK22:CT22),$F22-SUMIF($CK$5:CT$5,"Кол-во",$CK22:CT22),CV22)</f>
        <v>0</v>
      </c>
      <c r="CX22" s="1017">
        <f t="shared" ref="CX22:CX27" si="105">CW22*$G22</f>
        <v>0</v>
      </c>
      <c r="CY22" s="1017">
        <f>IF(OR($G22=0,$B22="NSX"),0,ROUNDDOWN(($A$68-SUM(DA$6:DA21))/$G22,0))</f>
        <v>0</v>
      </c>
      <c r="CZ22" s="1017">
        <f>IF(CY22&gt;=$F22-SUMIF($CK$5:CW$5,"Кол-во",$CK22:CW22),$F22-SUMIF($CK$5:CW$5,"Кол-во",$CK22:CW22),CY22)</f>
        <v>0</v>
      </c>
      <c r="DA22" s="1017">
        <f t="shared" ref="DA22:DA27" si="106">CZ22*$G22</f>
        <v>0</v>
      </c>
      <c r="DB22" s="1017">
        <f>IF(OR($G22=0,$B22="NSX"),0,ROUNDDOWN(($A$68-SUM(DD$6:DD21))/$G22,0))</f>
        <v>0</v>
      </c>
      <c r="DC22" s="1017">
        <f>IF(DB22&gt;=$F22-SUMIF($CK$5:CZ$5,"Кол-во",$CK22:CZ22),$F22-SUMIF($CK$5:CZ$5,"Кол-во",$CK22:CZ22),DB22)</f>
        <v>0</v>
      </c>
      <c r="DD22" s="1017">
        <f t="shared" ref="DD22:DD27" si="107">DC22*$G22</f>
        <v>0</v>
      </c>
      <c r="DE22" s="1017">
        <f>IF(OR($G22=0,$B22="NSX"),0,ROUNDDOWN(($A$68-SUM(DG$6:DG21))/$G22,0))</f>
        <v>0</v>
      </c>
      <c r="DF22" s="1017">
        <f>IF(DE22&gt;=$F22-SUMIF($CK$5:DC$5,"Кол-во",$CK22:DC22),$F22-SUMIF($CK$5:DC$5,"Кол-во",$CK22:DC22),DE22)</f>
        <v>0</v>
      </c>
      <c r="DG22" s="1017">
        <f t="shared" ref="DG22:DG27" si="108">DF22*$G22</f>
        <v>0</v>
      </c>
      <c r="DH22" s="1017">
        <f>IF(OR($G22=0,$B22="NSX"),0,ROUNDDOWN(($A$68-SUM(DJ$6:DJ21))/$G22,0))</f>
        <v>0</v>
      </c>
      <c r="DI22" s="1017">
        <f>IF(DH22&gt;=$F22-SUMIF($CK$5:DF$5,"Кол-во",$CK22:DF22),$F22-SUMIF($CK$5:DF$5,"Кол-во",$CK22:DF22),DH22)</f>
        <v>0</v>
      </c>
      <c r="DJ22" s="1017">
        <f t="shared" ref="DJ22:DJ27" si="109">DI22*$G22</f>
        <v>0</v>
      </c>
      <c r="DK22" s="1017">
        <f>IF(OR($G22=0,$B22="NSX"),0,ROUNDDOWN(($A$68-SUM(DM$6:DM21))/$G22,0))</f>
        <v>0</v>
      </c>
      <c r="DL22" s="1017">
        <f>IF(DK22&gt;=$F22-SUMIF($CK$5:DI$5,"Кол-во",$CK22:DI22),$F22-SUMIF($CK$5:DI$5,"Кол-во",$CK22:DI22),DK22)</f>
        <v>0</v>
      </c>
      <c r="DM22" s="1017">
        <f t="shared" ref="DM22:DM27" si="110">DL22*$G22</f>
        <v>0</v>
      </c>
      <c r="DS22" s="358"/>
      <c r="DT22" s="358"/>
      <c r="DU22" s="358"/>
      <c r="DV22" s="358"/>
      <c r="DW22" s="358"/>
      <c r="DX22" s="352" t="str">
        <f t="shared" si="15"/>
        <v>IT4</v>
      </c>
      <c r="DY22" s="569" t="s">
        <v>151</v>
      </c>
      <c r="DZ22" s="569">
        <v>4</v>
      </c>
      <c r="EA22" s="569">
        <v>5</v>
      </c>
      <c r="EC22" s="559">
        <v>63</v>
      </c>
      <c r="ED22" s="559">
        <v>1</v>
      </c>
      <c r="EE22" s="352">
        <v>16</v>
      </c>
      <c r="EF22" s="560"/>
      <c r="EG22" s="29"/>
      <c r="EH22" s="1030"/>
      <c r="EI22" s="21" t="s">
        <v>1306</v>
      </c>
      <c r="EJ22" s="21">
        <f>Бланк!$O$27</f>
        <v>0</v>
      </c>
      <c r="EK22" s="296">
        <f>IFERROR(VALUE(MID(Бланк!$L29,1,1)),1)*EJ22</f>
        <v>0</v>
      </c>
      <c r="EL22" s="21" t="str">
        <f>IF(EJ22=EK22,MID(Бланк!$L29,1,100),MID(Бланк!$L29,3,100))</f>
        <v/>
      </c>
      <c r="EM22" s="21">
        <f>Бланк!$M29</f>
        <v>0</v>
      </c>
      <c r="EN22" s="1026">
        <f>_xlfn.IFNA(VLOOKUP(Бланк!$K$3&amp;Габариты!$C23,$DX:$EA,4,FALSE)&amp;"x"&amp;VLOOKUP(Проверки!$D21,$EC:$EE,3,FALSE),0)</f>
        <v>0</v>
      </c>
      <c r="EO22" s="1026">
        <f t="shared" si="94"/>
        <v>0</v>
      </c>
      <c r="EP22" s="1030">
        <f>Бланк!$N29</f>
        <v>0</v>
      </c>
      <c r="EQ22" s="1025">
        <f>_xlfn.IFNA(VLOOKUP(EL22&amp;" "&amp;EO22,'Список кабелей'!$I:$J,2,FALSE),0)</f>
        <v>0</v>
      </c>
      <c r="ER22" s="1025">
        <f>IF(OR(EL22="-",EO22="-",EP22="-",Проверки!$D21=""),0,VLOOKUP(EO22,'Список кабелей'!$D:$J,7,FALSE))</f>
        <v>0</v>
      </c>
      <c r="ES22" s="1025">
        <f t="shared" si="95"/>
        <v>0</v>
      </c>
      <c r="ET22" s="1026">
        <f>EK22*_xlfn.IFNA(VLOOKUP(Проверки!$D21,$EC:$EE,2,FALSE),0)</f>
        <v>0</v>
      </c>
      <c r="EU22" s="34">
        <f t="shared" si="96"/>
        <v>0</v>
      </c>
      <c r="EV22" s="30">
        <f t="shared" si="97"/>
        <v>0</v>
      </c>
      <c r="EW22" s="29">
        <f t="shared" si="20"/>
        <v>0</v>
      </c>
      <c r="EX22" s="1030">
        <f t="shared" si="20"/>
        <v>0</v>
      </c>
      <c r="EY22" s="1030">
        <f t="shared" si="20"/>
        <v>0</v>
      </c>
      <c r="EZ22" s="1030">
        <f t="shared" si="20"/>
        <v>0</v>
      </c>
      <c r="FA22" s="1030">
        <f t="shared" si="20"/>
        <v>0</v>
      </c>
      <c r="FB22" s="1030">
        <f t="shared" si="20"/>
        <v>0</v>
      </c>
      <c r="FC22" s="1030">
        <f t="shared" si="20"/>
        <v>0</v>
      </c>
      <c r="FD22" s="1030">
        <f t="shared" si="20"/>
        <v>0</v>
      </c>
      <c r="FE22" s="52">
        <f t="shared" si="20"/>
        <v>0</v>
      </c>
      <c r="FF22" s="561"/>
      <c r="FG22" s="588"/>
      <c r="FH22" s="571"/>
      <c r="FI22" s="571"/>
      <c r="FJ22" s="571"/>
      <c r="FK22" s="571"/>
      <c r="FL22" s="571"/>
      <c r="FM22" s="571"/>
      <c r="FN22" s="571"/>
      <c r="FO22" s="571"/>
      <c r="FP22" s="571"/>
      <c r="FQ22" s="571"/>
      <c r="FR22" s="571"/>
      <c r="FS22" s="27"/>
      <c r="FT22" s="179"/>
      <c r="FU22" s="179"/>
      <c r="FV22" s="561"/>
      <c r="GA22" s="1014" t="s">
        <v>1307</v>
      </c>
      <c r="GB22" s="1014">
        <f>Бланк!C30</f>
        <v>0</v>
      </c>
      <c r="GC22" s="1014">
        <f>Бланк!D30</f>
        <v>0</v>
      </c>
      <c r="GD22" s="1018">
        <f t="shared" si="91"/>
        <v>26</v>
      </c>
      <c r="GE22" s="1018" t="b">
        <f t="shared" si="92"/>
        <v>0</v>
      </c>
      <c r="GF22" s="1018">
        <f t="shared" si="93"/>
        <v>0</v>
      </c>
      <c r="GG22" s="1014">
        <v>18</v>
      </c>
      <c r="GI22" s="1014">
        <f t="shared" si="24"/>
        <v>0</v>
      </c>
      <c r="GJ22" s="1018">
        <f t="shared" ca="1" si="25"/>
        <v>20</v>
      </c>
      <c r="GL22" s="786">
        <v>10</v>
      </c>
      <c r="GM22" s="786">
        <v>18</v>
      </c>
      <c r="GO22" s="746">
        <v>2</v>
      </c>
      <c r="GP22" s="280">
        <f ca="1">SUMIFS(D!BY$85:BY$104,D!$BR$85:$BR$104,$GO22)</f>
        <v>0</v>
      </c>
      <c r="GQ22" s="757">
        <f ca="1">SUMIFS(D!BZ$85:BZ$99,D!$BR$85:$BR$99,$GO22)</f>
        <v>0</v>
      </c>
      <c r="GR22" s="758">
        <f ca="1">SUMIFS(D!CA$85:CA$99,D!$BR$85:$BR$99,$GO22)</f>
        <v>0</v>
      </c>
      <c r="GS22" s="280">
        <f>SUMIFS(D!BY$85:BY$99,D!$BP$85:$BP$99,TRUE,D!$BR$85:$BR$99,Габариты!$GO22)</f>
        <v>0</v>
      </c>
      <c r="GT22" s="757">
        <f>SUMIFS(D!BZ$85:BZ$99,D!$BP$85:$BP$99,TRUE,D!$BR$85:$BR$99,Габариты!$GO22)</f>
        <v>0</v>
      </c>
      <c r="GU22" s="758">
        <f>SUMIFS(D!CA$85:CA$99,D!$BP$85:$BP$99,TRUE,D!$BR$85:$BR$99,Габариты!$GO22)</f>
        <v>0</v>
      </c>
      <c r="GW22" s="757">
        <f ca="1">SUM(HB$5:HB21)-SUM(HC$5:HC21)</f>
        <v>24</v>
      </c>
      <c r="GX22" s="757">
        <f t="shared" ca="1" si="71"/>
        <v>12</v>
      </c>
      <c r="GY22" s="753">
        <f t="shared" ca="1" si="26"/>
        <v>0</v>
      </c>
      <c r="GZ22" s="280">
        <f t="shared" ca="1" si="27"/>
        <v>0</v>
      </c>
      <c r="HA22" s="758">
        <f t="shared" ca="1" si="28"/>
        <v>0</v>
      </c>
      <c r="HB22" s="280">
        <f t="shared" ca="1" si="29"/>
        <v>0</v>
      </c>
      <c r="HC22" s="753">
        <f t="shared" ca="1" si="30"/>
        <v>0</v>
      </c>
      <c r="HD22" s="802" t="b">
        <f t="shared" ca="1" si="3"/>
        <v>0</v>
      </c>
      <c r="HE22" s="802" t="b">
        <f t="shared" ca="1" si="4"/>
        <v>0</v>
      </c>
      <c r="HF22" s="754" t="b">
        <f t="shared" ca="1" si="31"/>
        <v>0</v>
      </c>
      <c r="HH22" s="757">
        <f ca="1">SUM(HM$5:HM21)-SUM(HN$5:HN21)</f>
        <v>0</v>
      </c>
      <c r="HI22" s="757">
        <f t="shared" ca="1" si="72"/>
        <v>0</v>
      </c>
      <c r="HJ22" s="753">
        <f t="shared" ca="1" si="73"/>
        <v>0</v>
      </c>
      <c r="HK22" s="280">
        <f t="shared" ca="1" si="80"/>
        <v>0</v>
      </c>
      <c r="HL22" s="758">
        <f t="shared" ca="1" si="81"/>
        <v>0</v>
      </c>
      <c r="HM22" s="280">
        <f t="shared" ca="1" si="32"/>
        <v>0</v>
      </c>
      <c r="HN22" s="753">
        <f t="shared" ca="1" si="33"/>
        <v>0</v>
      </c>
      <c r="HO22" s="802" t="b">
        <f t="shared" ca="1" si="7"/>
        <v>0</v>
      </c>
      <c r="HP22" s="802" t="b">
        <f t="shared" ca="1" si="8"/>
        <v>0</v>
      </c>
      <c r="HQ22" s="754" t="b">
        <f t="shared" ca="1" si="34"/>
        <v>0</v>
      </c>
      <c r="HS22" s="757">
        <f ca="1">SUM($HB$5:$HB21)-SUM($HC$5:$HC21)</f>
        <v>24</v>
      </c>
      <c r="HT22" s="757">
        <f t="shared" ca="1" si="74"/>
        <v>12</v>
      </c>
      <c r="HU22" s="753">
        <f t="shared" ca="1" si="35"/>
        <v>0</v>
      </c>
      <c r="HV22" s="280">
        <f t="shared" ca="1" si="36"/>
        <v>0</v>
      </c>
      <c r="HW22" s="758">
        <f t="shared" ca="1" si="37"/>
        <v>0</v>
      </c>
      <c r="HX22" s="280">
        <f t="shared" ca="1" si="38"/>
        <v>0</v>
      </c>
      <c r="HY22" s="753">
        <f t="shared" ca="1" si="39"/>
        <v>0</v>
      </c>
      <c r="HZ22" s="802" t="b">
        <f t="shared" ca="1" si="9"/>
        <v>0</v>
      </c>
      <c r="IA22" s="802" t="b">
        <f t="shared" ca="1" si="10"/>
        <v>0</v>
      </c>
      <c r="IB22" s="754" t="b">
        <f t="shared" ca="1" si="40"/>
        <v>0</v>
      </c>
      <c r="IC22" s="777"/>
      <c r="ID22" s="887" t="s">
        <v>1102</v>
      </c>
      <c r="IE22" s="1157" t="s">
        <v>894</v>
      </c>
      <c r="IF22" s="1156" t="s">
        <v>1118</v>
      </c>
      <c r="IG22" s="1156"/>
      <c r="IH22" s="1156"/>
    </row>
    <row r="23" spans="1:242" ht="13.5" thickBot="1" x14ac:dyDescent="0.25">
      <c r="A23" s="1023" t="s">
        <v>1306</v>
      </c>
      <c r="B23" s="1012" t="str">
        <f>MID(Бланк!B29,1,3)</f>
        <v/>
      </c>
      <c r="C23" s="149">
        <f>IF(ISBLANK(Бланк!$C29),0,MID(Бланк!$C29,1,1))</f>
        <v>0</v>
      </c>
      <c r="D23" s="1014">
        <f>Бланк!D29</f>
        <v>0</v>
      </c>
      <c r="E23" s="1018" t="b">
        <f>AND(MID(Бланк!$H29,1,3)&lt;&gt;"-",MID(Бланк!$H29,1,3)&lt;&gt;"")</f>
        <v>0</v>
      </c>
      <c r="F23" s="1075">
        <f>Бланк!$O29</f>
        <v>0</v>
      </c>
      <c r="G23" s="1018">
        <f t="shared" si="98"/>
        <v>0</v>
      </c>
      <c r="H23" s="1020">
        <f t="shared" si="99"/>
        <v>0</v>
      </c>
      <c r="I23" s="280">
        <f>IF(AND($E23,Проверки!$I21,$D23&lt;=25,$C23="2"),$F23,0)</f>
        <v>0</v>
      </c>
      <c r="J23" s="1018">
        <f>IF(AND($E23,Проверки!I21,$D23&lt;=63,$C23="2",I23=0),$F23,0)</f>
        <v>0</v>
      </c>
      <c r="K23" s="1018">
        <f>IF(AND($E23,Проверки!$I21,$D23&lt;=25,$C23&gt;="3"),$F23,0)</f>
        <v>0</v>
      </c>
      <c r="L23" s="1018">
        <f>IF(AND($E23,Проверки!$I21,$D23&lt;=63,C23&gt;="3",K23=0),$F23,0)</f>
        <v>0</v>
      </c>
      <c r="M23" s="1018">
        <f>IF(AND($E23,Проверки!L21,$C23="2"),$F23,0)</f>
        <v>0</v>
      </c>
      <c r="N23" s="1018">
        <f>IF(AND($E23,Проверки!$L21,$C23&gt;="3"),$F23,0)</f>
        <v>0</v>
      </c>
      <c r="O23" s="1018">
        <f>IF(AND($E23,Проверки!$M21,$C23="2"),1,0)</f>
        <v>0</v>
      </c>
      <c r="P23" s="1018">
        <f>IF(AND($E23,Проверки!$M21,$C23&gt;="3",$D23&lt;=63,ISERR(SEARCH("si",Бланк!H29))),1,0)</f>
        <v>0</v>
      </c>
      <c r="Q23" s="1018">
        <f>IF(AND($E23,Проверки!$M21,$C23&gt;="3",P23=0),1,0)</f>
        <v>0</v>
      </c>
      <c r="R23" s="1018">
        <f>IF(AND(Бланк!I29="+",OR(Проверки!$I21:$L21,Проверки!$O21)),$F23,0)</f>
        <v>0</v>
      </c>
      <c r="S23" s="1018">
        <f>IF(AND(Бланк!J29="+",OR(Проверки!$I21:$L21,Проверки!$O21)),$F23,0)</f>
        <v>0</v>
      </c>
      <c r="T23" s="1018">
        <f>IF(AND(Бланк!K29="+",OR(Проверки!$I21:$L21,Проверки!$O21)),$F23,0)</f>
        <v>0</v>
      </c>
      <c r="U23" s="1018">
        <f>IF(AND(Бланк!I29="+",Проверки!$M21),Бланк!$O29,0)</f>
        <v>0</v>
      </c>
      <c r="V23" s="1018">
        <f>IF(AND(Бланк!J29="+",Проверки!$M21),Бланк!$O29,0)</f>
        <v>0</v>
      </c>
      <c r="W23" s="1020">
        <f>IF(AND(Бланк!K29="+",Проверки!$M21),Бланк!$O29,0)</f>
        <v>0</v>
      </c>
      <c r="X23" s="1016">
        <f t="shared" si="41"/>
        <v>0</v>
      </c>
      <c r="Y23" s="1018">
        <f t="shared" si="42"/>
        <v>0</v>
      </c>
      <c r="Z23" s="1018">
        <f t="shared" si="43"/>
        <v>0</v>
      </c>
      <c r="AA23" s="1018">
        <f t="shared" si="44"/>
        <v>0</v>
      </c>
      <c r="AB23" s="1018">
        <f t="shared" si="45"/>
        <v>0</v>
      </c>
      <c r="AC23" s="1018">
        <f t="shared" si="46"/>
        <v>0</v>
      </c>
      <c r="AD23" s="1018">
        <f t="shared" si="47"/>
        <v>0</v>
      </c>
      <c r="AE23" s="1018">
        <f t="shared" si="48"/>
        <v>0</v>
      </c>
      <c r="AF23" s="1018">
        <f t="shared" si="49"/>
        <v>0</v>
      </c>
      <c r="AG23" s="1018">
        <f t="shared" si="50"/>
        <v>0</v>
      </c>
      <c r="AH23" s="1018">
        <f t="shared" si="51"/>
        <v>0</v>
      </c>
      <c r="AI23" s="1018">
        <f t="shared" si="52"/>
        <v>0</v>
      </c>
      <c r="AJ23" s="1018">
        <f t="shared" si="53"/>
        <v>0</v>
      </c>
      <c r="AK23" s="1018">
        <f t="shared" si="54"/>
        <v>0</v>
      </c>
      <c r="AL23" s="1020">
        <f t="shared" si="55"/>
        <v>0</v>
      </c>
      <c r="AM23" s="280">
        <f t="shared" si="56"/>
        <v>0</v>
      </c>
      <c r="AN23" s="1020">
        <f t="shared" si="57"/>
        <v>0</v>
      </c>
      <c r="AO23" s="1016">
        <f t="shared" si="58"/>
        <v>0</v>
      </c>
      <c r="AP23" s="1020">
        <f t="shared" si="59"/>
        <v>0</v>
      </c>
      <c r="AQ23" s="1013">
        <f>IF(MID(Бланк!L29,1,1)="3",3,IF(MID(Бланк!L29,1,1)="2",2,1))</f>
        <v>1</v>
      </c>
      <c r="AR23" s="1014">
        <f>IF(ISERROR(VALUE(MID(Бланк!M29,3,LEN(Бланк!M29)-SEARCH("x",Бланк!M29)))),0,VALUE(MID(Бланк!M29,3,LEN(Бланк!M29)-SEARCH("x",Бланк!M29))))</f>
        <v>0</v>
      </c>
      <c r="AS23" s="1014">
        <f>Бланк!N29</f>
        <v>0</v>
      </c>
      <c r="CI23" s="1017" t="s">
        <v>1306</v>
      </c>
      <c r="CJ23" s="1017">
        <f>IF(OR($G23=0,$B23="NSX"),0,ROUNDDOWN(($A$68-SUM(CL$6:CL22))/$G23,0))</f>
        <v>0</v>
      </c>
      <c r="CK23" s="1018">
        <f t="shared" si="100"/>
        <v>0</v>
      </c>
      <c r="CL23" s="1017">
        <f t="shared" si="101"/>
        <v>0</v>
      </c>
      <c r="CM23" s="1017">
        <f>IF(OR($G23=0,$B23="NSX"),0,ROUNDDOWN(($A$68-SUM(CO$6:CO22))/$G23,0))</f>
        <v>0</v>
      </c>
      <c r="CN23" s="1017">
        <f>IF(CM23&gt;=$F23-SUMIF($CK$5:CK$5,"Кол-во",$CK23:CK23),$F23-SUMIF($CK$5:CK$5,"Кол-во",$CK23:CK23),CM23)</f>
        <v>0</v>
      </c>
      <c r="CO23" s="1017">
        <f t="shared" si="102"/>
        <v>0</v>
      </c>
      <c r="CP23" s="1017">
        <f>IF(OR($G23=0,$B23="NSX"),0,ROUNDDOWN(($A$68-SUM(CR$6:CR22))/$G23,0))</f>
        <v>0</v>
      </c>
      <c r="CQ23" s="1017">
        <f>IF(CP23&gt;=$F23-SUMIF($CK$5:CN$5,"Кол-во",$CK23:CN23),$F23-SUMIF($CK$5:CN$5,"Кол-во",$CK23:CN23),CP23)</f>
        <v>0</v>
      </c>
      <c r="CR23" s="1017">
        <f t="shared" si="103"/>
        <v>0</v>
      </c>
      <c r="CS23" s="1017">
        <f>IF(OR($G23=0,$B23="NSX"),0,ROUNDDOWN(($A$68-SUM(CU$6:CU22))/$G23,0))</f>
        <v>0</v>
      </c>
      <c r="CT23" s="1017">
        <f>IF(CS23&gt;=$F23-SUMIF($CK$5:CQ$5,"Кол-во",$CK23:CQ23),$F23-SUMIF($CK$5:CQ$5,"Кол-во",$CK23:CQ23),CS23)</f>
        <v>0</v>
      </c>
      <c r="CU23" s="1017">
        <f t="shared" si="104"/>
        <v>0</v>
      </c>
      <c r="CV23" s="1017">
        <f>IF(OR($G23=0,$B23="NSX"),0,ROUNDDOWN(($A$68-SUM(CX$6:CX22))/$G23,0))</f>
        <v>0</v>
      </c>
      <c r="CW23" s="1017">
        <f>IF(CV23&gt;=$F23-SUMIF($CK$5:CT$5,"Кол-во",$CK23:CT23),$F23-SUMIF($CK$5:CT$5,"Кол-во",$CK23:CT23),CV23)</f>
        <v>0</v>
      </c>
      <c r="CX23" s="1017">
        <f t="shared" si="105"/>
        <v>0</v>
      </c>
      <c r="CY23" s="1017">
        <f>IF(OR($G23=0,$B23="NSX"),0,ROUNDDOWN(($A$68-SUM(DA$6:DA22))/$G23,0))</f>
        <v>0</v>
      </c>
      <c r="CZ23" s="1017">
        <f>IF(CY23&gt;=$F23-SUMIF($CK$5:CW$5,"Кол-во",$CK23:CW23),$F23-SUMIF($CK$5:CW$5,"Кол-во",$CK23:CW23),CY23)</f>
        <v>0</v>
      </c>
      <c r="DA23" s="1017">
        <f t="shared" si="106"/>
        <v>0</v>
      </c>
      <c r="DB23" s="1017">
        <f>IF(OR($G23=0,$B23="NSX"),0,ROUNDDOWN(($A$68-SUM(DD$6:DD22))/$G23,0))</f>
        <v>0</v>
      </c>
      <c r="DC23" s="1017">
        <f>IF(DB23&gt;=$F23-SUMIF($CK$5:CZ$5,"Кол-во",$CK23:CZ23),$F23-SUMIF($CK$5:CZ$5,"Кол-во",$CK23:CZ23),DB23)</f>
        <v>0</v>
      </c>
      <c r="DD23" s="1017">
        <f t="shared" si="107"/>
        <v>0</v>
      </c>
      <c r="DE23" s="1017">
        <f>IF(OR($G23=0,$B23="NSX"),0,ROUNDDOWN(($A$68-SUM(DG$6:DG22))/$G23,0))</f>
        <v>0</v>
      </c>
      <c r="DF23" s="1017">
        <f>IF(DE23&gt;=$F23-SUMIF($CK$5:DC$5,"Кол-во",$CK23:DC23),$F23-SUMIF($CK$5:DC$5,"Кол-во",$CK23:DC23),DE23)</f>
        <v>0</v>
      </c>
      <c r="DG23" s="1017">
        <f t="shared" si="108"/>
        <v>0</v>
      </c>
      <c r="DH23" s="1017">
        <f>IF(OR($G23=0,$B23="NSX"),0,ROUNDDOWN(($A$68-SUM(DJ$6:DJ22))/$G23,0))</f>
        <v>0</v>
      </c>
      <c r="DI23" s="1017">
        <f>IF(DH23&gt;=$F23-SUMIF($CK$5:DF$5,"Кол-во",$CK23:DF23),$F23-SUMIF($CK$5:DF$5,"Кол-во",$CK23:DF23),DH23)</f>
        <v>0</v>
      </c>
      <c r="DJ23" s="1017">
        <f t="shared" si="109"/>
        <v>0</v>
      </c>
      <c r="DK23" s="1017">
        <f>IF(OR($G23=0,$B23="NSX"),0,ROUNDDOWN(($A$68-SUM(DM$6:DM22))/$G23,0))</f>
        <v>0</v>
      </c>
      <c r="DL23" s="1017">
        <f>IF(DK23&gt;=$F23-SUMIF($CK$5:DI$5,"Кол-во",$CK23:DI23),$F23-SUMIF($CK$5:DI$5,"Кол-во",$CK23:DI23),DK23)</f>
        <v>0</v>
      </c>
      <c r="DM23" s="1017">
        <f t="shared" si="110"/>
        <v>0</v>
      </c>
      <c r="EC23" s="559">
        <v>80</v>
      </c>
      <c r="ED23" s="559">
        <v>1</v>
      </c>
      <c r="EE23" s="352">
        <v>25</v>
      </c>
      <c r="EF23" s="560"/>
      <c r="EG23" s="29"/>
      <c r="EH23" s="1030"/>
      <c r="EI23" s="21" t="s">
        <v>1307</v>
      </c>
      <c r="EJ23" s="21">
        <f>Бланк!$O$27</f>
        <v>0</v>
      </c>
      <c r="EK23" s="296">
        <f>IFERROR(VALUE(MID(Бланк!$L30,1,1)),1)*EJ23</f>
        <v>0</v>
      </c>
      <c r="EL23" s="21" t="str">
        <f>IF(EJ23=EK23,MID(Бланк!$L30,1,100),MID(Бланк!$L30,3,100))</f>
        <v/>
      </c>
      <c r="EM23" s="21">
        <f>Бланк!$M30</f>
        <v>0</v>
      </c>
      <c r="EN23" s="1026">
        <f>_xlfn.IFNA(VLOOKUP(Бланк!$K$3&amp;Габариты!$C24,$DX:$EA,4,FALSE)&amp;"x"&amp;VLOOKUP(Проверки!$D22,$EC:$EE,3,FALSE),0)</f>
        <v>0</v>
      </c>
      <c r="EO23" s="1026">
        <f t="shared" si="94"/>
        <v>0</v>
      </c>
      <c r="EP23" s="1030">
        <f>Бланк!$N30</f>
        <v>0</v>
      </c>
      <c r="EQ23" s="1025">
        <f>_xlfn.IFNA(VLOOKUP(EL23&amp;" "&amp;EO23,'Список кабелей'!$I:$J,2,FALSE),0)</f>
        <v>0</v>
      </c>
      <c r="ER23" s="1025">
        <f>IF(OR(EL23="-",EO23="-",EP23="-",Проверки!$D22=""),0,VLOOKUP(EO23,'Список кабелей'!$D:$J,7,FALSE))</f>
        <v>0</v>
      </c>
      <c r="ES23" s="1025">
        <f t="shared" si="95"/>
        <v>0</v>
      </c>
      <c r="ET23" s="1026">
        <f>EK23*_xlfn.IFNA(VLOOKUP(Проверки!$D22,$EC:$EE,2,FALSE),0)</f>
        <v>0</v>
      </c>
      <c r="EU23" s="34">
        <f t="shared" si="96"/>
        <v>0</v>
      </c>
      <c r="EV23" s="30">
        <f t="shared" si="97"/>
        <v>0</v>
      </c>
      <c r="EW23" s="29">
        <f t="shared" ref="EW23:FE25" si="111">IF($ES23=EW$4,$EK23,0)</f>
        <v>0</v>
      </c>
      <c r="EX23" s="1030">
        <f t="shared" si="111"/>
        <v>0</v>
      </c>
      <c r="EY23" s="1030">
        <f t="shared" si="111"/>
        <v>0</v>
      </c>
      <c r="EZ23" s="1030">
        <f t="shared" si="111"/>
        <v>0</v>
      </c>
      <c r="FA23" s="1030">
        <f t="shared" si="111"/>
        <v>0</v>
      </c>
      <c r="FB23" s="1030">
        <f t="shared" si="111"/>
        <v>0</v>
      </c>
      <c r="FC23" s="1030">
        <f t="shared" si="111"/>
        <v>0</v>
      </c>
      <c r="FD23" s="1030">
        <f t="shared" si="111"/>
        <v>0</v>
      </c>
      <c r="FE23" s="52">
        <f t="shared" si="111"/>
        <v>0</v>
      </c>
      <c r="FF23" s="561"/>
      <c r="FG23" s="588"/>
      <c r="FH23" s="571"/>
      <c r="FI23" s="571"/>
      <c r="FJ23" s="571"/>
      <c r="FK23" s="571"/>
      <c r="FL23" s="571"/>
      <c r="FM23" s="571"/>
      <c r="FN23" s="571"/>
      <c r="FO23" s="571"/>
      <c r="FP23" s="571"/>
      <c r="FQ23" s="571"/>
      <c r="FR23" s="571"/>
      <c r="FS23" s="27"/>
      <c r="FT23" s="179"/>
      <c r="FU23" s="179"/>
      <c r="FV23" s="561"/>
      <c r="GA23" s="1014" t="s">
        <v>1308</v>
      </c>
      <c r="GB23" s="1014">
        <f>Бланк!C31</f>
        <v>0</v>
      </c>
      <c r="GC23" s="1014">
        <f>Бланк!D31</f>
        <v>0</v>
      </c>
      <c r="GD23" s="1018">
        <f t="shared" si="91"/>
        <v>26</v>
      </c>
      <c r="GE23" s="1018" t="b">
        <f t="shared" si="92"/>
        <v>0</v>
      </c>
      <c r="GF23" s="1018">
        <f t="shared" si="93"/>
        <v>0</v>
      </c>
      <c r="GG23" s="1014">
        <v>19</v>
      </c>
      <c r="GI23" s="1014">
        <f t="shared" si="24"/>
        <v>11</v>
      </c>
      <c r="GJ23" s="1018">
        <f t="shared" ca="1" si="25"/>
        <v>1</v>
      </c>
      <c r="GL23" s="786">
        <v>6</v>
      </c>
      <c r="GM23" s="786">
        <v>19</v>
      </c>
      <c r="GO23" s="746">
        <v>1</v>
      </c>
      <c r="GP23" s="280">
        <f ca="1">SUMIFS(D!BY$85:BY$104,D!$BR$85:$BR$104,$GO23)</f>
        <v>0</v>
      </c>
      <c r="GQ23" s="757">
        <f ca="1">SUMIFS(D!BZ$85:BZ$99,D!$BR$85:$BR$99,$GO23)</f>
        <v>0</v>
      </c>
      <c r="GR23" s="758">
        <f ca="1">SUMIFS(D!CA$85:CA$99,D!$BR$85:$BR$99,$GO23)</f>
        <v>0</v>
      </c>
      <c r="GS23" s="280">
        <f>SUMIFS(D!BY$85:BY$99,D!$BP$85:$BP$99,TRUE,D!$BR$85:$BR$99,Габариты!$GO23)</f>
        <v>0</v>
      </c>
      <c r="GT23" s="757">
        <f>SUMIFS(D!BZ$85:BZ$99,D!$BP$85:$BP$99,TRUE,D!$BR$85:$BR$99,Габариты!$GO23)</f>
        <v>0</v>
      </c>
      <c r="GU23" s="758">
        <f>SUMIFS(D!CA$85:CA$99,D!$BP$85:$BP$99,TRUE,D!$BR$85:$BR$99,Габариты!$GO23)</f>
        <v>0</v>
      </c>
      <c r="GW23" s="757">
        <f ca="1">SUM(HB$5:HB22)-SUM(HC$5:HC22)</f>
        <v>24</v>
      </c>
      <c r="GX23" s="757">
        <f t="shared" ca="1" si="71"/>
        <v>24</v>
      </c>
      <c r="GY23" s="753">
        <f t="shared" ca="1" si="26"/>
        <v>0</v>
      </c>
      <c r="GZ23" s="280">
        <f t="shared" ca="1" si="27"/>
        <v>0</v>
      </c>
      <c r="HA23" s="758">
        <f t="shared" ca="1" si="28"/>
        <v>0</v>
      </c>
      <c r="HB23" s="280">
        <f t="shared" ca="1" si="29"/>
        <v>0</v>
      </c>
      <c r="HC23" s="753">
        <f t="shared" ca="1" si="30"/>
        <v>0</v>
      </c>
      <c r="HD23" s="802" t="b">
        <f t="shared" ca="1" si="3"/>
        <v>0</v>
      </c>
      <c r="HE23" s="802" t="b">
        <f t="shared" ca="1" si="4"/>
        <v>0</v>
      </c>
      <c r="HF23" s="754" t="b">
        <f t="shared" ca="1" si="31"/>
        <v>0</v>
      </c>
      <c r="HH23" s="757">
        <f ca="1">SUM(HM$5:HM22)-SUM(HN$5:HN22)</f>
        <v>0</v>
      </c>
      <c r="HI23" s="757">
        <f t="shared" ca="1" si="72"/>
        <v>0</v>
      </c>
      <c r="HJ23" s="753">
        <f t="shared" ca="1" si="73"/>
        <v>0</v>
      </c>
      <c r="HK23" s="280">
        <f t="shared" ca="1" si="80"/>
        <v>0</v>
      </c>
      <c r="HL23" s="758">
        <f t="shared" ca="1" si="81"/>
        <v>0</v>
      </c>
      <c r="HM23" s="280">
        <f t="shared" ca="1" si="32"/>
        <v>0</v>
      </c>
      <c r="HN23" s="753">
        <f t="shared" ca="1" si="33"/>
        <v>0</v>
      </c>
      <c r="HO23" s="802" t="b">
        <f t="shared" ca="1" si="7"/>
        <v>0</v>
      </c>
      <c r="HP23" s="802" t="b">
        <f t="shared" ca="1" si="8"/>
        <v>0</v>
      </c>
      <c r="HQ23" s="754" t="b">
        <f t="shared" ca="1" si="34"/>
        <v>0</v>
      </c>
      <c r="HS23" s="757">
        <f ca="1">SUM($HB$5:$HB22)-SUM($HC$5:$HC22)</f>
        <v>24</v>
      </c>
      <c r="HT23" s="757">
        <f t="shared" ca="1" si="74"/>
        <v>24</v>
      </c>
      <c r="HU23" s="753">
        <f t="shared" ca="1" si="35"/>
        <v>0</v>
      </c>
      <c r="HV23" s="280">
        <f t="shared" ca="1" si="36"/>
        <v>0</v>
      </c>
      <c r="HW23" s="758">
        <f t="shared" ca="1" si="37"/>
        <v>0</v>
      </c>
      <c r="HX23" s="280">
        <f t="shared" ca="1" si="38"/>
        <v>0</v>
      </c>
      <c r="HY23" s="753">
        <f t="shared" ca="1" si="39"/>
        <v>0</v>
      </c>
      <c r="HZ23" s="802" t="b">
        <f t="shared" ca="1" si="9"/>
        <v>0</v>
      </c>
      <c r="IA23" s="802" t="b">
        <f t="shared" ca="1" si="10"/>
        <v>0</v>
      </c>
      <c r="IB23" s="754" t="b">
        <f t="shared" ca="1" si="40"/>
        <v>0</v>
      </c>
      <c r="IC23" s="777"/>
      <c r="ID23" s="888">
        <f ca="1">ID19+ID21</f>
        <v>30.42</v>
      </c>
      <c r="IE23" s="1158"/>
      <c r="IF23" s="898">
        <v>400</v>
      </c>
      <c r="IG23" s="898">
        <v>600</v>
      </c>
      <c r="IH23" s="898">
        <v>800</v>
      </c>
    </row>
    <row r="24" spans="1:242" ht="13.5" thickBot="1" x14ac:dyDescent="0.25">
      <c r="A24" s="1023" t="s">
        <v>1307</v>
      </c>
      <c r="B24" s="1012" t="str">
        <f>MID(Бланк!B30,1,3)</f>
        <v/>
      </c>
      <c r="C24" s="149">
        <f>IF(ISBLANK(Бланк!$C30),0,MID(Бланк!$C30,1,1))</f>
        <v>0</v>
      </c>
      <c r="D24" s="1014">
        <f>Бланк!D30</f>
        <v>0</v>
      </c>
      <c r="E24" s="1018" t="b">
        <f>AND(MID(Бланк!$H30,1,3)&lt;&gt;"-",MID(Бланк!$H30,1,3)&lt;&gt;"")</f>
        <v>0</v>
      </c>
      <c r="F24" s="1075">
        <f>Бланк!$O30</f>
        <v>0</v>
      </c>
      <c r="G24" s="1018">
        <f t="shared" si="98"/>
        <v>0</v>
      </c>
      <c r="H24" s="1020">
        <f t="shared" si="99"/>
        <v>0</v>
      </c>
      <c r="I24" s="280">
        <f>IF(AND($E24,Проверки!$I22,$D24&lt;=25,$C24="2"),$F24,0)</f>
        <v>0</v>
      </c>
      <c r="J24" s="1018">
        <f>IF(AND($E24,Проверки!I22,$D24&lt;=63,$C24="2",I24=0),$F24,0)</f>
        <v>0</v>
      </c>
      <c r="K24" s="1018">
        <f>IF(AND($E24,Проверки!$I22,$D24&lt;=25,$C24&gt;="3"),$F24,0)</f>
        <v>0</v>
      </c>
      <c r="L24" s="1018">
        <f>IF(AND($E24,Проверки!$I22,$D24&lt;=63,C24&gt;="3",K24=0),$F24,0)</f>
        <v>0</v>
      </c>
      <c r="M24" s="1018">
        <f>IF(AND($E24,Проверки!L22,$C24="2"),$F24,0)</f>
        <v>0</v>
      </c>
      <c r="N24" s="1018">
        <f>IF(AND($E24,Проверки!$L22,$C24&gt;="3"),$F24,0)</f>
        <v>0</v>
      </c>
      <c r="O24" s="1018">
        <f>IF(AND($E24,Проверки!$M22,$C24="2"),1,0)</f>
        <v>0</v>
      </c>
      <c r="P24" s="1018">
        <f>IF(AND($E24,Проверки!$M22,$C24&gt;="3",$D24&lt;=63,ISERR(SEARCH("si",Бланк!H30))),1,0)</f>
        <v>0</v>
      </c>
      <c r="Q24" s="1018">
        <f>IF(AND($E24,Проверки!$M22,$C24&gt;="3",P24=0),1,0)</f>
        <v>0</v>
      </c>
      <c r="R24" s="1018">
        <f>IF(AND(Бланк!I30="+",OR(Проверки!$I22:$L22,Проверки!$O22)),$F24,0)</f>
        <v>0</v>
      </c>
      <c r="S24" s="1018">
        <f>IF(AND(Бланк!J30="+",OR(Проверки!$I22:$L22,Проверки!$O22)),$F24,0)</f>
        <v>0</v>
      </c>
      <c r="T24" s="1018">
        <f>IF(AND(Бланк!K30="+",OR(Проверки!$I22:$L22,Проверки!$O22)),$F24,0)</f>
        <v>0</v>
      </c>
      <c r="U24" s="1018">
        <f>IF(AND(Бланк!I30="+",Проверки!$M22),Бланк!$O30,0)</f>
        <v>0</v>
      </c>
      <c r="V24" s="1018">
        <f>IF(AND(Бланк!J30="+",Проверки!$M22),Бланк!$O30,0)</f>
        <v>0</v>
      </c>
      <c r="W24" s="1020">
        <f>IF(AND(Бланк!K30="+",Проверки!$M22),Бланк!$O30,0)</f>
        <v>0</v>
      </c>
      <c r="X24" s="1016">
        <f t="shared" si="41"/>
        <v>0</v>
      </c>
      <c r="Y24" s="1018">
        <f t="shared" si="42"/>
        <v>0</v>
      </c>
      <c r="Z24" s="1018">
        <f t="shared" si="43"/>
        <v>0</v>
      </c>
      <c r="AA24" s="1018">
        <f t="shared" si="44"/>
        <v>0</v>
      </c>
      <c r="AB24" s="1018">
        <f t="shared" si="45"/>
        <v>0</v>
      </c>
      <c r="AC24" s="1018">
        <f t="shared" si="46"/>
        <v>0</v>
      </c>
      <c r="AD24" s="1018">
        <f t="shared" si="47"/>
        <v>0</v>
      </c>
      <c r="AE24" s="1018">
        <f t="shared" si="48"/>
        <v>0</v>
      </c>
      <c r="AF24" s="1018">
        <f t="shared" si="49"/>
        <v>0</v>
      </c>
      <c r="AG24" s="1018">
        <f t="shared" si="50"/>
        <v>0</v>
      </c>
      <c r="AH24" s="1018">
        <f t="shared" si="51"/>
        <v>0</v>
      </c>
      <c r="AI24" s="1018">
        <f t="shared" si="52"/>
        <v>0</v>
      </c>
      <c r="AJ24" s="1018">
        <f t="shared" si="53"/>
        <v>0</v>
      </c>
      <c r="AK24" s="1018">
        <f t="shared" si="54"/>
        <v>0</v>
      </c>
      <c r="AL24" s="1020">
        <f t="shared" si="55"/>
        <v>0</v>
      </c>
      <c r="AM24" s="280">
        <f t="shared" si="56"/>
        <v>0</v>
      </c>
      <c r="AN24" s="1020">
        <f t="shared" si="57"/>
        <v>0</v>
      </c>
      <c r="AO24" s="1016">
        <f t="shared" si="58"/>
        <v>0</v>
      </c>
      <c r="AP24" s="1020">
        <f t="shared" si="59"/>
        <v>0</v>
      </c>
      <c r="AQ24" s="1013">
        <f>IF(MID(Бланк!L30,1,1)="3",3,IF(MID(Бланк!L30,1,1)="2",2,1))</f>
        <v>1</v>
      </c>
      <c r="AR24" s="1014">
        <f>IF(ISERROR(VALUE(MID(Бланк!M30,3,LEN(Бланк!M30)-SEARCH("x",Бланк!M30)))),0,VALUE(MID(Бланк!M30,3,LEN(Бланк!M30)-SEARCH("x",Бланк!M30))))</f>
        <v>0</v>
      </c>
      <c r="AS24" s="1014">
        <f>Бланк!N30</f>
        <v>0</v>
      </c>
      <c r="CI24" s="1017" t="s">
        <v>1307</v>
      </c>
      <c r="CJ24" s="1017">
        <f>IF(OR($G24=0,$B24="NSX"),0,ROUNDDOWN(($A$68-SUM(CL$6:CL23))/$G24,0))</f>
        <v>0</v>
      </c>
      <c r="CK24" s="1018">
        <f t="shared" si="100"/>
        <v>0</v>
      </c>
      <c r="CL24" s="1017">
        <f t="shared" si="101"/>
        <v>0</v>
      </c>
      <c r="CM24" s="1017">
        <f>IF(OR($G24=0,$B24="NSX"),0,ROUNDDOWN(($A$68-SUM(CO$6:CO23))/$G24,0))</f>
        <v>0</v>
      </c>
      <c r="CN24" s="1017">
        <f>IF(CM24&gt;=$F24-SUMIF($CK$5:CK$5,"Кол-во",$CK24:CK24),$F24-SUMIF($CK$5:CK$5,"Кол-во",$CK24:CK24),CM24)</f>
        <v>0</v>
      </c>
      <c r="CO24" s="1017">
        <f t="shared" si="102"/>
        <v>0</v>
      </c>
      <c r="CP24" s="1017">
        <f>IF(OR($G24=0,$B24="NSX"),0,ROUNDDOWN(($A$68-SUM(CR$6:CR23))/$G24,0))</f>
        <v>0</v>
      </c>
      <c r="CQ24" s="1017">
        <f>IF(CP24&gt;=$F24-SUMIF($CK$5:CN$5,"Кол-во",$CK24:CN24),$F24-SUMIF($CK$5:CN$5,"Кол-во",$CK24:CN24),CP24)</f>
        <v>0</v>
      </c>
      <c r="CR24" s="1017">
        <f t="shared" si="103"/>
        <v>0</v>
      </c>
      <c r="CS24" s="1017">
        <f>IF(OR($G24=0,$B24="NSX"),0,ROUNDDOWN(($A$68-SUM(CU$6:CU23))/$G24,0))</f>
        <v>0</v>
      </c>
      <c r="CT24" s="1017">
        <f>IF(CS24&gt;=$F24-SUMIF($CK$5:CQ$5,"Кол-во",$CK24:CQ24),$F24-SUMIF($CK$5:CQ$5,"Кол-во",$CK24:CQ24),CS24)</f>
        <v>0</v>
      </c>
      <c r="CU24" s="1017">
        <f t="shared" si="104"/>
        <v>0</v>
      </c>
      <c r="CV24" s="1017">
        <f>IF(OR($G24=0,$B24="NSX"),0,ROUNDDOWN(($A$68-SUM(CX$6:CX23))/$G24,0))</f>
        <v>0</v>
      </c>
      <c r="CW24" s="1017">
        <f>IF(CV24&gt;=$F24-SUMIF($CK$5:CT$5,"Кол-во",$CK24:CT24),$F24-SUMIF($CK$5:CT$5,"Кол-во",$CK24:CT24),CV24)</f>
        <v>0</v>
      </c>
      <c r="CX24" s="1017">
        <f t="shared" si="105"/>
        <v>0</v>
      </c>
      <c r="CY24" s="1017">
        <f>IF(OR($G24=0,$B24="NSX"),0,ROUNDDOWN(($A$68-SUM(DA$6:DA23))/$G24,0))</f>
        <v>0</v>
      </c>
      <c r="CZ24" s="1017">
        <f>IF(CY24&gt;=$F24-SUMIF($CK$5:CW$5,"Кол-во",$CK24:CW24),$F24-SUMIF($CK$5:CW$5,"Кол-во",$CK24:CW24),CY24)</f>
        <v>0</v>
      </c>
      <c r="DA24" s="1017">
        <f t="shared" si="106"/>
        <v>0</v>
      </c>
      <c r="DB24" s="1017">
        <f>IF(OR($G24=0,$B24="NSX"),0,ROUNDDOWN(($A$68-SUM(DD$6:DD23))/$G24,0))</f>
        <v>0</v>
      </c>
      <c r="DC24" s="1017">
        <f>IF(DB24&gt;=$F24-SUMIF($CK$5:CZ$5,"Кол-во",$CK24:CZ24),$F24-SUMIF($CK$5:CZ$5,"Кол-во",$CK24:CZ24),DB24)</f>
        <v>0</v>
      </c>
      <c r="DD24" s="1017">
        <f t="shared" si="107"/>
        <v>0</v>
      </c>
      <c r="DE24" s="1017">
        <f>IF(OR($G24=0,$B24="NSX"),0,ROUNDDOWN(($A$68-SUM(DG$6:DG23))/$G24,0))</f>
        <v>0</v>
      </c>
      <c r="DF24" s="1017">
        <f>IF(DE24&gt;=$F24-SUMIF($CK$5:DC$5,"Кол-во",$CK24:DC24),$F24-SUMIF($CK$5:DC$5,"Кол-во",$CK24:DC24),DE24)</f>
        <v>0</v>
      </c>
      <c r="DG24" s="1017">
        <f t="shared" si="108"/>
        <v>0</v>
      </c>
      <c r="DH24" s="1017">
        <f>IF(OR($G24=0,$B24="NSX"),0,ROUNDDOWN(($A$68-SUM(DJ$6:DJ23))/$G24,0))</f>
        <v>0</v>
      </c>
      <c r="DI24" s="1017">
        <f>IF(DH24&gt;=$F24-SUMIF($CK$5:DF$5,"Кол-во",$CK24:DF24),$F24-SUMIF($CK$5:DF$5,"Кол-во",$CK24:DF24),DH24)</f>
        <v>0</v>
      </c>
      <c r="DJ24" s="1017">
        <f t="shared" si="109"/>
        <v>0</v>
      </c>
      <c r="DK24" s="1017">
        <f>IF(OR($G24=0,$B24="NSX"),0,ROUNDDOWN(($A$68-SUM(DM$6:DM23))/$G24,0))</f>
        <v>0</v>
      </c>
      <c r="DL24" s="1017">
        <f>IF(DK24&gt;=$F24-SUMIF($CK$5:DI$5,"Кол-во",$CK24:DI24),$F24-SUMIF($CK$5:DI$5,"Кол-во",$CK24:DI24),DK24)</f>
        <v>0</v>
      </c>
      <c r="DM24" s="1017">
        <f t="shared" si="110"/>
        <v>0</v>
      </c>
      <c r="EC24" s="559">
        <v>100</v>
      </c>
      <c r="ED24" s="559">
        <v>1</v>
      </c>
      <c r="EE24" s="352">
        <v>35</v>
      </c>
      <c r="EF24" s="560"/>
      <c r="EG24" s="29"/>
      <c r="EH24" s="1030"/>
      <c r="EI24" s="21" t="s">
        <v>1308</v>
      </c>
      <c r="EJ24" s="21">
        <f>Бланк!$O$27</f>
        <v>0</v>
      </c>
      <c r="EK24" s="296">
        <f>IFERROR(VALUE(MID(Бланк!$L31,1,1)),1)*EJ24</f>
        <v>0</v>
      </c>
      <c r="EL24" s="21" t="str">
        <f>IF(EJ24=EK24,MID(Бланк!$L31,1,100),MID(Бланк!$L31,3,100))</f>
        <v/>
      </c>
      <c r="EM24" s="21">
        <f>Бланк!$M31</f>
        <v>0</v>
      </c>
      <c r="EN24" s="1026">
        <f>_xlfn.IFNA(VLOOKUP(Бланк!$K$3&amp;Габариты!$C25,$DX:$EA,4,FALSE)&amp;"x"&amp;VLOOKUP(Проверки!$D23,$EC:$EE,3,FALSE),0)</f>
        <v>0</v>
      </c>
      <c r="EO24" s="1026">
        <f t="shared" si="94"/>
        <v>0</v>
      </c>
      <c r="EP24" s="1030">
        <f>Бланк!$N31</f>
        <v>0</v>
      </c>
      <c r="EQ24" s="1025">
        <f>_xlfn.IFNA(VLOOKUP(EL24&amp;" "&amp;EO24,'Список кабелей'!$I:$J,2,FALSE),0)</f>
        <v>0</v>
      </c>
      <c r="ER24" s="1025">
        <f>IF(OR(EL24="-",EO24="-",EP24="-",Проверки!$D23=""),0,VLOOKUP(EO24,'Список кабелей'!$D:$J,7,FALSE))</f>
        <v>0</v>
      </c>
      <c r="ES24" s="1025">
        <f t="shared" si="95"/>
        <v>0</v>
      </c>
      <c r="ET24" s="1026">
        <f>EK24*_xlfn.IFNA(VLOOKUP(Проверки!$D23,$EC:$EE,2,FALSE),0)</f>
        <v>0</v>
      </c>
      <c r="EU24" s="34">
        <f t="shared" si="96"/>
        <v>0</v>
      </c>
      <c r="EV24" s="30">
        <f t="shared" si="97"/>
        <v>0</v>
      </c>
      <c r="EW24" s="29">
        <f t="shared" si="111"/>
        <v>0</v>
      </c>
      <c r="EX24" s="1030">
        <f t="shared" si="111"/>
        <v>0</v>
      </c>
      <c r="EY24" s="1030">
        <f t="shared" si="111"/>
        <v>0</v>
      </c>
      <c r="EZ24" s="1030">
        <f t="shared" si="111"/>
        <v>0</v>
      </c>
      <c r="FA24" s="1030">
        <f t="shared" si="111"/>
        <v>0</v>
      </c>
      <c r="FB24" s="1030">
        <f t="shared" si="111"/>
        <v>0</v>
      </c>
      <c r="FC24" s="1030">
        <f t="shared" si="111"/>
        <v>0</v>
      </c>
      <c r="FD24" s="1030">
        <f t="shared" si="111"/>
        <v>0</v>
      </c>
      <c r="FE24" s="52">
        <f t="shared" si="111"/>
        <v>0</v>
      </c>
      <c r="FF24" s="561"/>
      <c r="FG24" s="588"/>
      <c r="FH24" s="565"/>
      <c r="FI24" s="565"/>
      <c r="FJ24" s="565"/>
      <c r="FK24" s="565"/>
      <c r="FL24" s="565"/>
      <c r="FM24" s="565"/>
      <c r="FN24" s="565"/>
      <c r="FO24" s="565"/>
      <c r="FP24" s="565"/>
      <c r="FQ24" s="565"/>
      <c r="FR24" s="565"/>
      <c r="FS24" s="7"/>
      <c r="FT24" s="179"/>
      <c r="FU24" s="179"/>
      <c r="FV24" s="561"/>
      <c r="GA24" s="1014" t="s">
        <v>1309</v>
      </c>
      <c r="GB24" s="1014">
        <f>Бланк!C32</f>
        <v>0</v>
      </c>
      <c r="GC24" s="1014">
        <f>Бланк!D32</f>
        <v>0</v>
      </c>
      <c r="GD24" s="1018">
        <f t="shared" si="91"/>
        <v>26</v>
      </c>
      <c r="GE24" s="1018" t="b">
        <f t="shared" si="92"/>
        <v>0</v>
      </c>
      <c r="GF24" s="1018">
        <f t="shared" si="93"/>
        <v>0</v>
      </c>
      <c r="GG24" s="1014">
        <v>20</v>
      </c>
      <c r="GI24" s="1014">
        <f t="shared" si="24"/>
        <v>15</v>
      </c>
      <c r="GJ24" s="1018">
        <f t="shared" ca="1" si="25"/>
        <v>2</v>
      </c>
      <c r="GL24" s="786">
        <v>5</v>
      </c>
      <c r="GM24" s="786">
        <v>20</v>
      </c>
      <c r="GO24" s="746">
        <v>0.5</v>
      </c>
      <c r="GP24" s="808">
        <f ca="1">SUMIFS(D!BY$85:BY$104,D!$BR$85:$BR$104,$GO24)</f>
        <v>0</v>
      </c>
      <c r="GQ24" s="798">
        <f ca="1">SUMIFS(D!BZ$85:BZ$99,D!$BR$85:$BR$99,$GO24)</f>
        <v>0</v>
      </c>
      <c r="GR24" s="799">
        <f ca="1">SUMIFS(D!CA$85:CA$99,D!$BR$85:$BR$99,$GO24)</f>
        <v>0</v>
      </c>
      <c r="GS24" s="282">
        <f>SUMIFS(D!BY$85:BY$99,D!$BP$85:$BP$99,TRUE,D!$BR$85:$BR$99,Габариты!$GO24)</f>
        <v>0</v>
      </c>
      <c r="GT24" s="283">
        <f>SUMIFS(D!BZ$85:BZ$99,D!$BP$85:$BP$99,TRUE,D!$BR$85:$BR$99,Габариты!$GO24)</f>
        <v>0</v>
      </c>
      <c r="GU24" s="284">
        <f>SUMIFS(D!CA$85:CA$99,D!$BP$85:$BP$99,TRUE,D!$BR$85:$BR$99,Габариты!$GO24)</f>
        <v>0</v>
      </c>
      <c r="GW24" s="757">
        <f ca="1">SUM(HB$5:HB23)-SUM(HC$5:HC23)</f>
        <v>24</v>
      </c>
      <c r="GX24" s="757">
        <f t="shared" ca="1" si="71"/>
        <v>48</v>
      </c>
      <c r="GY24" s="753">
        <f t="shared" ca="1" si="26"/>
        <v>0</v>
      </c>
      <c r="GZ24" s="280">
        <f t="shared" ca="1" si="27"/>
        <v>0</v>
      </c>
      <c r="HA24" s="758">
        <f t="shared" ca="1" si="28"/>
        <v>0</v>
      </c>
      <c r="HB24" s="282">
        <f t="shared" ca="1" si="29"/>
        <v>0</v>
      </c>
      <c r="HC24" s="274">
        <f t="shared" ca="1" si="30"/>
        <v>0</v>
      </c>
      <c r="HD24" s="803" t="b">
        <f t="shared" ca="1" si="3"/>
        <v>0</v>
      </c>
      <c r="HE24" s="803" t="b">
        <f t="shared" ca="1" si="4"/>
        <v>0</v>
      </c>
      <c r="HF24" s="794" t="b">
        <f ca="1">AND($GS24&gt;=2,GZ24,HA24)</f>
        <v>0</v>
      </c>
      <c r="HH24" s="757">
        <f ca="1">SUM(HM$5:HM23)-SUM(HN$5:HN23)</f>
        <v>0</v>
      </c>
      <c r="HI24" s="757">
        <f t="shared" ca="1" si="72"/>
        <v>0</v>
      </c>
      <c r="HJ24" s="753">
        <f t="shared" ca="1" si="73"/>
        <v>0</v>
      </c>
      <c r="HK24" s="280">
        <f t="shared" ca="1" si="80"/>
        <v>0</v>
      </c>
      <c r="HL24" s="758">
        <f t="shared" ca="1" si="81"/>
        <v>0</v>
      </c>
      <c r="HM24" s="282">
        <f t="shared" ca="1" si="32"/>
        <v>0</v>
      </c>
      <c r="HN24" s="274">
        <f t="shared" ca="1" si="33"/>
        <v>0</v>
      </c>
      <c r="HO24" s="803" t="b">
        <f t="shared" ca="1" si="7"/>
        <v>0</v>
      </c>
      <c r="HP24" s="803" t="b">
        <f t="shared" ca="1" si="8"/>
        <v>0</v>
      </c>
      <c r="HQ24" s="794" t="b">
        <f ca="1">AND($GS24&gt;=2,HK24,HL24)</f>
        <v>0</v>
      </c>
      <c r="HS24" s="757">
        <f ca="1">SUM($HB$5:$HB23)-SUM($HC$5:$HC23)</f>
        <v>24</v>
      </c>
      <c r="HT24" s="757">
        <f t="shared" ca="1" si="74"/>
        <v>48</v>
      </c>
      <c r="HU24" s="753">
        <f t="shared" ca="1" si="35"/>
        <v>0</v>
      </c>
      <c r="HV24" s="280">
        <f t="shared" ca="1" si="36"/>
        <v>0</v>
      </c>
      <c r="HW24" s="758">
        <f t="shared" ca="1" si="37"/>
        <v>0</v>
      </c>
      <c r="HX24" s="282">
        <f t="shared" ca="1" si="38"/>
        <v>0</v>
      </c>
      <c r="HY24" s="274">
        <f t="shared" ca="1" si="39"/>
        <v>0</v>
      </c>
      <c r="HZ24" s="803" t="b">
        <f t="shared" ca="1" si="9"/>
        <v>0</v>
      </c>
      <c r="IA24" s="803" t="b">
        <f t="shared" ca="1" si="10"/>
        <v>0</v>
      </c>
      <c r="IB24" s="794" t="b">
        <f ca="1">AND($GS24&gt;=2,HV24,HW24)</f>
        <v>0</v>
      </c>
      <c r="IC24" s="777"/>
      <c r="ID24" s="889" t="s">
        <v>1115</v>
      </c>
      <c r="IE24" s="898" t="s">
        <v>79</v>
      </c>
      <c r="IF24" s="898">
        <v>1</v>
      </c>
      <c r="IG24" s="898">
        <v>2</v>
      </c>
      <c r="IH24" s="898">
        <v>3</v>
      </c>
    </row>
    <row r="25" spans="1:242" ht="13.5" customHeight="1" thickBot="1" x14ac:dyDescent="0.25">
      <c r="A25" s="1023" t="s">
        <v>1308</v>
      </c>
      <c r="B25" s="1012" t="str">
        <f>MID(Бланк!B31,1,3)</f>
        <v/>
      </c>
      <c r="C25" s="149">
        <f>IF(ISBLANK(Бланк!$C31),0,MID(Бланк!$C31,1,1))</f>
        <v>0</v>
      </c>
      <c r="D25" s="1014">
        <f>Бланк!D31</f>
        <v>0</v>
      </c>
      <c r="E25" s="1018" t="b">
        <f>AND(MID(Бланк!$H31,1,3)&lt;&gt;"-",MID(Бланк!$H31,1,3)&lt;&gt;"")</f>
        <v>0</v>
      </c>
      <c r="F25" s="1075">
        <f>Бланк!$O31</f>
        <v>0</v>
      </c>
      <c r="G25" s="1018">
        <f t="shared" si="98"/>
        <v>0</v>
      </c>
      <c r="H25" s="1020">
        <f t="shared" si="99"/>
        <v>0</v>
      </c>
      <c r="I25" s="280">
        <f>IF(AND($E25,Проверки!$I23,$D25&lt;=25,$C25="2"),$F25,0)</f>
        <v>0</v>
      </c>
      <c r="J25" s="1018">
        <f>IF(AND($E25,Проверки!I23,$D25&lt;=63,$C25="2",I25=0),$F25,0)</f>
        <v>0</v>
      </c>
      <c r="K25" s="1018">
        <f>IF(AND($E25,Проверки!$I23,$D25&lt;=25,$C25&gt;="3"),$F25,0)</f>
        <v>0</v>
      </c>
      <c r="L25" s="1018">
        <f>IF(AND($E25,Проверки!$I23,$D25&lt;=63,C25&gt;="3",K25=0),$F25,0)</f>
        <v>0</v>
      </c>
      <c r="M25" s="1018">
        <f>IF(AND($E25,Проверки!L23,$C25="2"),$F25,0)</f>
        <v>0</v>
      </c>
      <c r="N25" s="1018">
        <f>IF(AND($E25,Проверки!$L23,$C25&gt;="3"),$F25,0)</f>
        <v>0</v>
      </c>
      <c r="O25" s="1018">
        <f>IF(AND($E25,Проверки!$M23,$C25="2"),1,0)</f>
        <v>0</v>
      </c>
      <c r="P25" s="1018">
        <f>IF(AND($E25,Проверки!$M23,$C25&gt;="3",$D25&lt;=63,ISERR(SEARCH("si",Бланк!H31))),1,0)</f>
        <v>0</v>
      </c>
      <c r="Q25" s="1018">
        <f>IF(AND($E25,Проверки!$M23,$C25&gt;="3",P25=0),1,0)</f>
        <v>0</v>
      </c>
      <c r="R25" s="1018">
        <f>IF(AND(Бланк!I31="+",OR(Проверки!$I23:$L23,Проверки!$O23)),$F25,0)</f>
        <v>0</v>
      </c>
      <c r="S25" s="1018">
        <f>IF(AND(Бланк!J31="+",OR(Проверки!$I23:$L23,Проверки!$O23)),$F25,0)</f>
        <v>0</v>
      </c>
      <c r="T25" s="1018">
        <f>IF(AND(Бланк!K31="+",OR(Проверки!$I23:$L23,Проверки!$O23)),$F25,0)</f>
        <v>0</v>
      </c>
      <c r="U25" s="1018">
        <f>IF(AND(Бланк!I31="+",Проверки!$M23),Бланк!$O31,0)</f>
        <v>0</v>
      </c>
      <c r="V25" s="1018">
        <f>IF(AND(Бланк!J31="+",Проверки!$M23),Бланк!$O31,0)</f>
        <v>0</v>
      </c>
      <c r="W25" s="1020">
        <f>IF(AND(Бланк!K31="+",Проверки!$M23),Бланк!$O31,0)</f>
        <v>0</v>
      </c>
      <c r="X25" s="1016">
        <f t="shared" si="41"/>
        <v>0</v>
      </c>
      <c r="Y25" s="1018">
        <f t="shared" si="42"/>
        <v>0</v>
      </c>
      <c r="Z25" s="1018">
        <f t="shared" si="43"/>
        <v>0</v>
      </c>
      <c r="AA25" s="1018">
        <f t="shared" si="44"/>
        <v>0</v>
      </c>
      <c r="AB25" s="1018">
        <f t="shared" si="45"/>
        <v>0</v>
      </c>
      <c r="AC25" s="1018">
        <f t="shared" si="46"/>
        <v>0</v>
      </c>
      <c r="AD25" s="1018">
        <f t="shared" si="47"/>
        <v>0</v>
      </c>
      <c r="AE25" s="1018">
        <f t="shared" si="48"/>
        <v>0</v>
      </c>
      <c r="AF25" s="1018">
        <f t="shared" si="49"/>
        <v>0</v>
      </c>
      <c r="AG25" s="1018">
        <f t="shared" si="50"/>
        <v>0</v>
      </c>
      <c r="AH25" s="1018">
        <f t="shared" si="51"/>
        <v>0</v>
      </c>
      <c r="AI25" s="1018">
        <f t="shared" si="52"/>
        <v>0</v>
      </c>
      <c r="AJ25" s="1018">
        <f t="shared" si="53"/>
        <v>0</v>
      </c>
      <c r="AK25" s="1018">
        <f t="shared" si="54"/>
        <v>0</v>
      </c>
      <c r="AL25" s="1020">
        <f t="shared" si="55"/>
        <v>0</v>
      </c>
      <c r="AM25" s="280">
        <f t="shared" si="56"/>
        <v>0</v>
      </c>
      <c r="AN25" s="1020">
        <f t="shared" si="57"/>
        <v>0</v>
      </c>
      <c r="AO25" s="1016">
        <f t="shared" si="58"/>
        <v>0</v>
      </c>
      <c r="AP25" s="1020">
        <f t="shared" si="59"/>
        <v>0</v>
      </c>
      <c r="AQ25" s="1013">
        <f>IF(MID(Бланк!L31,1,1)="3",3,IF(MID(Бланк!L31,1,1)="2",2,1))</f>
        <v>1</v>
      </c>
      <c r="AR25" s="1014">
        <f>IF(ISERROR(VALUE(MID(Бланк!M31,3,LEN(Бланк!M31)-SEARCH("x",Бланк!M31)))),0,VALUE(MID(Бланк!M31,3,LEN(Бланк!M31)-SEARCH("x",Бланк!M31))))</f>
        <v>0</v>
      </c>
      <c r="AS25" s="1014">
        <f>Бланк!N31</f>
        <v>0</v>
      </c>
      <c r="CI25" s="1017" t="s">
        <v>1308</v>
      </c>
      <c r="CJ25" s="1017">
        <f>IF(OR($G25=0,$B25="NSX"),0,ROUNDDOWN(($A$68-SUM(CL$6:CL24))/$G25,0))</f>
        <v>0</v>
      </c>
      <c r="CK25" s="1018">
        <f t="shared" si="100"/>
        <v>0</v>
      </c>
      <c r="CL25" s="1017">
        <f t="shared" si="101"/>
        <v>0</v>
      </c>
      <c r="CM25" s="1017">
        <f>IF(OR($G25=0,$B25="NSX"),0,ROUNDDOWN(($A$68-SUM(CO$6:CO24))/$G25,0))</f>
        <v>0</v>
      </c>
      <c r="CN25" s="1017">
        <f>IF(CM25&gt;=$F25-SUMIF($CK$5:CK$5,"Кол-во",$CK25:CK25),$F25-SUMIF($CK$5:CK$5,"Кол-во",$CK25:CK25),CM25)</f>
        <v>0</v>
      </c>
      <c r="CO25" s="1017">
        <f t="shared" si="102"/>
        <v>0</v>
      </c>
      <c r="CP25" s="1017">
        <f>IF(OR($G25=0,$B25="NSX"),0,ROUNDDOWN(($A$68-SUM(CR$6:CR24))/$G25,0))</f>
        <v>0</v>
      </c>
      <c r="CQ25" s="1017">
        <f>IF(CP25&gt;=$F25-SUMIF($CK$5:CN$5,"Кол-во",$CK25:CN25),$F25-SUMIF($CK$5:CN$5,"Кол-во",$CK25:CN25),CP25)</f>
        <v>0</v>
      </c>
      <c r="CR25" s="1017">
        <f t="shared" si="103"/>
        <v>0</v>
      </c>
      <c r="CS25" s="1017">
        <f>IF(OR($G25=0,$B25="NSX"),0,ROUNDDOWN(($A$68-SUM(CU$6:CU24))/$G25,0))</f>
        <v>0</v>
      </c>
      <c r="CT25" s="1017">
        <f>IF(CS25&gt;=$F25-SUMIF($CK$5:CQ$5,"Кол-во",$CK25:CQ25),$F25-SUMIF($CK$5:CQ$5,"Кол-во",$CK25:CQ25),CS25)</f>
        <v>0</v>
      </c>
      <c r="CU25" s="1017">
        <f t="shared" si="104"/>
        <v>0</v>
      </c>
      <c r="CV25" s="1017">
        <f>IF(OR($G25=0,$B25="NSX"),0,ROUNDDOWN(($A$68-SUM(CX$6:CX24))/$G25,0))</f>
        <v>0</v>
      </c>
      <c r="CW25" s="1017">
        <f>IF(CV25&gt;=$F25-SUMIF($CK$5:CT$5,"Кол-во",$CK25:CT25),$F25-SUMIF($CK$5:CT$5,"Кол-во",$CK25:CT25),CV25)</f>
        <v>0</v>
      </c>
      <c r="CX25" s="1017">
        <f t="shared" si="105"/>
        <v>0</v>
      </c>
      <c r="CY25" s="1017">
        <f>IF(OR($G25=0,$B25="NSX"),0,ROUNDDOWN(($A$68-SUM(DA$6:DA24))/$G25,0))</f>
        <v>0</v>
      </c>
      <c r="CZ25" s="1017">
        <f>IF(CY25&gt;=$F25-SUMIF($CK$5:CW$5,"Кол-во",$CK25:CW25),$F25-SUMIF($CK$5:CW$5,"Кол-во",$CK25:CW25),CY25)</f>
        <v>0</v>
      </c>
      <c r="DA25" s="1017">
        <f t="shared" si="106"/>
        <v>0</v>
      </c>
      <c r="DB25" s="1017">
        <f>IF(OR($G25=0,$B25="NSX"),0,ROUNDDOWN(($A$68-SUM(DD$6:DD24))/$G25,0))</f>
        <v>0</v>
      </c>
      <c r="DC25" s="1017">
        <f>IF(DB25&gt;=$F25-SUMIF($CK$5:CZ$5,"Кол-во",$CK25:CZ25),$F25-SUMIF($CK$5:CZ$5,"Кол-во",$CK25:CZ25),DB25)</f>
        <v>0</v>
      </c>
      <c r="DD25" s="1017">
        <f t="shared" si="107"/>
        <v>0</v>
      </c>
      <c r="DE25" s="1017">
        <f>IF(OR($G25=0,$B25="NSX"),0,ROUNDDOWN(($A$68-SUM(DG$6:DG24))/$G25,0))</f>
        <v>0</v>
      </c>
      <c r="DF25" s="1017">
        <f>IF(DE25&gt;=$F25-SUMIF($CK$5:DC$5,"Кол-во",$CK25:DC25),$F25-SUMIF($CK$5:DC$5,"Кол-во",$CK25:DC25),DE25)</f>
        <v>0</v>
      </c>
      <c r="DG25" s="1017">
        <f t="shared" si="108"/>
        <v>0</v>
      </c>
      <c r="DH25" s="1017">
        <f>IF(OR($G25=0,$B25="NSX"),0,ROUNDDOWN(($A$68-SUM(DJ$6:DJ24))/$G25,0))</f>
        <v>0</v>
      </c>
      <c r="DI25" s="1017">
        <f>IF(DH25&gt;=$F25-SUMIF($CK$5:DF$5,"Кол-во",$CK25:DF25),$F25-SUMIF($CK$5:DF$5,"Кол-во",$CK25:DF25),DH25)</f>
        <v>0</v>
      </c>
      <c r="DJ25" s="1017">
        <f t="shared" si="109"/>
        <v>0</v>
      </c>
      <c r="DK25" s="1017">
        <f>IF(OR($G25=0,$B25="NSX"),0,ROUNDDOWN(($A$68-SUM(DM$6:DM24))/$G25,0))</f>
        <v>0</v>
      </c>
      <c r="DL25" s="1017">
        <f>IF(DK25&gt;=$F25-SUMIF($CK$5:DI$5,"Кол-во",$CK25:DI25),$F25-SUMIF($CK$5:DI$5,"Кол-во",$CK25:DI25),DK25)</f>
        <v>0</v>
      </c>
      <c r="DM25" s="1017">
        <f t="shared" si="110"/>
        <v>0</v>
      </c>
      <c r="EC25" s="559">
        <v>125</v>
      </c>
      <c r="ED25" s="559">
        <v>1</v>
      </c>
      <c r="EE25" s="352">
        <v>50</v>
      </c>
      <c r="EF25" s="560"/>
      <c r="EG25" s="19"/>
      <c r="EH25" s="25"/>
      <c r="EI25" s="12" t="s">
        <v>1309</v>
      </c>
      <c r="EJ25" s="12">
        <f>Бланк!$O$27</f>
        <v>0</v>
      </c>
      <c r="EK25" s="362">
        <f>IFERROR(VALUE(MID(Бланк!$L32,1,1)),1)*EJ25</f>
        <v>0</v>
      </c>
      <c r="EL25" s="12" t="str">
        <f>IF(EJ25=EK25,MID(Бланк!$L32,1,100),MID(Бланк!$L32,3,100))</f>
        <v/>
      </c>
      <c r="EM25" s="12">
        <f>Бланк!$M32</f>
        <v>0</v>
      </c>
      <c r="EN25" s="1076">
        <f>_xlfn.IFNA(VLOOKUP(Бланк!$K$3&amp;Габариты!$C26,$DX:$EA,4,FALSE)&amp;"x"&amp;VLOOKUP(Проверки!$D24,$EC:$EE,3,FALSE),0)</f>
        <v>0</v>
      </c>
      <c r="EO25" s="1076">
        <f t="shared" si="94"/>
        <v>0</v>
      </c>
      <c r="EP25" s="25">
        <f>Бланк!$N32</f>
        <v>0</v>
      </c>
      <c r="EQ25" s="355">
        <f>_xlfn.IFNA(VLOOKUP(EL25&amp;" "&amp;EO25,'Список кабелей'!$I:$J,2,FALSE),0)</f>
        <v>0</v>
      </c>
      <c r="ER25" s="355">
        <f>IF(OR(EL25="-",EO25="-",EP25="-",Проверки!$D24=""),0,VLOOKUP(EO25,'Список кабелей'!$D:$J,7,FALSE))</f>
        <v>0</v>
      </c>
      <c r="ES25" s="355">
        <f t="shared" si="95"/>
        <v>0</v>
      </c>
      <c r="ET25" s="1076">
        <f>EK25*_xlfn.IFNA(VLOOKUP(Проверки!$D24,$EC:$EE,2,FALSE),0)</f>
        <v>0</v>
      </c>
      <c r="EU25" s="1077">
        <f t="shared" si="96"/>
        <v>0</v>
      </c>
      <c r="EV25" s="17">
        <f t="shared" si="97"/>
        <v>0</v>
      </c>
      <c r="EW25" s="19">
        <f t="shared" si="111"/>
        <v>0</v>
      </c>
      <c r="EX25" s="25">
        <f t="shared" si="111"/>
        <v>0</v>
      </c>
      <c r="EY25" s="25">
        <f t="shared" si="111"/>
        <v>0</v>
      </c>
      <c r="EZ25" s="25">
        <f t="shared" si="111"/>
        <v>0</v>
      </c>
      <c r="FA25" s="25">
        <f t="shared" si="111"/>
        <v>0</v>
      </c>
      <c r="FB25" s="25">
        <f t="shared" si="111"/>
        <v>0</v>
      </c>
      <c r="FC25" s="25">
        <f t="shared" si="111"/>
        <v>0</v>
      </c>
      <c r="FD25" s="25">
        <f t="shared" si="111"/>
        <v>0</v>
      </c>
      <c r="FE25" s="59">
        <f t="shared" si="111"/>
        <v>0</v>
      </c>
      <c r="FF25" s="561"/>
      <c r="FG25" s="588"/>
      <c r="FH25" s="565"/>
      <c r="FI25" s="565"/>
      <c r="FJ25" s="565"/>
      <c r="FK25" s="565"/>
      <c r="FL25" s="565"/>
      <c r="FM25" s="565"/>
      <c r="FN25" s="565"/>
      <c r="FO25" s="565"/>
      <c r="FP25" s="565"/>
      <c r="FQ25" s="565"/>
      <c r="FR25" s="565"/>
      <c r="FS25" s="7"/>
      <c r="FT25" s="179"/>
      <c r="FU25" s="179"/>
      <c r="FV25" s="561"/>
      <c r="GL25" s="786">
        <v>4</v>
      </c>
      <c r="GM25" s="786">
        <v>21</v>
      </c>
      <c r="GO25" s="723" t="s">
        <v>286</v>
      </c>
      <c r="GP25" s="724">
        <f ca="1">SUM(GP5:GP24)</f>
        <v>4</v>
      </c>
      <c r="GQ25" s="724">
        <f ca="1">SUM(GQ5:GQ24)</f>
        <v>0</v>
      </c>
      <c r="GR25" s="730">
        <f ca="1">SUM(GR5:GR24)</f>
        <v>0</v>
      </c>
      <c r="GY25" s="795" t="s">
        <v>1008</v>
      </c>
      <c r="GZ25" s="797">
        <f ca="1">SUM(GZ5:GZ24)</f>
        <v>2</v>
      </c>
      <c r="HA25" s="797">
        <f ca="1">SUM(HA5:HA24)</f>
        <v>2</v>
      </c>
      <c r="HB25" s="797">
        <f ca="1">SUM(HB5:HB24)</f>
        <v>56</v>
      </c>
      <c r="HC25" s="797">
        <f ca="1">SUM(HC5:HC24)</f>
        <v>32</v>
      </c>
      <c r="HD25" s="1276" t="b">
        <f ca="1">AND(OR(HD5:HD24),OR(HE5:HE24))</f>
        <v>0</v>
      </c>
      <c r="HE25" s="1277"/>
      <c r="HF25" s="729" t="b">
        <f ca="1">OR(HF5:HF24)</f>
        <v>0</v>
      </c>
      <c r="HJ25" s="795" t="s">
        <v>1008</v>
      </c>
      <c r="HK25" s="797">
        <f ca="1">SUM(HK5:HK24)</f>
        <v>0</v>
      </c>
      <c r="HL25" s="797">
        <f ca="1">SUM(HL5:HL24)</f>
        <v>0</v>
      </c>
      <c r="HM25" s="797">
        <f ca="1">SUM(HM5:HM24)</f>
        <v>0</v>
      </c>
      <c r="HN25" s="797">
        <f ca="1">SUM(HN5:HN24)</f>
        <v>0</v>
      </c>
      <c r="HO25" s="1276" t="b">
        <f ca="1">AND(OR(HO5:HO24),OR(HP5:HP24))</f>
        <v>0</v>
      </c>
      <c r="HP25" s="1277"/>
      <c r="HQ25" s="729" t="b">
        <f ca="1">OR(HQ5:HQ24)</f>
        <v>0</v>
      </c>
      <c r="HU25" s="795" t="s">
        <v>1008</v>
      </c>
      <c r="HV25" s="797">
        <f ca="1">SUM(HV5:HV24)</f>
        <v>0</v>
      </c>
      <c r="HW25" s="797">
        <f ca="1">SUM(HW5:HW24)</f>
        <v>0</v>
      </c>
      <c r="HX25" s="797">
        <f ca="1">SUM(HX5:HX24)</f>
        <v>0</v>
      </c>
      <c r="HY25" s="797">
        <f ca="1">SUM(HY5:HY24)</f>
        <v>0</v>
      </c>
      <c r="HZ25" s="1276" t="b">
        <f ca="1">AND(OR(HZ5:HZ24),OR(IA5:IA24))</f>
        <v>0</v>
      </c>
      <c r="IA25" s="1277"/>
      <c r="IB25" s="729" t="b">
        <f ca="1">OR(IB5:IB24)</f>
        <v>0</v>
      </c>
      <c r="ID25" s="889">
        <f>3*HLOOKUP(Бланк!$H$46,IF23:IH25,IF(Габариты!$AS$6="сверху",2,3),FALSE)</f>
        <v>3</v>
      </c>
      <c r="IE25" s="898" t="s">
        <v>80</v>
      </c>
      <c r="IF25" s="898">
        <v>1</v>
      </c>
      <c r="IG25" s="898">
        <v>1</v>
      </c>
      <c r="IH25" s="898">
        <v>2</v>
      </c>
    </row>
    <row r="26" spans="1:242" ht="13.5" thickBot="1" x14ac:dyDescent="0.25">
      <c r="A26" s="1021" t="s">
        <v>1309</v>
      </c>
      <c r="B26" s="142" t="str">
        <f>MID(Бланк!B32,1,3)</f>
        <v/>
      </c>
      <c r="C26" s="150">
        <f>IF(ISBLANK(Бланк!$C32),0,MID(Бланк!$C32,1,1))</f>
        <v>0</v>
      </c>
      <c r="D26" s="1022">
        <f>Бланк!D32</f>
        <v>0</v>
      </c>
      <c r="E26" s="283" t="b">
        <f>AND(MID(Бланк!$H32,1,3)&lt;&gt;"-",MID(Бланк!$H32,1,3)&lt;&gt;"")</f>
        <v>0</v>
      </c>
      <c r="F26" s="458">
        <f>Бланк!$O32</f>
        <v>0</v>
      </c>
      <c r="G26" s="283">
        <f t="shared" si="98"/>
        <v>0</v>
      </c>
      <c r="H26" s="284">
        <f t="shared" si="99"/>
        <v>0</v>
      </c>
      <c r="I26" s="282">
        <f>IF(AND($E26,Проверки!$I24,$D26&lt;=25,$C26="2"),$F26,0)</f>
        <v>0</v>
      </c>
      <c r="J26" s="283">
        <f>IF(AND($E26,Проверки!I24,$D26&lt;=63,$C26="2",I26=0),$F26,0)</f>
        <v>0</v>
      </c>
      <c r="K26" s="283">
        <f>IF(AND($E26,Проверки!$I24,$D26&lt;=25,$C26&gt;="3"),$F26,0)</f>
        <v>0</v>
      </c>
      <c r="L26" s="283">
        <f>IF(AND($E26,Проверки!$I24,$D26&lt;=63,C26&gt;="3",K26=0),$F26,0)</f>
        <v>0</v>
      </c>
      <c r="M26" s="283">
        <f>IF(AND($E26,Проверки!L24,$C26="2"),$F26,0)</f>
        <v>0</v>
      </c>
      <c r="N26" s="283">
        <f>IF(AND($E26,Проверки!$L24,$C26&gt;="3"),$F26,0)</f>
        <v>0</v>
      </c>
      <c r="O26" s="283">
        <f>IF(AND($E26,Проверки!$M24,$C26="2"),1,0)</f>
        <v>0</v>
      </c>
      <c r="P26" s="283">
        <f>IF(AND($E26,Проверки!$M24,$C26&gt;="3",$D26&lt;=63,ISERR(SEARCH("si",Бланк!H32))),1,0)</f>
        <v>0</v>
      </c>
      <c r="Q26" s="283">
        <f>IF(AND($E26,Проверки!$M24,$C26&gt;="3",P26=0),1,0)</f>
        <v>0</v>
      </c>
      <c r="R26" s="283">
        <f>IF(AND(Бланк!I32="+",OR(Проверки!$I24:$L24,Проверки!$O24)),$F26,0)</f>
        <v>0</v>
      </c>
      <c r="S26" s="283">
        <f>IF(AND(Бланк!J32="+",OR(Проверки!$I24:$L24,Проверки!$O24)),$F26,0)</f>
        <v>0</v>
      </c>
      <c r="T26" s="283">
        <f>IF(AND(Бланк!K32="+",OR(Проверки!$I24:$L24,Проверки!$O24)),$F26,0)</f>
        <v>0</v>
      </c>
      <c r="U26" s="283">
        <f>IF(AND(Бланк!I32="+",Проверки!$M24),Бланк!$O32,0)</f>
        <v>0</v>
      </c>
      <c r="V26" s="283">
        <f>IF(AND(Бланк!J32="+",Проверки!$M24),Бланк!$O32,0)</f>
        <v>0</v>
      </c>
      <c r="W26" s="284">
        <f>IF(AND(Бланк!K32="+",Проверки!$M24),Бланк!$O32,0)</f>
        <v>0</v>
      </c>
      <c r="X26" s="268">
        <f t="shared" si="41"/>
        <v>0</v>
      </c>
      <c r="Y26" s="283">
        <f t="shared" si="42"/>
        <v>0</v>
      </c>
      <c r="Z26" s="283">
        <f t="shared" si="43"/>
        <v>0</v>
      </c>
      <c r="AA26" s="283">
        <f t="shared" si="44"/>
        <v>0</v>
      </c>
      <c r="AB26" s="283">
        <f t="shared" si="45"/>
        <v>0</v>
      </c>
      <c r="AC26" s="283">
        <f t="shared" si="46"/>
        <v>0</v>
      </c>
      <c r="AD26" s="283">
        <f t="shared" si="47"/>
        <v>0</v>
      </c>
      <c r="AE26" s="283">
        <f t="shared" si="48"/>
        <v>0</v>
      </c>
      <c r="AF26" s="283">
        <f t="shared" si="49"/>
        <v>0</v>
      </c>
      <c r="AG26" s="283">
        <f t="shared" si="50"/>
        <v>0</v>
      </c>
      <c r="AH26" s="283">
        <f t="shared" si="51"/>
        <v>0</v>
      </c>
      <c r="AI26" s="283">
        <f t="shared" si="52"/>
        <v>0</v>
      </c>
      <c r="AJ26" s="283">
        <f t="shared" si="53"/>
        <v>0</v>
      </c>
      <c r="AK26" s="283">
        <f t="shared" si="54"/>
        <v>0</v>
      </c>
      <c r="AL26" s="284">
        <f t="shared" si="55"/>
        <v>0</v>
      </c>
      <c r="AM26" s="282">
        <f t="shared" si="56"/>
        <v>0</v>
      </c>
      <c r="AN26" s="284">
        <f t="shared" si="57"/>
        <v>0</v>
      </c>
      <c r="AO26" s="268">
        <f t="shared" si="58"/>
        <v>0</v>
      </c>
      <c r="AP26" s="284">
        <f t="shared" si="59"/>
        <v>0</v>
      </c>
      <c r="AQ26" s="136">
        <f>IF(MID(Бланк!L32,1,1)="3",3,IF(MID(Бланк!L32,1,1)="2",2,1))</f>
        <v>1</v>
      </c>
      <c r="AR26" s="1022">
        <f>IF(ISERROR(VALUE(MID(Бланк!M32,3,LEN(Бланк!M32)-SEARCH("x",Бланк!M32)))),0,VALUE(MID(Бланк!M32,3,LEN(Бланк!M32)-SEARCH("x",Бланк!M32))))</f>
        <v>0</v>
      </c>
      <c r="AS26" s="1022">
        <f>Бланк!N32</f>
        <v>0</v>
      </c>
      <c r="CI26" s="1017" t="s">
        <v>1309</v>
      </c>
      <c r="CJ26" s="1017">
        <f>IF(OR($G26=0,$B26="NSX"),0,ROUNDDOWN(($A$68-SUM(CL$6:CL25))/$G26,0))</f>
        <v>0</v>
      </c>
      <c r="CK26" s="1018">
        <f t="shared" si="100"/>
        <v>0</v>
      </c>
      <c r="CL26" s="1017">
        <f t="shared" si="101"/>
        <v>0</v>
      </c>
      <c r="CM26" s="1017">
        <f>IF(OR($G26=0,$B26="NSX"),0,ROUNDDOWN(($A$68-SUM(CO$6:CO25))/$G26,0))</f>
        <v>0</v>
      </c>
      <c r="CN26" s="1017">
        <f>IF(CM26&gt;=$F26-SUMIF($CK$5:CK$5,"Кол-во",$CK26:CK26),$F26-SUMIF($CK$5:CK$5,"Кол-во",$CK26:CK26),CM26)</f>
        <v>0</v>
      </c>
      <c r="CO26" s="1017">
        <f t="shared" si="102"/>
        <v>0</v>
      </c>
      <c r="CP26" s="1017">
        <f>IF(OR($G26=0,$B26="NSX"),0,ROUNDDOWN(($A$68-SUM(CR$6:CR25))/$G26,0))</f>
        <v>0</v>
      </c>
      <c r="CQ26" s="1017">
        <f>IF(CP26&gt;=$F26-SUMIF($CK$5:CN$5,"Кол-во",$CK26:CN26),$F26-SUMIF($CK$5:CN$5,"Кол-во",$CK26:CN26),CP26)</f>
        <v>0</v>
      </c>
      <c r="CR26" s="1017">
        <f t="shared" si="103"/>
        <v>0</v>
      </c>
      <c r="CS26" s="1017">
        <f>IF(OR($G26=0,$B26="NSX"),0,ROUNDDOWN(($A$68-SUM(CU$6:CU25))/$G26,0))</f>
        <v>0</v>
      </c>
      <c r="CT26" s="1017">
        <f>IF(CS26&gt;=$F26-SUMIF($CK$5:CQ$5,"Кол-во",$CK26:CQ26),$F26-SUMIF($CK$5:CQ$5,"Кол-во",$CK26:CQ26),CS26)</f>
        <v>0</v>
      </c>
      <c r="CU26" s="1017">
        <f t="shared" si="104"/>
        <v>0</v>
      </c>
      <c r="CV26" s="1017">
        <f>IF(OR($G26=0,$B26="NSX"),0,ROUNDDOWN(($A$68-SUM(CX$6:CX25))/$G26,0))</f>
        <v>0</v>
      </c>
      <c r="CW26" s="1017">
        <f>IF(CV26&gt;=$F26-SUMIF($CK$5:CT$5,"Кол-во",$CK26:CT26),$F26-SUMIF($CK$5:CT$5,"Кол-во",$CK26:CT26),CV26)</f>
        <v>0</v>
      </c>
      <c r="CX26" s="1017">
        <f t="shared" si="105"/>
        <v>0</v>
      </c>
      <c r="CY26" s="1017">
        <f>IF(OR($G26=0,$B26="NSX"),0,ROUNDDOWN(($A$68-SUM(DA$6:DA25))/$G26,0))</f>
        <v>0</v>
      </c>
      <c r="CZ26" s="1017">
        <f>IF(CY26&gt;=$F26-SUMIF($CK$5:CW$5,"Кол-во",$CK26:CW26),$F26-SUMIF($CK$5:CW$5,"Кол-во",$CK26:CW26),CY26)</f>
        <v>0</v>
      </c>
      <c r="DA26" s="1017">
        <f t="shared" si="106"/>
        <v>0</v>
      </c>
      <c r="DB26" s="1017">
        <f>IF(OR($G26=0,$B26="NSX"),0,ROUNDDOWN(($A$68-SUM(DD$6:DD25))/$G26,0))</f>
        <v>0</v>
      </c>
      <c r="DC26" s="1017">
        <f>IF(DB26&gt;=$F26-SUMIF($CK$5:CZ$5,"Кол-во",$CK26:CZ26),$F26-SUMIF($CK$5:CZ$5,"Кол-во",$CK26:CZ26),DB26)</f>
        <v>0</v>
      </c>
      <c r="DD26" s="1017">
        <f t="shared" si="107"/>
        <v>0</v>
      </c>
      <c r="DE26" s="1017">
        <f>IF(OR($G26=0,$B26="NSX"),0,ROUNDDOWN(($A$68-SUM(DG$6:DG25))/$G26,0))</f>
        <v>0</v>
      </c>
      <c r="DF26" s="1017">
        <f>IF(DE26&gt;=$F26-SUMIF($CK$5:DC$5,"Кол-во",$CK26:DC26),$F26-SUMIF($CK$5:DC$5,"Кол-во",$CK26:DC26),DE26)</f>
        <v>0</v>
      </c>
      <c r="DG26" s="1017">
        <f t="shared" si="108"/>
        <v>0</v>
      </c>
      <c r="DH26" s="1017">
        <f>IF(OR($G26=0,$B26="NSX"),0,ROUNDDOWN(($A$68-SUM(DJ$6:DJ25))/$G26,0))</f>
        <v>0</v>
      </c>
      <c r="DI26" s="1017">
        <f>IF(DH26&gt;=$F26-SUMIF($CK$5:DF$5,"Кол-во",$CK26:DF26),$F26-SUMIF($CK$5:DF$5,"Кол-во",$CK26:DF26),DH26)</f>
        <v>0</v>
      </c>
      <c r="DJ26" s="1017">
        <f t="shared" si="109"/>
        <v>0</v>
      </c>
      <c r="DK26" s="1017">
        <f>IF(OR($G26=0,$B26="NSX"),0,ROUNDDOWN(($A$68-SUM(DM$6:DM25))/$G26,0))</f>
        <v>0</v>
      </c>
      <c r="DL26" s="1017">
        <f>IF(DK26&gt;=$F26-SUMIF($CK$5:DI$5,"Кол-во",$CK26:DI26),$F26-SUMIF($CK$5:DI$5,"Кол-во",$CK26:DI26),DK26)</f>
        <v>0</v>
      </c>
      <c r="DM26" s="1017">
        <f t="shared" si="110"/>
        <v>0</v>
      </c>
      <c r="EC26" s="559">
        <v>160</v>
      </c>
      <c r="ED26" s="559">
        <v>1</v>
      </c>
      <c r="EE26" s="352">
        <v>70</v>
      </c>
      <c r="EF26" s="560"/>
      <c r="EG26" s="560"/>
      <c r="EH26" s="560"/>
      <c r="EI26" s="560"/>
      <c r="EJ26" s="560"/>
      <c r="EK26" s="560"/>
      <c r="EL26" s="560"/>
      <c r="EM26" s="560"/>
      <c r="EN26" s="1"/>
      <c r="EO26" s="1"/>
      <c r="EP26" s="560"/>
      <c r="EQ26" s="560"/>
      <c r="ER26" s="1"/>
      <c r="ES26" s="1"/>
      <c r="ET26" s="1"/>
      <c r="EU26" s="560"/>
      <c r="EV26" s="560"/>
      <c r="EW26" s="24">
        <f>SUM(EW5:EW25)</f>
        <v>0</v>
      </c>
      <c r="EX26" s="24">
        <f t="shared" ref="EX26:FE26" si="112">SUM(EX5:EX25)</f>
        <v>1</v>
      </c>
      <c r="EY26" s="24">
        <f t="shared" si="112"/>
        <v>0</v>
      </c>
      <c r="EZ26" s="24">
        <f t="shared" si="112"/>
        <v>0</v>
      </c>
      <c r="FA26" s="24">
        <f t="shared" si="112"/>
        <v>0</v>
      </c>
      <c r="FB26" s="24">
        <f t="shared" si="112"/>
        <v>0</v>
      </c>
      <c r="FC26" s="24">
        <f t="shared" si="112"/>
        <v>3</v>
      </c>
      <c r="FD26" s="24">
        <f t="shared" si="112"/>
        <v>0</v>
      </c>
      <c r="FE26" s="24">
        <f t="shared" si="112"/>
        <v>9</v>
      </c>
      <c r="FF26" s="561"/>
      <c r="FG26" s="588"/>
      <c r="FH26" s="565"/>
      <c r="FI26" s="565"/>
      <c r="FJ26" s="565"/>
      <c r="FK26" s="565"/>
      <c r="FL26" s="565"/>
      <c r="FM26" s="565"/>
      <c r="FN26" s="565"/>
      <c r="FO26" s="565"/>
      <c r="FP26" s="565"/>
      <c r="FQ26" s="565"/>
      <c r="FR26" s="565"/>
      <c r="FS26" s="7"/>
      <c r="FT26" s="179"/>
      <c r="FU26" s="179"/>
      <c r="FV26" s="561"/>
      <c r="GL26" s="786">
        <v>3</v>
      </c>
      <c r="GM26" s="786">
        <v>22</v>
      </c>
      <c r="GO26" s="812" t="s">
        <v>1020</v>
      </c>
      <c r="GP26" s="813">
        <f ca="1">SUMPRODUCT($GO5:$GO24,GP5:GP24)</f>
        <v>88</v>
      </c>
      <c r="GQ26" s="813">
        <f ca="1">SUMPRODUCT($GO5:$GO24,GQ5:GQ24)</f>
        <v>0</v>
      </c>
      <c r="GR26" s="814">
        <f ca="1">SUMPRODUCT($GO5:$GO24,GR5:GR24)</f>
        <v>0</v>
      </c>
      <c r="GZ26" s="1257" t="s">
        <v>1016</v>
      </c>
      <c r="HA26" s="1258"/>
      <c r="HB26" s="1258"/>
      <c r="HC26" s="1258"/>
      <c r="HD26" s="1258"/>
      <c r="HE26" s="713" t="b">
        <f ca="1">OR(HD25,HF25)</f>
        <v>0</v>
      </c>
      <c r="HK26" s="1257" t="s">
        <v>1016</v>
      </c>
      <c r="HL26" s="1258"/>
      <c r="HM26" s="1258"/>
      <c r="HN26" s="1258"/>
      <c r="HO26" s="1258"/>
      <c r="HP26" s="713" t="b">
        <f ca="1">OR(HO25,HQ25)</f>
        <v>0</v>
      </c>
      <c r="HV26" s="1257" t="s">
        <v>1016</v>
      </c>
      <c r="HW26" s="1258"/>
      <c r="HX26" s="1258"/>
      <c r="HY26" s="1258"/>
      <c r="HZ26" s="1258"/>
      <c r="IA26" s="713" t="b">
        <f ca="1">OR(HZ25,IB25)</f>
        <v>0</v>
      </c>
    </row>
    <row r="27" spans="1:242" ht="12.75" customHeight="1" thickBot="1" x14ac:dyDescent="0.25">
      <c r="A27" s="885" t="s">
        <v>1097</v>
      </c>
      <c r="B27" s="415"/>
      <c r="C27" s="457"/>
      <c r="D27" s="67"/>
      <c r="E27" s="144"/>
      <c r="F27" s="459">
        <f>IF(Бланк!E34="+",1,0)</f>
        <v>0</v>
      </c>
      <c r="G27" s="460">
        <f>IF(Бланк!E34="+",B73,0)</f>
        <v>0</v>
      </c>
      <c r="H27" s="461" t="s">
        <v>852</v>
      </c>
      <c r="I27" s="269">
        <f>SUM(I6:I26)</f>
        <v>0</v>
      </c>
      <c r="J27" s="269">
        <f t="shared" ref="J27:AP27" si="113">SUM(J6:J26)</f>
        <v>0</v>
      </c>
      <c r="K27" s="269">
        <f t="shared" si="113"/>
        <v>0</v>
      </c>
      <c r="L27" s="269">
        <f t="shared" si="113"/>
        <v>0</v>
      </c>
      <c r="M27" s="269">
        <f t="shared" si="113"/>
        <v>0</v>
      </c>
      <c r="N27" s="269">
        <f t="shared" si="113"/>
        <v>0</v>
      </c>
      <c r="O27" s="269">
        <f t="shared" si="113"/>
        <v>0</v>
      </c>
      <c r="P27" s="269">
        <f t="shared" si="113"/>
        <v>0</v>
      </c>
      <c r="Q27" s="269">
        <f t="shared" si="113"/>
        <v>0</v>
      </c>
      <c r="R27" s="269">
        <f t="shared" si="113"/>
        <v>0</v>
      </c>
      <c r="S27" s="269">
        <f t="shared" si="113"/>
        <v>0</v>
      </c>
      <c r="T27" s="269">
        <f t="shared" si="113"/>
        <v>0</v>
      </c>
      <c r="U27" s="269">
        <f t="shared" si="113"/>
        <v>0</v>
      </c>
      <c r="V27" s="269">
        <f t="shared" si="113"/>
        <v>0</v>
      </c>
      <c r="W27" s="424">
        <f t="shared" si="113"/>
        <v>0</v>
      </c>
      <c r="X27" s="423">
        <f t="shared" si="113"/>
        <v>12</v>
      </c>
      <c r="Y27" s="269">
        <f t="shared" si="113"/>
        <v>0</v>
      </c>
      <c r="Z27" s="269">
        <f t="shared" si="113"/>
        <v>0</v>
      </c>
      <c r="AA27" s="269">
        <f t="shared" si="113"/>
        <v>0</v>
      </c>
      <c r="AB27" s="269">
        <f t="shared" si="113"/>
        <v>0</v>
      </c>
      <c r="AC27" s="269">
        <f t="shared" si="113"/>
        <v>0</v>
      </c>
      <c r="AD27" s="269">
        <f t="shared" si="113"/>
        <v>0</v>
      </c>
      <c r="AE27" s="269">
        <f t="shared" si="113"/>
        <v>0</v>
      </c>
      <c r="AF27" s="269">
        <f t="shared" si="113"/>
        <v>0</v>
      </c>
      <c r="AG27" s="269">
        <f t="shared" si="113"/>
        <v>0</v>
      </c>
      <c r="AH27" s="269">
        <f t="shared" si="113"/>
        <v>0</v>
      </c>
      <c r="AI27" s="269">
        <f t="shared" si="113"/>
        <v>0</v>
      </c>
      <c r="AJ27" s="269">
        <f t="shared" si="113"/>
        <v>0</v>
      </c>
      <c r="AK27" s="269">
        <f t="shared" si="113"/>
        <v>0</v>
      </c>
      <c r="AL27" s="424">
        <f t="shared" si="113"/>
        <v>0</v>
      </c>
      <c r="AM27" s="423">
        <f t="shared" si="113"/>
        <v>1</v>
      </c>
      <c r="AN27" s="424">
        <f t="shared" si="113"/>
        <v>0</v>
      </c>
      <c r="AO27" s="423">
        <f t="shared" si="113"/>
        <v>0</v>
      </c>
      <c r="AP27" s="424">
        <f t="shared" si="113"/>
        <v>0</v>
      </c>
      <c r="CI27" s="871" t="s">
        <v>851</v>
      </c>
      <c r="CJ27" s="890">
        <f>IF(OR($G27=0,$B27="NSX"),0,ROUNDDOWN(($A$68-SUM(CL$6:CL26))/$G27,0))</f>
        <v>0</v>
      </c>
      <c r="CK27" s="892">
        <f>IF(CJ27&gt;=$F27,$F27,CJ27)</f>
        <v>0</v>
      </c>
      <c r="CL27" s="890">
        <f>CK27*$G27</f>
        <v>0</v>
      </c>
      <c r="CM27" s="890">
        <f>IF(OR($G27=0,$B27="NSX"),0,ROUNDDOWN(($A$68-SUM(CO$6:CO26))/$G27,0))</f>
        <v>0</v>
      </c>
      <c r="CN27" s="890">
        <f>IF(CM27&gt;=$F27-SUMIF($CK$5:CK$5,"Кол-во",$CK27:CK27),$F27-SUMIF($CK$5:CK$5,"Кол-во",$CK27:CK27),CM27)</f>
        <v>0</v>
      </c>
      <c r="CO27" s="890">
        <f>CN27*$G27</f>
        <v>0</v>
      </c>
      <c r="CP27" s="1017">
        <f>IF(OR($G27=0,$B27="NSX"),0,ROUNDDOWN(($A$68-SUM(CR$6:CR26))/$G27,0))</f>
        <v>0</v>
      </c>
      <c r="CQ27" s="1017">
        <f>IF(CP27&gt;=$F27-SUMIF($CK$5:CN$5,"Кол-во",$CK27:CN27),$F27-SUMIF($CK$5:CN$5,"Кол-во",$CK27:CN27),CP27)</f>
        <v>0</v>
      </c>
      <c r="CR27" s="1017">
        <f t="shared" si="103"/>
        <v>0</v>
      </c>
      <c r="CS27" s="1017">
        <f>IF(OR($G27=0,$B27="NSX"),0,ROUNDDOWN(($A$68-SUM(CU$6:CU26))/$G27,0))</f>
        <v>0</v>
      </c>
      <c r="CT27" s="1017">
        <f>IF(CS27&gt;=$F27-SUMIF($CK$5:CQ$5,"Кол-во",$CK27:CQ27),$F27-SUMIF($CK$5:CQ$5,"Кол-во",$CK27:CQ27),CS27)</f>
        <v>0</v>
      </c>
      <c r="CU27" s="1017">
        <f t="shared" si="104"/>
        <v>0</v>
      </c>
      <c r="CV27" s="1017">
        <f>IF(OR($G27=0,$B27="NSX"),0,ROUNDDOWN(($A$68-SUM(CX$6:CX26))/$G27,0))</f>
        <v>0</v>
      </c>
      <c r="CW27" s="1017">
        <f>IF(CV27&gt;=$F27-SUMIF($CK$5:CT$5,"Кол-во",$CK27:CT27),$F27-SUMIF($CK$5:CT$5,"Кол-во",$CK27:CT27),CV27)</f>
        <v>0</v>
      </c>
      <c r="CX27" s="1017">
        <f t="shared" si="105"/>
        <v>0</v>
      </c>
      <c r="CY27" s="1017">
        <f>IF(OR($G27=0,$B27="NSX"),0,ROUNDDOWN(($A$68-SUM(DA$6:DA26))/$G27,0))</f>
        <v>0</v>
      </c>
      <c r="CZ27" s="1017">
        <f>IF(CY27&gt;=$F27-SUMIF($CK$5:CW$5,"Кол-во",$CK27:CW27),$F27-SUMIF($CK$5:CW$5,"Кол-во",$CK27:CW27),CY27)</f>
        <v>0</v>
      </c>
      <c r="DA27" s="1017">
        <f t="shared" si="106"/>
        <v>0</v>
      </c>
      <c r="DB27" s="1017">
        <f>IF(OR($G27=0,$B27="NSX"),0,ROUNDDOWN(($A$68-SUM(DD$6:DD26))/$G27,0))</f>
        <v>0</v>
      </c>
      <c r="DC27" s="1017">
        <f>IF(DB27&gt;=$F27-SUMIF($CK$5:CZ$5,"Кол-во",$CK27:CZ27),$F27-SUMIF($CK$5:CZ$5,"Кол-во",$CK27:CZ27),DB27)</f>
        <v>0</v>
      </c>
      <c r="DD27" s="1017">
        <f t="shared" si="107"/>
        <v>0</v>
      </c>
      <c r="DE27" s="1017">
        <f>IF(OR($G27=0,$B27="NSX"),0,ROUNDDOWN(($A$68-SUM(DG$6:DG26))/$G27,0))</f>
        <v>0</v>
      </c>
      <c r="DF27" s="1017">
        <f>IF(DE27&gt;=$F27-SUMIF($CK$5:DC$5,"Кол-во",$CK27:DC27),$F27-SUMIF($CK$5:DC$5,"Кол-во",$CK27:DC27),DE27)</f>
        <v>0</v>
      </c>
      <c r="DG27" s="1017">
        <f t="shared" si="108"/>
        <v>0</v>
      </c>
      <c r="DH27" s="1017">
        <f>IF(OR($G27=0,$B27="NSX"),0,ROUNDDOWN(($A$68-SUM(DJ$6:DJ26))/$G27,0))</f>
        <v>0</v>
      </c>
      <c r="DI27" s="1017">
        <f>IF(DH27&gt;=$F27-SUMIF($CK$5:DF$5,"Кол-во",$CK27:DF27),$F27-SUMIF($CK$5:DF$5,"Кол-во",$CK27:DF27),DH27)</f>
        <v>0</v>
      </c>
      <c r="DJ27" s="1017">
        <f t="shared" si="109"/>
        <v>0</v>
      </c>
      <c r="DK27" s="1017">
        <f>IF(OR($G27=0,$B27="NSX"),0,ROUNDDOWN(($A$68-SUM(DM$6:DM26))/$G27,0))</f>
        <v>0</v>
      </c>
      <c r="DL27" s="1017">
        <f>IF(DK27&gt;=$F27-SUMIF($CK$5:DI$5,"Кол-во",$CK27:DI27),$F27-SUMIF($CK$5:DI$5,"Кол-во",$CK27:DI27),DK27)</f>
        <v>0</v>
      </c>
      <c r="DM27" s="1017">
        <f t="shared" si="110"/>
        <v>0</v>
      </c>
      <c r="EC27" s="559">
        <v>200</v>
      </c>
      <c r="ED27" s="559">
        <v>1</v>
      </c>
      <c r="EE27" s="352">
        <v>95</v>
      </c>
      <c r="EF27" s="560"/>
      <c r="EG27" s="560"/>
      <c r="EH27" s="560"/>
      <c r="EI27" s="560"/>
      <c r="EJ27" s="560"/>
      <c r="EK27" s="560"/>
      <c r="EL27" s="560"/>
      <c r="EM27" s="560"/>
      <c r="EN27" s="560"/>
      <c r="EO27" s="560"/>
      <c r="EP27" s="560"/>
      <c r="EQ27" s="560"/>
      <c r="ER27" s="560"/>
      <c r="ES27" s="1"/>
      <c r="ET27" s="1"/>
      <c r="EU27" s="560"/>
      <c r="EV27" s="560"/>
      <c r="EW27" s="560"/>
      <c r="EX27" s="560"/>
      <c r="EY27" s="560"/>
      <c r="EZ27" s="560"/>
      <c r="FA27" s="560"/>
      <c r="FB27" s="560"/>
      <c r="FC27" s="560"/>
      <c r="FD27" s="560"/>
      <c r="FE27" s="560"/>
      <c r="FF27" s="561"/>
      <c r="FG27" s="588"/>
      <c r="FH27" s="7"/>
      <c r="FI27" s="565"/>
      <c r="FJ27" s="565"/>
      <c r="FK27" s="565"/>
      <c r="FL27" s="565"/>
      <c r="FM27" s="565"/>
      <c r="FN27" s="565"/>
      <c r="FO27" s="565"/>
      <c r="FP27" s="565"/>
      <c r="FQ27" s="565"/>
      <c r="FR27" s="565"/>
      <c r="FS27" s="7"/>
      <c r="FT27" s="179"/>
      <c r="FU27" s="179"/>
      <c r="FV27" s="561"/>
      <c r="GL27" s="786">
        <v>2</v>
      </c>
      <c r="GM27" s="786">
        <v>23</v>
      </c>
      <c r="GO27" s="1299" t="s">
        <v>1021</v>
      </c>
      <c r="GP27" s="1299"/>
      <c r="GQ27" s="1299"/>
      <c r="GR27" s="1299"/>
      <c r="GS27" s="730" t="b">
        <f ca="1">AND(HE28,HP28,IA28)</f>
        <v>1</v>
      </c>
      <c r="GZ27" s="1284" t="s">
        <v>1017</v>
      </c>
      <c r="HA27" s="1205"/>
      <c r="HB27" s="1205"/>
      <c r="HC27" s="1205"/>
      <c r="HD27" s="1205"/>
      <c r="HE27" s="755">
        <f ca="1">IF(HE26,80,63)</f>
        <v>63</v>
      </c>
      <c r="HK27" s="1284" t="s">
        <v>1017</v>
      </c>
      <c r="HL27" s="1205"/>
      <c r="HM27" s="1205"/>
      <c r="HN27" s="1205"/>
      <c r="HO27" s="1205"/>
      <c r="HP27" s="755">
        <f ca="1">IF(HP26,80,63)</f>
        <v>63</v>
      </c>
      <c r="HV27" s="1284" t="s">
        <v>1017</v>
      </c>
      <c r="HW27" s="1205"/>
      <c r="HX27" s="1205"/>
      <c r="HY27" s="1205"/>
      <c r="HZ27" s="1205"/>
      <c r="IA27" s="755">
        <f ca="1">IF(IA26,80,63)</f>
        <v>63</v>
      </c>
    </row>
    <row r="28" spans="1:242" ht="13.5" thickBot="1" x14ac:dyDescent="0.25">
      <c r="A28" s="871" t="s">
        <v>1098</v>
      </c>
      <c r="D28" s="7"/>
      <c r="E28" s="7"/>
      <c r="F28" s="871">
        <f>N(ID33)</f>
        <v>0</v>
      </c>
      <c r="G28" s="871">
        <f>IF(E84,C73,0)</f>
        <v>0</v>
      </c>
      <c r="H28" s="7"/>
      <c r="I28" s="7"/>
      <c r="M28" s="7"/>
      <c r="N28" s="7"/>
      <c r="O28" s="7"/>
      <c r="P28" s="7"/>
      <c r="Q28" s="7"/>
      <c r="R28" s="7"/>
      <c r="S28" s="66"/>
      <c r="CI28" s="871" t="s">
        <v>1096</v>
      </c>
      <c r="CJ28" s="890">
        <f>IF(OR($G28=0,$B28="NSX"),0,ROUNDDOWN(($A$68-SUM(CL$6:CL27))/$G28,0))</f>
        <v>0</v>
      </c>
      <c r="CK28" s="892">
        <f>IF(CJ28&gt;=$F28,$F28,CJ28)</f>
        <v>0</v>
      </c>
      <c r="CL28" s="890">
        <f>CK28*$G28</f>
        <v>0</v>
      </c>
      <c r="CM28" s="890">
        <f>IF(OR($G28=0,$B28="NSX"),0,ROUNDDOWN(($A$68-SUM(CO$6:CO27))/$G28,0))</f>
        <v>0</v>
      </c>
      <c r="CN28" s="890">
        <f>IF(CM28&gt;=$F28-SUMIF($CK$5:CK$5,"Кол-во",$CK28:CK28),$F28-SUMIF($CK$5:CK$5,"Кол-во",$CK28:CK28),CM28)</f>
        <v>0</v>
      </c>
      <c r="CO28" s="890">
        <f>CN28*$G28</f>
        <v>0</v>
      </c>
      <c r="CP28" s="890">
        <f>IF(OR($G28=0,$B28="NSX"),0,ROUNDDOWN(($A$68-SUM(CR$6:CR27))/$G28,0))</f>
        <v>0</v>
      </c>
      <c r="CQ28" s="890">
        <f>IF(CP28&gt;=$F28-SUMIF($CK$5:CN$5,"Кол-во",$CK28:CN28),$F28-SUMIF($CK$5:CN$5,"Кол-во",$CK28:CN28),CP28)</f>
        <v>0</v>
      </c>
      <c r="CR28" s="890">
        <f>CQ28*$G28</f>
        <v>0</v>
      </c>
      <c r="CS28" s="890">
        <f>IF(OR($G28=0,$B28="NSX"),0,ROUNDDOWN(($A$68-SUM(CU$6:CU27))/$G28,0))</f>
        <v>0</v>
      </c>
      <c r="CT28" s="890">
        <f>IF(CS28&gt;=$F28-SUMIF($CK$5:CQ$5,"Кол-во",$CK28:CQ28),$F28-SUMIF($CK$5:CQ$5,"Кол-во",$CK28:CQ28),CS28)</f>
        <v>0</v>
      </c>
      <c r="CU28" s="890">
        <f>CT28*$G28</f>
        <v>0</v>
      </c>
      <c r="CV28" s="890">
        <f>IF(OR($G28=0,$B28="NSX"),0,ROUNDDOWN(($A$68-SUM(CX$6:CX27))/$G28,0))</f>
        <v>0</v>
      </c>
      <c r="CW28" s="890">
        <f>IF(CV28&gt;=$F28-SUMIF($CK$5:CT$5,"Кол-во",$CK28:CT28),$F28-SUMIF($CK$5:CT$5,"Кол-во",$CK28:CT28),CV28)</f>
        <v>0</v>
      </c>
      <c r="CX28" s="890">
        <f>CW28*$G28</f>
        <v>0</v>
      </c>
      <c r="CY28" s="890">
        <f>IF(OR($G28=0,$B28="NSX"),0,ROUNDDOWN(($A$68-SUM(DA$6:DA27))/$G28,0))</f>
        <v>0</v>
      </c>
      <c r="CZ28" s="890">
        <f>IF(CY28&gt;=$F28-SUMIF($CK$5:CW$5,"Кол-во",$CK28:CW28),$F28-SUMIF($CK$5:CW$5,"Кол-во",$CK28:CW28),CY28)</f>
        <v>0</v>
      </c>
      <c r="DA28" s="890">
        <f>CZ28*$G28</f>
        <v>0</v>
      </c>
      <c r="DB28" s="890">
        <f>IF(OR($G28=0,$B28="NSX"),0,ROUNDDOWN(($A$68-SUM(DD$6:DD27))/$G28,0))</f>
        <v>0</v>
      </c>
      <c r="DC28" s="890">
        <f>IF(DB28&gt;=$F28-SUMIF($CK$5:CZ$5,"Кол-во",$CK28:CZ28),$F28-SUMIF($CK$5:CZ$5,"Кол-во",$CK28:CZ28),DB28)</f>
        <v>0</v>
      </c>
      <c r="DD28" s="890">
        <f>DC28*$G28</f>
        <v>0</v>
      </c>
      <c r="DE28" s="890">
        <f>IF(OR($G28=0,$B28="NSX"),0,ROUNDDOWN(($A$68-SUM(DG$6:DG27))/$G28,0))</f>
        <v>0</v>
      </c>
      <c r="DF28" s="890">
        <f>IF(DE28&gt;=$F28-SUMIF($CK$5:DC$5,"Кол-во",$CK28:DC28),$F28-SUMIF($CK$5:DC$5,"Кол-во",$CK28:DC28),DE28)</f>
        <v>0</v>
      </c>
      <c r="DG28" s="890">
        <f>DF28*$G28</f>
        <v>0</v>
      </c>
      <c r="DH28" s="890">
        <f>IF(OR($G28=0,$B28="NSX"),0,ROUNDDOWN(($A$68-SUM(DJ$6:DJ27))/$G28,0))</f>
        <v>0</v>
      </c>
      <c r="DI28" s="890">
        <f>IF(DH28&gt;=$F28-SUMIF($CK$5:DF$5,"Кол-во",$CK28:DF28),$F28-SUMIF($CK$5:DF$5,"Кол-во",$CK28:DF28),DH28)</f>
        <v>0</v>
      </c>
      <c r="DJ28" s="890">
        <f>DI28*$G28</f>
        <v>0</v>
      </c>
      <c r="DK28" s="890">
        <f>IF(OR($G28=0,$B28="NSX"),0,ROUNDDOWN(($A$68-SUM(DM$6:DM27))/$G28,0))</f>
        <v>0</v>
      </c>
      <c r="DL28" s="890">
        <f>IF(DK28&gt;=$F28-SUMIF($CK$5:DI$5,"Кол-во",$CK28:DI28),$F28-SUMIF($CK$5:DI$5,"Кол-во",$CK28:DI28),DK28)</f>
        <v>0</v>
      </c>
      <c r="DM28" s="890">
        <f>DL28*$G28</f>
        <v>0</v>
      </c>
      <c r="EC28" s="559">
        <v>250</v>
      </c>
      <c r="ED28" s="559">
        <v>1</v>
      </c>
      <c r="EE28" s="352">
        <v>120</v>
      </c>
      <c r="EF28" s="560"/>
      <c r="EG28" s="560"/>
      <c r="EH28" s="560"/>
      <c r="EI28" s="560"/>
      <c r="EJ28" s="560"/>
      <c r="EK28" s="560"/>
      <c r="EL28" s="560"/>
      <c r="EM28" s="560"/>
      <c r="EN28" s="560"/>
      <c r="EO28" s="560"/>
      <c r="EP28" s="560"/>
      <c r="EQ28" s="560"/>
      <c r="ER28" s="560"/>
      <c r="ES28" s="1"/>
      <c r="ET28" s="1"/>
      <c r="EU28" s="560"/>
      <c r="EV28" s="560"/>
      <c r="EW28" s="560"/>
      <c r="EX28" s="560"/>
      <c r="EY28" s="560"/>
      <c r="EZ28" s="560"/>
      <c r="FA28" s="560"/>
      <c r="FB28" s="560"/>
      <c r="FC28" s="560"/>
      <c r="FD28" s="560"/>
      <c r="FE28" s="560"/>
      <c r="FF28" s="561"/>
      <c r="FG28" s="561"/>
      <c r="FH28" s="565"/>
      <c r="FI28" s="565"/>
      <c r="FJ28" s="565"/>
      <c r="FK28" s="565"/>
      <c r="FL28" s="565"/>
      <c r="FM28" s="565"/>
      <c r="FN28" s="565"/>
      <c r="FO28" s="565"/>
      <c r="FP28" s="565"/>
      <c r="FQ28" s="565"/>
      <c r="FR28" s="565"/>
      <c r="FS28" s="565"/>
      <c r="FT28" s="27"/>
      <c r="FU28" s="9"/>
      <c r="FV28" s="561"/>
      <c r="GL28" s="786">
        <v>1</v>
      </c>
      <c r="GM28" s="786">
        <v>24</v>
      </c>
      <c r="GO28" s="1300"/>
      <c r="GP28" s="1300"/>
      <c r="GQ28" s="1300"/>
      <c r="GR28" s="1300"/>
      <c r="GZ28" s="1285" t="s">
        <v>1021</v>
      </c>
      <c r="HA28" s="1286"/>
      <c r="HB28" s="1286"/>
      <c r="HC28" s="1286"/>
      <c r="HD28" s="1286"/>
      <c r="HE28" s="807" t="b">
        <f ca="1">AND(HB25&lt;=HE27,HC25&lt;=HE27)</f>
        <v>1</v>
      </c>
      <c r="HK28" s="1285" t="s">
        <v>1021</v>
      </c>
      <c r="HL28" s="1286"/>
      <c r="HM28" s="1286"/>
      <c r="HN28" s="1286"/>
      <c r="HO28" s="1286"/>
      <c r="HP28" s="807" t="b">
        <f ca="1">AND(HM25&lt;=HP27,HN25&lt;=HP27)</f>
        <v>1</v>
      </c>
      <c r="HV28" s="1285" t="s">
        <v>1021</v>
      </c>
      <c r="HW28" s="1286"/>
      <c r="HX28" s="1286"/>
      <c r="HY28" s="1286"/>
      <c r="HZ28" s="1286"/>
      <c r="IA28" s="807" t="b">
        <f ca="1">AND(HX25&lt;=IA27,HY25&lt;=IA27)</f>
        <v>1</v>
      </c>
      <c r="ID28" s="887" t="s">
        <v>1078</v>
      </c>
    </row>
    <row r="29" spans="1:242" x14ac:dyDescent="0.2">
      <c r="CI29" s="157" t="s">
        <v>1110</v>
      </c>
      <c r="CJ29" s="37"/>
      <c r="CK29" s="37"/>
      <c r="CL29" s="737">
        <f>SUM(CL6:CL28)</f>
        <v>216</v>
      </c>
      <c r="CM29" s="37"/>
      <c r="CN29" s="37"/>
      <c r="CO29" s="737">
        <f t="shared" ref="CO29" si="114">SUM(CO6:CO28)</f>
        <v>0</v>
      </c>
      <c r="CP29" s="37"/>
      <c r="CQ29" s="37"/>
      <c r="CR29" s="737">
        <f t="shared" ref="CR29" si="115">SUM(CR6:CR28)</f>
        <v>0</v>
      </c>
      <c r="CS29" s="37"/>
      <c r="CT29" s="37"/>
      <c r="CU29" s="737">
        <f t="shared" ref="CU29" si="116">SUM(CU6:CU28)</f>
        <v>0</v>
      </c>
      <c r="CV29" s="37"/>
      <c r="CW29" s="37"/>
      <c r="CX29" s="737">
        <f t="shared" ref="CX29" si="117">SUM(CX6:CX28)</f>
        <v>0</v>
      </c>
      <c r="CY29" s="37"/>
      <c r="CZ29" s="37"/>
      <c r="DA29" s="737">
        <f t="shared" ref="DA29" si="118">SUM(DA6:DA28)</f>
        <v>0</v>
      </c>
      <c r="DB29" s="37"/>
      <c r="DC29" s="37"/>
      <c r="DD29" s="737">
        <f t="shared" ref="DD29" si="119">SUM(DD6:DD28)</f>
        <v>0</v>
      </c>
      <c r="DE29" s="37"/>
      <c r="DF29" s="37"/>
      <c r="DG29" s="737">
        <f t="shared" ref="DG29" si="120">SUM(DG6:DG28)</f>
        <v>0</v>
      </c>
      <c r="DH29" s="37"/>
      <c r="DI29" s="37"/>
      <c r="DJ29" s="737">
        <f t="shared" ref="DJ29" si="121">SUM(DJ6:DJ28)</f>
        <v>0</v>
      </c>
      <c r="DK29" s="37"/>
      <c r="DL29" s="37"/>
      <c r="DM29" s="737">
        <f t="shared" ref="DM29" si="122">SUM(DM6:DM28)</f>
        <v>0</v>
      </c>
      <c r="EC29" s="559">
        <v>400</v>
      </c>
      <c r="ED29" s="559">
        <v>2</v>
      </c>
      <c r="EE29" s="352">
        <v>95</v>
      </c>
      <c r="EF29" s="560"/>
      <c r="EG29" s="560"/>
      <c r="EH29" s="560"/>
      <c r="EI29" s="560"/>
      <c r="EJ29" s="560"/>
      <c r="EK29" s="560"/>
      <c r="EL29" s="560"/>
      <c r="EM29" s="560"/>
      <c r="EN29" s="560"/>
      <c r="EO29" s="560"/>
      <c r="EP29" s="560"/>
      <c r="EQ29" s="560"/>
      <c r="ER29" s="560"/>
      <c r="ES29" s="1"/>
      <c r="ET29" s="1"/>
      <c r="EU29" s="560"/>
      <c r="EV29" s="560"/>
      <c r="EW29" s="560"/>
      <c r="EX29" s="560"/>
      <c r="EY29" s="560"/>
      <c r="EZ29" s="560"/>
      <c r="FA29" s="560"/>
      <c r="FB29" s="560"/>
      <c r="FC29" s="560"/>
      <c r="FD29" s="560"/>
      <c r="FE29" s="560"/>
      <c r="FF29" s="561"/>
      <c r="FG29" s="561"/>
      <c r="FH29" s="565"/>
      <c r="FI29" s="565"/>
      <c r="FJ29" s="565"/>
      <c r="FK29" s="565"/>
      <c r="FL29" s="565"/>
      <c r="FM29" s="565"/>
      <c r="FN29" s="565"/>
      <c r="FO29" s="565"/>
      <c r="FP29" s="565"/>
      <c r="FQ29" s="565"/>
      <c r="FR29" s="565"/>
      <c r="FS29" s="565"/>
      <c r="FT29" s="101"/>
      <c r="FU29" s="9"/>
      <c r="FV29" s="561"/>
      <c r="GL29" s="786">
        <v>0.5</v>
      </c>
      <c r="GM29" s="786">
        <v>25</v>
      </c>
      <c r="GO29" s="811"/>
      <c r="ID29" s="908">
        <f>VLOOKUP(Бланк!C42,D!$CS$3:$CT$10,2,FALSE)</f>
        <v>-10</v>
      </c>
    </row>
    <row r="30" spans="1:242" x14ac:dyDescent="0.2">
      <c r="Q30" s="7"/>
      <c r="R30" s="7"/>
      <c r="S30" s="7"/>
      <c r="CI30" s="890" t="s">
        <v>1111</v>
      </c>
      <c r="CJ30" s="565"/>
      <c r="CK30" s="565"/>
      <c r="CL30" s="737">
        <f>$A$68-CL29</f>
        <v>63</v>
      </c>
      <c r="CM30" s="565"/>
      <c r="CN30" s="565"/>
      <c r="CO30" s="737">
        <f t="shared" ref="CO30" si="123">$A$68-CO29</f>
        <v>279</v>
      </c>
      <c r="CP30" s="565"/>
      <c r="CQ30" s="565"/>
      <c r="CR30" s="737">
        <f t="shared" ref="CR30" si="124">$A$68-CR29</f>
        <v>279</v>
      </c>
      <c r="CS30" s="565"/>
      <c r="CT30" s="565"/>
      <c r="CU30" s="737">
        <f t="shared" ref="CU30" si="125">$A$68-CU29</f>
        <v>279</v>
      </c>
      <c r="CV30" s="565"/>
      <c r="CW30" s="565"/>
      <c r="CX30" s="737">
        <f t="shared" ref="CX30" si="126">$A$68-CX29</f>
        <v>279</v>
      </c>
      <c r="CY30" s="565"/>
      <c r="CZ30" s="565"/>
      <c r="DA30" s="737">
        <f t="shared" ref="DA30" si="127">$A$68-DA29</f>
        <v>279</v>
      </c>
      <c r="DB30" s="565"/>
      <c r="DC30" s="565"/>
      <c r="DD30" s="737">
        <f t="shared" ref="DD30" si="128">$A$68-DD29</f>
        <v>279</v>
      </c>
      <c r="DE30" s="565"/>
      <c r="DF30" s="565"/>
      <c r="DG30" s="737">
        <f t="shared" ref="DG30" si="129">$A$68-DG29</f>
        <v>279</v>
      </c>
      <c r="DH30" s="565"/>
      <c r="DI30" s="565"/>
      <c r="DJ30" s="737">
        <f t="shared" ref="DJ30" si="130">$A$68-DJ29</f>
        <v>279</v>
      </c>
      <c r="DK30" s="565"/>
      <c r="DL30" s="565"/>
      <c r="DM30" s="737">
        <f t="shared" ref="DM30" si="131">$A$68-DM29</f>
        <v>279</v>
      </c>
      <c r="EC30" s="559">
        <v>630</v>
      </c>
      <c r="ED30" s="559">
        <v>2</v>
      </c>
      <c r="EE30" s="352">
        <v>185</v>
      </c>
      <c r="EF30" s="560"/>
      <c r="EG30" s="560"/>
      <c r="EH30" s="560"/>
      <c r="EI30" s="560"/>
      <c r="EJ30" s="560"/>
      <c r="EK30" s="560"/>
      <c r="EL30" s="560"/>
      <c r="EM30" s="560"/>
      <c r="EN30" s="560"/>
      <c r="EO30" s="560"/>
      <c r="EP30" s="560"/>
      <c r="EQ30" s="560"/>
      <c r="ER30" s="560"/>
      <c r="ES30" s="1"/>
      <c r="ET30" s="1"/>
      <c r="EU30" s="560"/>
      <c r="EV30" s="560"/>
      <c r="EW30" s="560"/>
      <c r="EX30" s="560"/>
      <c r="EY30" s="560"/>
      <c r="EZ30" s="560"/>
      <c r="FA30" s="560"/>
      <c r="FB30" s="560"/>
      <c r="FC30" s="560"/>
      <c r="FD30" s="560"/>
      <c r="FE30" s="560"/>
      <c r="FF30" s="561"/>
      <c r="FG30" s="561"/>
      <c r="FH30" s="565"/>
      <c r="FI30" s="565"/>
      <c r="FJ30" s="565"/>
      <c r="FK30" s="565"/>
      <c r="FL30" s="565"/>
      <c r="FM30" s="565"/>
      <c r="FN30" s="565"/>
      <c r="FO30" s="565"/>
      <c r="FP30" s="565"/>
      <c r="FQ30" s="565"/>
      <c r="FR30" s="565"/>
      <c r="FS30" s="565"/>
      <c r="FT30" s="101"/>
      <c r="FU30" s="9"/>
      <c r="FV30" s="561"/>
      <c r="GL30" s="786">
        <v>0</v>
      </c>
      <c r="GM30" s="786">
        <v>26</v>
      </c>
      <c r="GO30" s="811"/>
      <c r="ID30" s="908" t="s">
        <v>1081</v>
      </c>
    </row>
    <row r="31" spans="1:242" ht="12.75" customHeight="1" thickBot="1" x14ac:dyDescent="0.25">
      <c r="B31" s="527" t="s">
        <v>879</v>
      </c>
      <c r="C31" s="527" t="s">
        <v>880</v>
      </c>
      <c r="D31" s="765"/>
      <c r="EC31" s="358"/>
      <c r="ED31" s="358"/>
      <c r="EE31" s="358"/>
      <c r="EF31" s="560"/>
      <c r="EG31" s="560"/>
      <c r="EH31" s="560"/>
      <c r="EI31" s="560"/>
      <c r="EJ31" s="560"/>
      <c r="EK31" s="560"/>
      <c r="EL31" s="560"/>
      <c r="EM31" s="560"/>
      <c r="EN31" s="560"/>
      <c r="EO31" s="560"/>
      <c r="EP31" s="560"/>
      <c r="EQ31" s="560"/>
      <c r="ER31" s="560"/>
      <c r="ES31" s="1"/>
      <c r="ET31" s="1"/>
      <c r="EU31" s="560"/>
      <c r="EV31" s="560"/>
      <c r="EW31" s="560"/>
      <c r="EX31" s="560"/>
      <c r="EY31" s="560"/>
      <c r="EZ31" s="560"/>
      <c r="FA31" s="560"/>
      <c r="FB31" s="560"/>
      <c r="FC31" s="560"/>
      <c r="FD31" s="560"/>
      <c r="FE31" s="560"/>
      <c r="FF31" s="561"/>
      <c r="FG31" s="561"/>
      <c r="FH31" s="565"/>
      <c r="FI31" s="565"/>
      <c r="FJ31" s="565"/>
      <c r="FK31" s="565"/>
      <c r="FL31" s="565"/>
      <c r="FM31" s="565"/>
      <c r="FN31" s="565"/>
      <c r="FO31" s="565"/>
      <c r="FP31" s="565"/>
      <c r="FQ31" s="565"/>
      <c r="FR31" s="565"/>
      <c r="FS31" s="565"/>
      <c r="FT31" s="101"/>
      <c r="FU31" s="9"/>
      <c r="FV31" s="561"/>
      <c r="GX31" s="800"/>
      <c r="GY31" s="800"/>
      <c r="GZ31" s="800"/>
      <c r="HA31" s="800"/>
      <c r="HB31" s="800"/>
      <c r="HC31" s="800"/>
      <c r="HD31" s="800"/>
      <c r="HE31" s="800"/>
      <c r="HF31" s="800"/>
      <c r="HG31" s="800"/>
      <c r="HH31" s="800"/>
      <c r="ID31" s="909">
        <f>-5</f>
        <v>-5</v>
      </c>
    </row>
    <row r="32" spans="1:242" ht="13.5" thickBot="1" x14ac:dyDescent="0.25">
      <c r="A32" s="138" t="s">
        <v>886</v>
      </c>
      <c r="B32" s="1219" t="s">
        <v>988</v>
      </c>
      <c r="C32" s="1220"/>
      <c r="D32" s="744" t="s">
        <v>985</v>
      </c>
      <c r="EC32" s="358"/>
      <c r="ED32" s="358"/>
      <c r="EE32" s="358"/>
      <c r="EF32" s="560"/>
      <c r="EG32" s="560"/>
      <c r="EH32" s="560"/>
      <c r="EI32" s="560"/>
      <c r="EJ32" s="560"/>
      <c r="EK32" s="560"/>
      <c r="EL32" s="560"/>
      <c r="EM32" s="560"/>
      <c r="EN32" s="560"/>
      <c r="EO32" s="560"/>
      <c r="EP32" s="560"/>
      <c r="EQ32" s="560"/>
      <c r="ER32" s="560"/>
      <c r="ES32" s="1"/>
      <c r="ET32" s="1"/>
      <c r="EU32" s="560"/>
      <c r="EV32" s="560"/>
      <c r="EW32" s="560"/>
      <c r="EX32" s="560"/>
      <c r="EY32" s="560"/>
      <c r="EZ32" s="560"/>
      <c r="FA32" s="560"/>
      <c r="FB32" s="560"/>
      <c r="FC32" s="560"/>
      <c r="FD32" s="560"/>
      <c r="FE32" s="560"/>
      <c r="FF32" s="561"/>
      <c r="FG32" s="561"/>
      <c r="FH32" s="561"/>
      <c r="FI32" s="561"/>
      <c r="FJ32" s="561"/>
      <c r="FK32" s="561"/>
      <c r="FL32" s="561"/>
      <c r="FM32" s="561"/>
      <c r="FN32" s="561"/>
      <c r="FO32" s="561"/>
      <c r="FP32" s="561"/>
      <c r="FQ32" s="561"/>
      <c r="FR32" s="561"/>
      <c r="FS32" s="101"/>
      <c r="FT32" s="101"/>
      <c r="FU32" s="561"/>
      <c r="FV32" s="561"/>
      <c r="GX32" s="800"/>
      <c r="GY32" s="800"/>
      <c r="GZ32" s="800"/>
      <c r="HA32" s="800"/>
      <c r="HB32" s="800"/>
      <c r="HC32" s="800"/>
      <c r="HD32" s="800"/>
      <c r="HE32" s="800"/>
      <c r="HF32" s="800"/>
      <c r="HG32" s="800"/>
      <c r="HH32" s="800"/>
      <c r="ID32" s="910" t="s">
        <v>1079</v>
      </c>
    </row>
    <row r="33" spans="1:240" ht="13.5" thickBot="1" x14ac:dyDescent="0.25">
      <c r="A33" s="139">
        <f ca="1">IF($B$91,B37,C37)</f>
        <v>200</v>
      </c>
      <c r="B33" s="511">
        <f ca="1">IFERROR(OFFSET($BG$5,MATCH(1,BC5:BC16,0)-1,MATCH(1,BG17:BX17,0)-1),0)</f>
        <v>200</v>
      </c>
      <c r="C33" s="511">
        <f ca="1">IFERROR(OFFSET($BY$5,MATCH(1,BC5:BC16,0)-1,MATCH(1,BY17:CG17,0)-1),0)</f>
        <v>0</v>
      </c>
      <c r="D33" s="744">
        <f>IF(OR(Проверки!$B$27,SUM(Проверки!G4:H19)),1,0)</f>
        <v>1</v>
      </c>
      <c r="CI33" s="1265" t="s">
        <v>836</v>
      </c>
      <c r="CJ33" s="1265"/>
      <c r="CK33" s="1265"/>
      <c r="CL33" s="1265"/>
      <c r="CM33" s="1265"/>
      <c r="CN33" s="1265"/>
      <c r="CO33" s="1265"/>
      <c r="CP33" s="1265"/>
      <c r="CQ33" s="1265"/>
      <c r="CR33" s="1265"/>
      <c r="CS33" s="1265"/>
      <c r="CT33" s="1265"/>
      <c r="CU33" s="1265"/>
      <c r="CV33" s="1265"/>
      <c r="CW33" s="1265"/>
      <c r="CX33" s="1265"/>
      <c r="CY33" s="1265"/>
      <c r="CZ33" s="1265"/>
      <c r="DA33" s="1265"/>
      <c r="DB33" s="1265"/>
      <c r="DC33" s="1265"/>
      <c r="DD33" s="1265"/>
      <c r="DE33" s="1265"/>
      <c r="DF33" s="1265"/>
      <c r="DG33" s="1265"/>
      <c r="DH33" s="1265"/>
      <c r="DI33" s="1265"/>
      <c r="DJ33" s="1265"/>
      <c r="DK33" s="1265"/>
      <c r="DL33" s="1265"/>
      <c r="DM33" s="1265"/>
      <c r="GX33" s="780"/>
      <c r="GY33" s="780"/>
      <c r="GZ33" s="780"/>
      <c r="HA33" s="780"/>
      <c r="HB33" s="780"/>
      <c r="HC33" s="780"/>
      <c r="HD33" s="780"/>
      <c r="HE33" s="780"/>
      <c r="HF33" s="780"/>
      <c r="HG33" s="780"/>
      <c r="HH33" s="780"/>
      <c r="ID33" s="797" t="b">
        <f>VLOOKUP(Бланк!$C$42,D!$CS$3:$CU$10,3,FALSE)</f>
        <v>0</v>
      </c>
    </row>
    <row r="34" spans="1:240" x14ac:dyDescent="0.2">
      <c r="B34" s="1205" t="s">
        <v>986</v>
      </c>
      <c r="C34" s="1205"/>
      <c r="D34" s="744" t="s">
        <v>540</v>
      </c>
      <c r="E34" s="7"/>
      <c r="Q34" s="7"/>
      <c r="R34" s="7"/>
      <c r="S34" s="7"/>
      <c r="CI34" s="1274" t="s">
        <v>482</v>
      </c>
      <c r="CJ34" s="1206" t="s">
        <v>460</v>
      </c>
      <c r="CK34" s="1207"/>
      <c r="CL34" s="1208"/>
      <c r="CM34" s="1206" t="s">
        <v>471</v>
      </c>
      <c r="CN34" s="1207"/>
      <c r="CO34" s="1208"/>
      <c r="CP34" s="1206" t="s">
        <v>472</v>
      </c>
      <c r="CQ34" s="1207"/>
      <c r="CR34" s="1208"/>
      <c r="CS34" s="1206" t="s">
        <v>473</v>
      </c>
      <c r="CT34" s="1207"/>
      <c r="CU34" s="1208"/>
      <c r="CV34" s="1206" t="s">
        <v>474</v>
      </c>
      <c r="CW34" s="1207"/>
      <c r="CX34" s="1208"/>
      <c r="CY34" s="1206" t="s">
        <v>479</v>
      </c>
      <c r="CZ34" s="1207"/>
      <c r="DA34" s="1208"/>
      <c r="DB34" s="1206" t="s">
        <v>478</v>
      </c>
      <c r="DC34" s="1207"/>
      <c r="DD34" s="1208"/>
      <c r="DE34" s="1206" t="s">
        <v>477</v>
      </c>
      <c r="DF34" s="1207"/>
      <c r="DG34" s="1208"/>
      <c r="DH34" s="1206" t="s">
        <v>476</v>
      </c>
      <c r="DI34" s="1207"/>
      <c r="DJ34" s="1208"/>
      <c r="DK34" s="1206" t="s">
        <v>480</v>
      </c>
      <c r="DL34" s="1207"/>
      <c r="DM34" s="1208"/>
      <c r="ID34" s="908" t="s">
        <v>1119</v>
      </c>
    </row>
    <row r="35" spans="1:240" ht="13.5" thickBot="1" x14ac:dyDescent="0.25">
      <c r="B35" s="744">
        <f>IF(Проверки!$B$27,MAX(Габариты!BL5:BX16),MAX(Габариты!BH5:BK16))</f>
        <v>675</v>
      </c>
      <c r="C35" s="744">
        <f>IF(Проверки!$B$27,MAX(CC5:CG16),MAX(BY5:CB16))</f>
        <v>675</v>
      </c>
      <c r="D35" s="744" t="b">
        <f ca="1">IF(B91,B43,C43)</f>
        <v>0</v>
      </c>
      <c r="E35" s="7"/>
      <c r="CI35" s="1275"/>
      <c r="CJ35" s="158" t="s">
        <v>469</v>
      </c>
      <c r="CK35" s="158" t="s">
        <v>286</v>
      </c>
      <c r="CL35" s="158" t="s">
        <v>99</v>
      </c>
      <c r="CM35" s="158" t="s">
        <v>469</v>
      </c>
      <c r="CN35" s="158" t="s">
        <v>286</v>
      </c>
      <c r="CO35" s="158" t="s">
        <v>99</v>
      </c>
      <c r="CP35" s="158" t="s">
        <v>469</v>
      </c>
      <c r="CQ35" s="158" t="s">
        <v>286</v>
      </c>
      <c r="CR35" s="158" t="s">
        <v>99</v>
      </c>
      <c r="CS35" s="158" t="s">
        <v>469</v>
      </c>
      <c r="CT35" s="158" t="s">
        <v>286</v>
      </c>
      <c r="CU35" s="158" t="s">
        <v>99</v>
      </c>
      <c r="CV35" s="158" t="s">
        <v>469</v>
      </c>
      <c r="CW35" s="158" t="s">
        <v>286</v>
      </c>
      <c r="CX35" s="158" t="s">
        <v>99</v>
      </c>
      <c r="CY35" s="158" t="s">
        <v>469</v>
      </c>
      <c r="CZ35" s="158" t="s">
        <v>286</v>
      </c>
      <c r="DA35" s="158" t="s">
        <v>99</v>
      </c>
      <c r="DB35" s="158" t="s">
        <v>469</v>
      </c>
      <c r="DC35" s="158" t="s">
        <v>286</v>
      </c>
      <c r="DD35" s="158" t="s">
        <v>99</v>
      </c>
      <c r="DE35" s="158" t="s">
        <v>469</v>
      </c>
      <c r="DF35" s="158" t="s">
        <v>286</v>
      </c>
      <c r="DG35" s="158" t="s">
        <v>99</v>
      </c>
      <c r="DH35" s="158" t="s">
        <v>469</v>
      </c>
      <c r="DI35" s="158" t="s">
        <v>286</v>
      </c>
      <c r="DJ35" s="158" t="s">
        <v>99</v>
      </c>
      <c r="DK35" s="158" t="s">
        <v>469</v>
      </c>
      <c r="DL35" s="158" t="s">
        <v>286</v>
      </c>
      <c r="DM35" s="158" t="s">
        <v>99</v>
      </c>
      <c r="ID35" s="888">
        <f>IF(ID33,_xlfn.IFNA(HLOOKUP(TRUE,ID38:IF55,18,FALSE),0),0)</f>
        <v>0</v>
      </c>
    </row>
    <row r="36" spans="1:240" x14ac:dyDescent="0.2">
      <c r="B36" s="1205" t="s">
        <v>987</v>
      </c>
      <c r="C36" s="1205"/>
      <c r="E36" s="7"/>
      <c r="CI36" s="157" t="s">
        <v>85</v>
      </c>
      <c r="CJ36" s="462">
        <f>IF(OR($G7=0,$B7&lt;&gt;"NSX",$D7&gt;250),0,ROUNDDOWN($A$51/$G7,0))</f>
        <v>0</v>
      </c>
      <c r="CK36" s="157">
        <f t="shared" ref="CK36:CK55" si="132">IF(CJ36&gt;=$F7,$F7,CJ36)</f>
        <v>0</v>
      </c>
      <c r="CL36" s="157">
        <f t="shared" ref="CL36:CL55" si="133">CK36*($G7+3)</f>
        <v>0</v>
      </c>
      <c r="CM36" s="462">
        <f>IF(OR($G7=0,$B7&lt;&gt;"NSX",$D7&gt;250),0,ROUNDDOWN($A$51/$G7,0))</f>
        <v>0</v>
      </c>
      <c r="CN36" s="157">
        <f>IF(CM36&gt;=$F7-SUMIF($CK$35:CK$35,"Кол-во",$CK36:CK36),$F7-SUMIF($CK$35:CK$35,"Кол-во",$CK36:CK36),CM36)</f>
        <v>0</v>
      </c>
      <c r="CO36" s="442">
        <f t="shared" ref="CO36:CO55" si="134">CN36*($G7+3)</f>
        <v>0</v>
      </c>
      <c r="CP36" s="462">
        <f>IF(OR($G7=0,$B7&lt;&gt;"NSX",$D7&gt;250),0,ROUNDDOWN($A$51/$G7,0))</f>
        <v>0</v>
      </c>
      <c r="CQ36" s="442">
        <f>IF(CP36&gt;=$F7-SUMIF($CK$35:CN$35,"Кол-во",$CK36:CN36),$F7-SUMIF($CK$35:CN$35,"Кол-во",$CK36:CN36),CP36)</f>
        <v>0</v>
      </c>
      <c r="CR36" s="442">
        <f t="shared" ref="CR36:CR55" si="135">CQ36*($G7+3)</f>
        <v>0</v>
      </c>
      <c r="CS36" s="462">
        <f>IF(OR($G7=0,$B7&lt;&gt;"NSX",$D7&gt;250),0,ROUNDDOWN($A$51/$G7,0))</f>
        <v>0</v>
      </c>
      <c r="CT36" s="442">
        <f>IF(CS36&gt;=$F7-SUMIF($CK$35:CQ$35,"Кол-во",$CK36:CQ36),$F7-SUMIF($CK$35:CQ$35,"Кол-во",$CK36:CQ36),CS36)</f>
        <v>0</v>
      </c>
      <c r="CU36" s="442">
        <f t="shared" ref="CU36:CU55" si="136">CT36*($G7+3)</f>
        <v>0</v>
      </c>
      <c r="CV36" s="462">
        <f>IF(OR($G7=0,$B7&lt;&gt;"NSX",$D7&gt;250),0,ROUNDDOWN($A$51/$G7,0))</f>
        <v>0</v>
      </c>
      <c r="CW36" s="442">
        <f>IF(CV36&gt;=$F7-SUMIF($CK$35:CT$35,"Кол-во",$CK36:CT36),$F7-SUMIF($CK$35:CT$35,"Кол-во",$CK36:CT36),CV36)</f>
        <v>0</v>
      </c>
      <c r="CX36" s="442">
        <f t="shared" ref="CX36:CX55" si="137">CW36*($G7+3)</f>
        <v>0</v>
      </c>
      <c r="CY36" s="462">
        <f>IF(OR($G7=0,$B7&lt;&gt;"NSX",$D7&gt;250),0,ROUNDDOWN($A$51/$G7,0))</f>
        <v>0</v>
      </c>
      <c r="CZ36" s="442">
        <f>IF(CY36&gt;=$F7-SUMIF($CK$35:CW$35,"Кол-во",$CK36:CW36),$F7-SUMIF($CK$35:CW$35,"Кол-во",$CK36:CW36),CY36)</f>
        <v>0</v>
      </c>
      <c r="DA36" s="442">
        <f t="shared" ref="DA36:DA55" si="138">CZ36*($G7+3)</f>
        <v>0</v>
      </c>
      <c r="DB36" s="462">
        <f>IF(OR($G7=0,$B7&lt;&gt;"NSX",$D7&gt;250),0,ROUNDDOWN($A$51/$G7,0))</f>
        <v>0</v>
      </c>
      <c r="DC36" s="442">
        <f>IF(DB36&gt;=$F7-SUMIF($CK$35:CZ$35,"Кол-во",$CK36:CZ36),$F7-SUMIF($CK$35:CZ$35,"Кол-во",$CK36:CZ36),DB36)</f>
        <v>0</v>
      </c>
      <c r="DD36" s="442">
        <f t="shared" ref="DD36:DD55" si="139">DC36*($G7+3)</f>
        <v>0</v>
      </c>
      <c r="DE36" s="462">
        <f>IF(OR($G7=0,$B7&lt;&gt;"NSX",$D7&gt;250),0,ROUNDDOWN($A$51/$G7,0))</f>
        <v>0</v>
      </c>
      <c r="DF36" s="442">
        <f>IF(DE36&gt;=$F7-SUMIF($CK$35:DC$35,"Кол-во",$CK36:DC36),$F7-SUMIF($CK$35:DC$35,"Кол-во",$CK36:DC36),DE36)</f>
        <v>0</v>
      </c>
      <c r="DG36" s="442">
        <f t="shared" ref="DG36:DG55" si="140">DF36*($G7+3)</f>
        <v>0</v>
      </c>
      <c r="DH36" s="462">
        <f>IF(OR($G7=0,$B7&lt;&gt;"NSX",$D7&gt;250),0,ROUNDDOWN($A$51/$G7,0))</f>
        <v>0</v>
      </c>
      <c r="DI36" s="442">
        <f>IF(DH36&gt;=$F7-SUMIF($CK$35:DF$35,"Кол-во",$CK36:DF36),$F7-SUMIF($CK$35:DF$35,"Кол-во",$CK36:DF36),DH36)</f>
        <v>0</v>
      </c>
      <c r="DJ36" s="442">
        <f t="shared" ref="DJ36:DJ55" si="141">DI36*($G7+3)</f>
        <v>0</v>
      </c>
      <c r="DK36" s="462">
        <f>IF(OR($G7=0,$B7&lt;&gt;"NSX",$D7&gt;250),0,ROUNDDOWN($A$51/$G7,0))</f>
        <v>0</v>
      </c>
      <c r="DL36" s="442">
        <f>IF(DK36&gt;=$F7-SUMIF($CK$35:DI$35,"Кол-во",$CK36:DI36),$F7-SUMIF($CK$35:DI$35,"Кол-во",$CK36:DI36),DK36)</f>
        <v>0</v>
      </c>
      <c r="DM36" s="442">
        <f t="shared" ref="DM36:DM55" si="142">DL36*($G7+3)</f>
        <v>0</v>
      </c>
    </row>
    <row r="37" spans="1:240" x14ac:dyDescent="0.2">
      <c r="B37" s="1086">
        <f ca="1">IF(AND($D$33,B33=0),B35,B33)</f>
        <v>200</v>
      </c>
      <c r="C37" s="1086">
        <f ca="1">IF(AND($D$33,C33=0),C35,C33)</f>
        <v>675</v>
      </c>
      <c r="CI37" s="157" t="s">
        <v>86</v>
      </c>
      <c r="CJ37" s="442">
        <f>IF(OR($G8=0,$B8&lt;&gt;"NSX",$D8&gt;250),0,ROUNDDOWN(($A$51-SUM($CL$36:$CL36))/$G8,0))</f>
        <v>0</v>
      </c>
      <c r="CK37" s="157">
        <f t="shared" si="132"/>
        <v>0</v>
      </c>
      <c r="CL37" s="442">
        <f t="shared" si="133"/>
        <v>0</v>
      </c>
      <c r="CM37" s="442">
        <f>IF(OR($G8=0,$B8&lt;&gt;"NSX",$D8&gt;250),0,ROUNDDOWN(($A$51-SUM(CO$36:CO36))/$G8,0))</f>
        <v>0</v>
      </c>
      <c r="CN37" s="157">
        <f>IF(CM37&gt;=$F8-SUMIF($CK$35:CK$35,"Кол-во",$CK37:CK37),$F8-SUMIF($CK$35:CK$35,"Кол-во",$CK37:CK37),CM37)</f>
        <v>0</v>
      </c>
      <c r="CO37" s="442">
        <f t="shared" si="134"/>
        <v>0</v>
      </c>
      <c r="CP37" s="442">
        <f>IF(OR($G8=0,$B8&lt;&gt;"NSX",$D8&gt;250),0,ROUNDDOWN(($A$51-SUM(CR$36:CR36))/$G8,0))</f>
        <v>0</v>
      </c>
      <c r="CQ37" s="442">
        <f>IF(CP37&gt;=$F8-SUMIF($CK$35:CN$35,"Кол-во",$CK37:CN37),$F8-SUMIF($CK$35:CN$35,"Кол-во",$CK37:CN37),CP37)</f>
        <v>0</v>
      </c>
      <c r="CR37" s="442">
        <f t="shared" si="135"/>
        <v>0</v>
      </c>
      <c r="CS37" s="442">
        <f>IF(OR($G8=0,$B8&lt;&gt;"NSX",$D8&gt;250),0,ROUNDDOWN(($A$51-SUM(CU$36:CU36))/$G8,0))</f>
        <v>0</v>
      </c>
      <c r="CT37" s="442">
        <f>IF(CS37&gt;=$F8-SUMIF($CK$35:CQ$35,"Кол-во",$CK37:CQ37),$F8-SUMIF($CK$35:CQ$35,"Кол-во",$CK37:CQ37),CS37)</f>
        <v>0</v>
      </c>
      <c r="CU37" s="442">
        <f t="shared" si="136"/>
        <v>0</v>
      </c>
      <c r="CV37" s="442">
        <f>IF(OR($G8=0,$B8&lt;&gt;"NSX",$D8&gt;250),0,ROUNDDOWN(($A$51-SUM(CX$36:CX36))/$G8,0))</f>
        <v>0</v>
      </c>
      <c r="CW37" s="442">
        <f>IF(CV37&gt;=$F8-SUMIF($CK$35:CT$35,"Кол-во",$CK37:CT37),$F8-SUMIF($CK$35:CT$35,"Кол-во",$CK37:CT37),CV37)</f>
        <v>0</v>
      </c>
      <c r="CX37" s="442">
        <f t="shared" si="137"/>
        <v>0</v>
      </c>
      <c r="CY37" s="442">
        <f>IF(OR($G8=0,$B8&lt;&gt;"NSX",$D8&gt;250),0,ROUNDDOWN(($A$51-SUM(DA$36:DA36))/$G8,0))</f>
        <v>0</v>
      </c>
      <c r="CZ37" s="442">
        <f>IF(CY37&gt;=$F8-SUMIF($CK$35:CW$35,"Кол-во",$CK37:CW37),$F8-SUMIF($CK$35:CW$35,"Кол-во",$CK37:CW37),CY37)</f>
        <v>0</v>
      </c>
      <c r="DA37" s="442">
        <f t="shared" si="138"/>
        <v>0</v>
      </c>
      <c r="DB37" s="442">
        <f>IF(OR($G8=0,$B8&lt;&gt;"NSX",$D8&gt;250),0,ROUNDDOWN(($A$51-SUM(DD$36:DD36))/$G8,0))</f>
        <v>0</v>
      </c>
      <c r="DC37" s="442">
        <f>IF(DB37&gt;=$F8-SUMIF($CK$35:CZ$35,"Кол-во",$CK37:CZ37),$F8-SUMIF($CK$35:CZ$35,"Кол-во",$CK37:CZ37),DB37)</f>
        <v>0</v>
      </c>
      <c r="DD37" s="442">
        <f t="shared" si="139"/>
        <v>0</v>
      </c>
      <c r="DE37" s="442">
        <f>IF(OR($G8=0,$B8&lt;&gt;"NSX",$D8&gt;250),0,ROUNDDOWN(($A$51-SUM(DG$36:DG36))/$G8,0))</f>
        <v>0</v>
      </c>
      <c r="DF37" s="442">
        <f>IF(DE37&gt;=$F8-SUMIF($CK$35:DC$35,"Кол-во",$CK37:DC37),$F8-SUMIF($CK$35:DC$35,"Кол-во",$CK37:DC37),DE37)</f>
        <v>0</v>
      </c>
      <c r="DG37" s="442">
        <f t="shared" si="140"/>
        <v>0</v>
      </c>
      <c r="DH37" s="442">
        <f>IF(OR($G8=0,$B8&lt;&gt;"NSX",$D8&gt;250),0,ROUNDDOWN(($A$51-SUM(DJ$36:DJ36))/$G8,0))</f>
        <v>0</v>
      </c>
      <c r="DI37" s="442">
        <f>IF(DH37&gt;=$F8-SUMIF($CK$35:DF$35,"Кол-во",$CK37:DF37),$F8-SUMIF($CK$35:DF$35,"Кол-во",$CK37:DF37),DH37)</f>
        <v>0</v>
      </c>
      <c r="DJ37" s="442">
        <f t="shared" si="141"/>
        <v>0</v>
      </c>
      <c r="DK37" s="442">
        <f>IF(OR($G8=0,$B8&lt;&gt;"NSX",$D8&gt;250),0,ROUNDDOWN(($A$51-SUM(DM$36:DM36))/$G8,0))</f>
        <v>0</v>
      </c>
      <c r="DL37" s="442">
        <f>IF(DK37&gt;=$F8-SUMIF($CK$35:DI$35,"Кол-во",$CK37:DI37),$F8-SUMIF($CK$35:DI$35,"Кол-во",$CK37:DI37),DK37)</f>
        <v>0</v>
      </c>
      <c r="DM37" s="442">
        <f t="shared" si="142"/>
        <v>0</v>
      </c>
      <c r="ID37" s="1205" t="s">
        <v>1108</v>
      </c>
      <c r="IE37" s="1205"/>
      <c r="IF37" s="1205"/>
    </row>
    <row r="38" spans="1:240" ht="13.5" customHeight="1" x14ac:dyDescent="0.2">
      <c r="B38" s="1307" t="s">
        <v>1091</v>
      </c>
      <c r="C38" s="1287"/>
      <c r="D38" s="1287"/>
      <c r="L38" s="7"/>
      <c r="M38" s="7"/>
      <c r="N38" s="7"/>
      <c r="O38" s="7"/>
      <c r="P38" s="7"/>
      <c r="Q38" s="7"/>
      <c r="R38" s="7"/>
      <c r="CI38" s="157" t="s">
        <v>87</v>
      </c>
      <c r="CJ38" s="442">
        <f>IF(OR($G9=0,$B9&lt;&gt;"NSX",$D9&gt;250),0,ROUNDDOWN(($A$51-SUM($CL$36:$CL37))/$G9,0))</f>
        <v>0</v>
      </c>
      <c r="CK38" s="157">
        <f t="shared" si="132"/>
        <v>0</v>
      </c>
      <c r="CL38" s="442">
        <f t="shared" si="133"/>
        <v>0</v>
      </c>
      <c r="CM38" s="442">
        <f>IF(OR($G9=0,$B9&lt;&gt;"NSX",$D9&gt;250),0,ROUNDDOWN(($A$51-SUM(CO$36:CO37))/$G9,0))</f>
        <v>0</v>
      </c>
      <c r="CN38" s="157">
        <f>IF(CM38&gt;=$F9-SUMIF($CK$35:CK$35,"Кол-во",$CK38:CK38),$F9-SUMIF($CK$35:CK$35,"Кол-во",$CK38:CK38),CM38)</f>
        <v>0</v>
      </c>
      <c r="CO38" s="442">
        <f t="shared" si="134"/>
        <v>0</v>
      </c>
      <c r="CP38" s="442">
        <f>IF(OR($G9=0,$B9&lt;&gt;"NSX",$D9&gt;250),0,ROUNDDOWN(($A$51-SUM(CR$36:CR37))/$G9,0))</f>
        <v>0</v>
      </c>
      <c r="CQ38" s="442">
        <f>IF(CP38&gt;=$F9-SUMIF($CK$35:CN$35,"Кол-во",$CK38:CN38),$F9-SUMIF($CK$35:CN$35,"Кол-во",$CK38:CN38),CP38)</f>
        <v>0</v>
      </c>
      <c r="CR38" s="442">
        <f t="shared" si="135"/>
        <v>0</v>
      </c>
      <c r="CS38" s="442">
        <f>IF(OR($G9=0,$B9&lt;&gt;"NSX",$D9&gt;250),0,ROUNDDOWN(($A$51-SUM(CU$36:CU37))/$G9,0))</f>
        <v>0</v>
      </c>
      <c r="CT38" s="442">
        <f>IF(CS38&gt;=$F9-SUMIF($CK$35:CQ$35,"Кол-во",$CK38:CQ38),$F9-SUMIF($CK$35:CQ$35,"Кол-во",$CK38:CQ38),CS38)</f>
        <v>0</v>
      </c>
      <c r="CU38" s="442">
        <f t="shared" si="136"/>
        <v>0</v>
      </c>
      <c r="CV38" s="442">
        <f>IF(OR($G9=0,$B9&lt;&gt;"NSX",$D9&gt;250),0,ROUNDDOWN(($A$51-SUM(CX$36:CX37))/$G9,0))</f>
        <v>0</v>
      </c>
      <c r="CW38" s="442">
        <f>IF(CV38&gt;=$F9-SUMIF($CK$35:CT$35,"Кол-во",$CK38:CT38),$F9-SUMIF($CK$35:CT$35,"Кол-во",$CK38:CT38),CV38)</f>
        <v>0</v>
      </c>
      <c r="CX38" s="442">
        <f t="shared" si="137"/>
        <v>0</v>
      </c>
      <c r="CY38" s="442">
        <f>IF(OR($G9=0,$B9&lt;&gt;"NSX",$D9&gt;250),0,ROUNDDOWN(($A$51-SUM(DA$36:DA37))/$G9,0))</f>
        <v>0</v>
      </c>
      <c r="CZ38" s="442">
        <f>IF(CY38&gt;=$F9-SUMIF($CK$35:CW$35,"Кол-во",$CK38:CW38),$F9-SUMIF($CK$35:CW$35,"Кол-во",$CK38:CW38),CY38)</f>
        <v>0</v>
      </c>
      <c r="DA38" s="442">
        <f t="shared" si="138"/>
        <v>0</v>
      </c>
      <c r="DB38" s="442">
        <f>IF(OR($G9=0,$B9&lt;&gt;"NSX",$D9&gt;250),0,ROUNDDOWN(($A$51-SUM(DD$36:DD37))/$G9,0))</f>
        <v>0</v>
      </c>
      <c r="DC38" s="442">
        <f>IF(DB38&gt;=$F9-SUMIF($CK$35:CZ$35,"Кол-во",$CK38:CZ38),$F9-SUMIF($CK$35:CZ$35,"Кол-во",$CK38:CZ38),DB38)</f>
        <v>0</v>
      </c>
      <c r="DD38" s="442">
        <f t="shared" si="139"/>
        <v>0</v>
      </c>
      <c r="DE38" s="442">
        <f>IF(OR($G9=0,$B9&lt;&gt;"NSX",$D9&gt;250),0,ROUNDDOWN(($A$51-SUM(DG$36:DG37))/$G9,0))</f>
        <v>0</v>
      </c>
      <c r="DF38" s="442">
        <f>IF(DE38&gt;=$F9-SUMIF($CK$35:DC$35,"Кол-во",$CK38:DC38),$F9-SUMIF($CK$35:DC$35,"Кол-во",$CK38:DC38),DE38)</f>
        <v>0</v>
      </c>
      <c r="DG38" s="442">
        <f t="shared" si="140"/>
        <v>0</v>
      </c>
      <c r="DH38" s="442">
        <f>IF(OR($G9=0,$B9&lt;&gt;"NSX",$D9&gt;250),0,ROUNDDOWN(($A$51-SUM(DJ$36:DJ37))/$G9,0))</f>
        <v>0</v>
      </c>
      <c r="DI38" s="442">
        <f>IF(DH38&gt;=$F9-SUMIF($CK$35:DF$35,"Кол-во",$CK38:DF38),$F9-SUMIF($CK$35:DF$35,"Кол-во",$CK38:DF38),DH38)</f>
        <v>0</v>
      </c>
      <c r="DJ38" s="442">
        <f t="shared" si="141"/>
        <v>0</v>
      </c>
      <c r="DK38" s="442">
        <f>IF(OR($G9=0,$B9&lt;&gt;"NSX",$D9&gt;250),0,ROUNDDOWN(($A$51-SUM(DM$36:DM37))/$G9,0))</f>
        <v>0</v>
      </c>
      <c r="DL38" s="442">
        <f>IF(DK38&gt;=$F9-SUMIF($CK$35:DI$35,"Кол-во",$CK38:DI38),$F9-SUMIF($CK$35:DI$35,"Кол-во",$CK38:DI38),DK38)</f>
        <v>0</v>
      </c>
      <c r="DM38" s="442">
        <f t="shared" si="142"/>
        <v>0</v>
      </c>
      <c r="ID38" s="879" t="b">
        <f ca="1">AND(ID43&lt;=1200,ID55&lt;=$ID$25)</f>
        <v>1</v>
      </c>
      <c r="IE38" s="879" t="b">
        <f ca="1">AND(IE43&lt;=1200,IE55&gt;$ID$25,ID38=FALSE)</f>
        <v>0</v>
      </c>
      <c r="IF38" s="879" t="b">
        <f ca="1">AND(IF43&lt;=2200,AND(ID38,IE38)=FALSE)</f>
        <v>1</v>
      </c>
    </row>
    <row r="39" spans="1:240" ht="13.5" customHeight="1" x14ac:dyDescent="0.2">
      <c r="B39" s="1159" t="s">
        <v>540</v>
      </c>
      <c r="C39" s="1160"/>
      <c r="D39" s="870" t="s">
        <v>991</v>
      </c>
      <c r="CI39" s="157" t="s">
        <v>88</v>
      </c>
      <c r="CJ39" s="442">
        <f>IF(OR($G10=0,$B10&lt;&gt;"NSX",$D10&gt;250),0,ROUNDDOWN(($A$51-SUM($CL$36:$CL38))/$G10,0))</f>
        <v>0</v>
      </c>
      <c r="CK39" s="157">
        <f t="shared" si="132"/>
        <v>0</v>
      </c>
      <c r="CL39" s="442">
        <f t="shared" si="133"/>
        <v>0</v>
      </c>
      <c r="CM39" s="442">
        <f>IF(OR($G10=0,$B10&lt;&gt;"NSX",$D10&gt;250),0,ROUNDDOWN(($A$51-SUM(CO$36:CO38))/$G10,0))</f>
        <v>0</v>
      </c>
      <c r="CN39" s="157">
        <f>IF(CM39&gt;=$F10-SUMIF($CK$35:CK$35,"Кол-во",$CK39:CK39),$F10-SUMIF($CK$35:CK$35,"Кол-во",$CK39:CK39),CM39)</f>
        <v>0</v>
      </c>
      <c r="CO39" s="442">
        <f t="shared" si="134"/>
        <v>0</v>
      </c>
      <c r="CP39" s="442">
        <f>IF(OR($G10=0,$B10&lt;&gt;"NSX",$D10&gt;250),0,ROUNDDOWN(($A$51-SUM(CR$36:CR38))/$G10,0))</f>
        <v>0</v>
      </c>
      <c r="CQ39" s="442">
        <f>IF(CP39&gt;=$F10-SUMIF($CK$35:CN$35,"Кол-во",$CK39:CN39),$F10-SUMIF($CK$35:CN$35,"Кол-во",$CK39:CN39),CP39)</f>
        <v>0</v>
      </c>
      <c r="CR39" s="442">
        <f t="shared" si="135"/>
        <v>0</v>
      </c>
      <c r="CS39" s="442">
        <f>IF(OR($G10=0,$B10&lt;&gt;"NSX",$D10&gt;250),0,ROUNDDOWN(($A$51-SUM(CU$36:CU38))/$G10,0))</f>
        <v>0</v>
      </c>
      <c r="CT39" s="442">
        <f>IF(CS39&gt;=$F10-SUMIF($CK$35:CQ$35,"Кол-во",$CK39:CQ39),$F10-SUMIF($CK$35:CQ$35,"Кол-во",$CK39:CQ39),CS39)</f>
        <v>0</v>
      </c>
      <c r="CU39" s="442">
        <f t="shared" si="136"/>
        <v>0</v>
      </c>
      <c r="CV39" s="442">
        <f>IF(OR($G10=0,$B10&lt;&gt;"NSX",$D10&gt;250),0,ROUNDDOWN(($A$51-SUM(CX$36:CX38))/$G10,0))</f>
        <v>0</v>
      </c>
      <c r="CW39" s="442">
        <f>IF(CV39&gt;=$F10-SUMIF($CK$35:CT$35,"Кол-во",$CK39:CT39),$F10-SUMIF($CK$35:CT$35,"Кол-во",$CK39:CT39),CV39)</f>
        <v>0</v>
      </c>
      <c r="CX39" s="442">
        <f t="shared" si="137"/>
        <v>0</v>
      </c>
      <c r="CY39" s="442">
        <f>IF(OR($G10=0,$B10&lt;&gt;"NSX",$D10&gt;250),0,ROUNDDOWN(($A$51-SUM(DA$36:DA38))/$G10,0))</f>
        <v>0</v>
      </c>
      <c r="CZ39" s="442">
        <f>IF(CY39&gt;=$F10-SUMIF($CK$35:CW$35,"Кол-во",$CK39:CW39),$F10-SUMIF($CK$35:CW$35,"Кол-во",$CK39:CW39),CY39)</f>
        <v>0</v>
      </c>
      <c r="DA39" s="442">
        <f t="shared" si="138"/>
        <v>0</v>
      </c>
      <c r="DB39" s="442">
        <f>IF(OR($G10=0,$B10&lt;&gt;"NSX",$D10&gt;250),0,ROUNDDOWN(($A$51-SUM(DD$36:DD38))/$G10,0))</f>
        <v>0</v>
      </c>
      <c r="DC39" s="442">
        <f>IF(DB39&gt;=$F10-SUMIF($CK$35:CZ$35,"Кол-во",$CK39:CZ39),$F10-SUMIF($CK$35:CZ$35,"Кол-во",$CK39:CZ39),DB39)</f>
        <v>0</v>
      </c>
      <c r="DD39" s="442">
        <f t="shared" si="139"/>
        <v>0</v>
      </c>
      <c r="DE39" s="442">
        <f>IF(OR($G10=0,$B10&lt;&gt;"NSX",$D10&gt;250),0,ROUNDDOWN(($A$51-SUM(DG$36:DG38))/$G10,0))</f>
        <v>0</v>
      </c>
      <c r="DF39" s="442">
        <f>IF(DE39&gt;=$F10-SUMIF($CK$35:DC$35,"Кол-во",$CK39:DC39),$F10-SUMIF($CK$35:DC$35,"Кол-во",$CK39:DC39),DE39)</f>
        <v>0</v>
      </c>
      <c r="DG39" s="442">
        <f t="shared" si="140"/>
        <v>0</v>
      </c>
      <c r="DH39" s="442">
        <f>IF(OR($G10=0,$B10&lt;&gt;"NSX",$D10&gt;250),0,ROUNDDOWN(($A$51-SUM(DJ$36:DJ38))/$G10,0))</f>
        <v>0</v>
      </c>
      <c r="DI39" s="442">
        <f>IF(DH39&gt;=$F10-SUMIF($CK$35:DF$35,"Кол-во",$CK39:DF39),$F10-SUMIF($CK$35:DF$35,"Кол-во",$CK39:DF39),DH39)</f>
        <v>0</v>
      </c>
      <c r="DJ39" s="442">
        <f t="shared" si="141"/>
        <v>0</v>
      </c>
      <c r="DK39" s="442">
        <f>IF(OR($G10=0,$B10&lt;&gt;"NSX",$D10&gt;250),0,ROUNDDOWN(($A$51-SUM(DM$36:DM38))/$G10,0))</f>
        <v>0</v>
      </c>
      <c r="DL39" s="442">
        <f>IF(DK39&gt;=$F10-SUMIF($CK$35:DI$35,"Кол-во",$CK39:DI39),$F10-SUMIF($CK$35:DI$35,"Кол-во",$CK39:DI39),DK39)</f>
        <v>0</v>
      </c>
      <c r="DM39" s="442">
        <f t="shared" si="142"/>
        <v>0</v>
      </c>
      <c r="ID39" s="879" t="s">
        <v>1116</v>
      </c>
      <c r="IE39" s="879" t="s">
        <v>1117</v>
      </c>
      <c r="IF39" s="879" t="s">
        <v>880</v>
      </c>
    </row>
    <row r="40" spans="1:240" x14ac:dyDescent="0.2">
      <c r="B40" s="870" t="b">
        <f ca="1">AND($D$33,$C$89&lt;=1200,B31=0)</f>
        <v>0</v>
      </c>
      <c r="C40" s="870" t="b">
        <f ca="1">AND($D$33,$C$89&gt;1200,C31=0)</f>
        <v>0</v>
      </c>
      <c r="D40" s="870" t="b">
        <f ca="1">AND(B40,C40=FALSE)</f>
        <v>0</v>
      </c>
      <c r="CI40" s="157" t="s">
        <v>89</v>
      </c>
      <c r="CJ40" s="442">
        <f>IF(OR($G11=0,$B11&lt;&gt;"NSX",$D11&gt;250),0,ROUNDDOWN(($A$51-SUM($CL$36:$CL39))/$G11,0))</f>
        <v>0</v>
      </c>
      <c r="CK40" s="157">
        <f t="shared" si="132"/>
        <v>0</v>
      </c>
      <c r="CL40" s="442">
        <f t="shared" si="133"/>
        <v>0</v>
      </c>
      <c r="CM40" s="442">
        <f>IF(OR($G11=0,$B11&lt;&gt;"NSX",$D11&gt;250),0,ROUNDDOWN(($A$51-SUM(CO$36:CO39))/$G11,0))</f>
        <v>0</v>
      </c>
      <c r="CN40" s="157">
        <f>IF(CM40&gt;=$F11-SUMIF($CK$35:CK$35,"Кол-во",$CK40:CK40),$F11-SUMIF($CK$35:CK$35,"Кол-во",$CK40:CK40),CM40)</f>
        <v>0</v>
      </c>
      <c r="CO40" s="442">
        <f t="shared" si="134"/>
        <v>0</v>
      </c>
      <c r="CP40" s="442">
        <f>IF(OR($G11=0,$B11&lt;&gt;"NSX",$D11&gt;250),0,ROUNDDOWN(($A$51-SUM(CR$36:CR39))/$G11,0))</f>
        <v>0</v>
      </c>
      <c r="CQ40" s="442">
        <f>IF(CP40&gt;=$F11-SUMIF($CK$35:CN$35,"Кол-во",$CK40:CN40),$F11-SUMIF($CK$35:CN$35,"Кол-во",$CK40:CN40),CP40)</f>
        <v>0</v>
      </c>
      <c r="CR40" s="442">
        <f t="shared" si="135"/>
        <v>0</v>
      </c>
      <c r="CS40" s="442">
        <f>IF(OR($G11=0,$B11&lt;&gt;"NSX",$D11&gt;250),0,ROUNDDOWN(($A$51-SUM(CU$36:CU39))/$G11,0))</f>
        <v>0</v>
      </c>
      <c r="CT40" s="442">
        <f>IF(CS40&gt;=$F11-SUMIF($CK$35:CQ$35,"Кол-во",$CK40:CQ40),$F11-SUMIF($CK$35:CQ$35,"Кол-во",$CK40:CQ40),CS40)</f>
        <v>0</v>
      </c>
      <c r="CU40" s="442">
        <f t="shared" si="136"/>
        <v>0</v>
      </c>
      <c r="CV40" s="442">
        <f>IF(OR($G11=0,$B11&lt;&gt;"NSX",$D11&gt;250),0,ROUNDDOWN(($A$51-SUM(CX$36:CX39))/$G11,0))</f>
        <v>0</v>
      </c>
      <c r="CW40" s="442">
        <f>IF(CV40&gt;=$F11-SUMIF($CK$35:CT$35,"Кол-во",$CK40:CT40),$F11-SUMIF($CK$35:CT$35,"Кол-во",$CK40:CT40),CV40)</f>
        <v>0</v>
      </c>
      <c r="CX40" s="442">
        <f t="shared" si="137"/>
        <v>0</v>
      </c>
      <c r="CY40" s="442">
        <f>IF(OR($G11=0,$B11&lt;&gt;"NSX",$D11&gt;250),0,ROUNDDOWN(($A$51-SUM(DA$36:DA39))/$G11,0))</f>
        <v>0</v>
      </c>
      <c r="CZ40" s="442">
        <f>IF(CY40&gt;=$F11-SUMIF($CK$35:CW$35,"Кол-во",$CK40:CW40),$F11-SUMIF($CK$35:CW$35,"Кол-во",$CK40:CW40),CY40)</f>
        <v>0</v>
      </c>
      <c r="DA40" s="442">
        <f t="shared" si="138"/>
        <v>0</v>
      </c>
      <c r="DB40" s="442">
        <f>IF(OR($G11=0,$B11&lt;&gt;"NSX",$D11&gt;250),0,ROUNDDOWN(($A$51-SUM(DD$36:DD39))/$G11,0))</f>
        <v>0</v>
      </c>
      <c r="DC40" s="442">
        <f>IF(DB40&gt;=$F11-SUMIF($CK$35:CZ$35,"Кол-во",$CK40:CZ40),$F11-SUMIF($CK$35:CZ$35,"Кол-во",$CK40:CZ40),DB40)</f>
        <v>0</v>
      </c>
      <c r="DD40" s="442">
        <f t="shared" si="139"/>
        <v>0</v>
      </c>
      <c r="DE40" s="442">
        <f>IF(OR($G11=0,$B11&lt;&gt;"NSX",$D11&gt;250),0,ROUNDDOWN(($A$51-SUM(DG$36:DG39))/$G11,0))</f>
        <v>0</v>
      </c>
      <c r="DF40" s="442">
        <f>IF(DE40&gt;=$F11-SUMIF($CK$35:DC$35,"Кол-во",$CK40:DC40),$F11-SUMIF($CK$35:DC$35,"Кол-во",$CK40:DC40),DE40)</f>
        <v>0</v>
      </c>
      <c r="DG40" s="442">
        <f t="shared" si="140"/>
        <v>0</v>
      </c>
      <c r="DH40" s="442">
        <f>IF(OR($G11=0,$B11&lt;&gt;"NSX",$D11&gt;250),0,ROUNDDOWN(($A$51-SUM(DJ$36:DJ39))/$G11,0))</f>
        <v>0</v>
      </c>
      <c r="DI40" s="442">
        <f>IF(DH40&gt;=$F11-SUMIF($CK$35:DF$35,"Кол-во",$CK40:DF40),$F11-SUMIF($CK$35:DF$35,"Кол-во",$CK40:DF40),DH40)</f>
        <v>0</v>
      </c>
      <c r="DJ40" s="442">
        <f t="shared" si="141"/>
        <v>0</v>
      </c>
      <c r="DK40" s="442">
        <f>IF(OR($G11=0,$B11&lt;&gt;"NSX",$D11&gt;250),0,ROUNDDOWN(($A$51-SUM(DM$36:DM39))/$G11,0))</f>
        <v>0</v>
      </c>
      <c r="DL40" s="442">
        <f>IF(DK40&gt;=$F11-SUMIF($CK$35:DI$35,"Кол-во",$CK40:DI40),$F11-SUMIF($CK$35:DI$35,"Кол-во",$CK40:DI40),DK40)</f>
        <v>0</v>
      </c>
      <c r="DM40" s="442">
        <f t="shared" si="142"/>
        <v>0</v>
      </c>
      <c r="ID40" s="1205" t="s">
        <v>1109</v>
      </c>
      <c r="IE40" s="1205"/>
      <c r="IF40" s="1205"/>
    </row>
    <row r="41" spans="1:240" ht="12.75" customHeight="1" x14ac:dyDescent="0.2">
      <c r="B41" s="1216" t="s">
        <v>1092</v>
      </c>
      <c r="C41" s="1159"/>
      <c r="D41" s="1159"/>
      <c r="CI41" s="157" t="s">
        <v>90</v>
      </c>
      <c r="CJ41" s="442">
        <f>IF(OR($G12=0,$B12&lt;&gt;"NSX",$D12&gt;250),0,ROUNDDOWN(($A$51-SUM($CL$36:$CL40))/$G12,0))</f>
        <v>0</v>
      </c>
      <c r="CK41" s="157">
        <f t="shared" si="132"/>
        <v>0</v>
      </c>
      <c r="CL41" s="442">
        <f t="shared" si="133"/>
        <v>0</v>
      </c>
      <c r="CM41" s="442">
        <f>IF(OR($G12=0,$B12&lt;&gt;"NSX",$D12&gt;250),0,ROUNDDOWN(($A$51-SUM(CO$36:CO40))/$G12,0))</f>
        <v>0</v>
      </c>
      <c r="CN41" s="157">
        <f>IF(CM41&gt;=$F12-SUMIF($CK$35:CK$35,"Кол-во",$CK41:CK41),$F12-SUMIF($CK$35:CK$35,"Кол-во",$CK41:CK41),CM41)</f>
        <v>0</v>
      </c>
      <c r="CO41" s="442">
        <f t="shared" si="134"/>
        <v>0</v>
      </c>
      <c r="CP41" s="442">
        <f>IF(OR($G12=0,$B12&lt;&gt;"NSX",$D12&gt;250),0,ROUNDDOWN(($A$51-SUM(CR$36:CR40))/$G12,0))</f>
        <v>0</v>
      </c>
      <c r="CQ41" s="442">
        <f>IF(CP41&gt;=$F12-SUMIF($CK$35:CN$35,"Кол-во",$CK41:CN41),$F12-SUMIF($CK$35:CN$35,"Кол-во",$CK41:CN41),CP41)</f>
        <v>0</v>
      </c>
      <c r="CR41" s="442">
        <f t="shared" si="135"/>
        <v>0</v>
      </c>
      <c r="CS41" s="442">
        <f>IF(OR($G12=0,$B12&lt;&gt;"NSX",$D12&gt;250),0,ROUNDDOWN(($A$51-SUM(CU$36:CU40))/$G12,0))</f>
        <v>0</v>
      </c>
      <c r="CT41" s="442">
        <f>IF(CS41&gt;=$F12-SUMIF($CK$35:CQ$35,"Кол-во",$CK41:CQ41),$F12-SUMIF($CK$35:CQ$35,"Кол-во",$CK41:CQ41),CS41)</f>
        <v>0</v>
      </c>
      <c r="CU41" s="442">
        <f t="shared" si="136"/>
        <v>0</v>
      </c>
      <c r="CV41" s="442">
        <f>IF(OR($G12=0,$B12&lt;&gt;"NSX",$D12&gt;250),0,ROUNDDOWN(($A$51-SUM(CX$36:CX40))/$G12,0))</f>
        <v>0</v>
      </c>
      <c r="CW41" s="442">
        <f>IF(CV41&gt;=$F12-SUMIF($CK$35:CT$35,"Кол-во",$CK41:CT41),$F12-SUMIF($CK$35:CT$35,"Кол-во",$CK41:CT41),CV41)</f>
        <v>0</v>
      </c>
      <c r="CX41" s="442">
        <f t="shared" si="137"/>
        <v>0</v>
      </c>
      <c r="CY41" s="442">
        <f>IF(OR($G12=0,$B12&lt;&gt;"NSX",$D12&gt;250),0,ROUNDDOWN(($A$51-SUM(DA$36:DA40))/$G12,0))</f>
        <v>0</v>
      </c>
      <c r="CZ41" s="442">
        <f>IF(CY41&gt;=$F12-SUMIF($CK$35:CW$35,"Кол-во",$CK41:CW41),$F12-SUMIF($CK$35:CW$35,"Кол-во",$CK41:CW41),CY41)</f>
        <v>0</v>
      </c>
      <c r="DA41" s="442">
        <f t="shared" si="138"/>
        <v>0</v>
      </c>
      <c r="DB41" s="442">
        <f>IF(OR($G12=0,$B12&lt;&gt;"NSX",$D12&gt;250),0,ROUNDDOWN(($A$51-SUM(DD$36:DD40))/$G12,0))</f>
        <v>0</v>
      </c>
      <c r="DC41" s="442">
        <f>IF(DB41&gt;=$F12-SUMIF($CK$35:CZ$35,"Кол-во",$CK41:CZ41),$F12-SUMIF($CK$35:CZ$35,"Кол-во",$CK41:CZ41),DB41)</f>
        <v>0</v>
      </c>
      <c r="DD41" s="442">
        <f t="shared" si="139"/>
        <v>0</v>
      </c>
      <c r="DE41" s="442">
        <f>IF(OR($G12=0,$B12&lt;&gt;"NSX",$D12&gt;250),0,ROUNDDOWN(($A$51-SUM(DG$36:DG40))/$G12,0))</f>
        <v>0</v>
      </c>
      <c r="DF41" s="442">
        <f>IF(DE41&gt;=$F12-SUMIF($CK$35:DC$35,"Кол-во",$CK41:DC41),$F12-SUMIF($CK$35:DC$35,"Кол-во",$CK41:DC41),DE41)</f>
        <v>0</v>
      </c>
      <c r="DG41" s="442">
        <f t="shared" si="140"/>
        <v>0</v>
      </c>
      <c r="DH41" s="442">
        <f>IF(OR($G12=0,$B12&lt;&gt;"NSX",$D12&gt;250),0,ROUNDDOWN(($A$51-SUM(DJ$36:DJ40))/$G12,0))</f>
        <v>0</v>
      </c>
      <c r="DI41" s="442">
        <f>IF(DH41&gt;=$F12-SUMIF($CK$35:DF$35,"Кол-во",$CK41:DF41),$F12-SUMIF($CK$35:DF$35,"Кол-во",$CK41:DF41),DH41)</f>
        <v>0</v>
      </c>
      <c r="DJ41" s="442">
        <f t="shared" si="141"/>
        <v>0</v>
      </c>
      <c r="DK41" s="442">
        <f>IF(OR($G12=0,$B12&lt;&gt;"NSX",$D12&gt;250),0,ROUNDDOWN(($A$51-SUM(DM$36:DM40))/$G12,0))</f>
        <v>0</v>
      </c>
      <c r="DL41" s="442">
        <f>IF(DK41&gt;=$F12-SUMIF($CK$35:DI$35,"Кол-во",$CK41:DI41),$F12-SUMIF($CK$35:DI$35,"Кол-во",$CK41:DI41),DK41)</f>
        <v>0</v>
      </c>
      <c r="DM41" s="442">
        <f t="shared" si="142"/>
        <v>0</v>
      </c>
      <c r="ID41" s="879">
        <v>200</v>
      </c>
      <c r="IE41" s="879">
        <v>250</v>
      </c>
      <c r="IF41" s="879">
        <v>0</v>
      </c>
    </row>
    <row r="42" spans="1:240" x14ac:dyDescent="0.2">
      <c r="B42" s="1159" t="s">
        <v>540</v>
      </c>
      <c r="C42" s="1160"/>
      <c r="D42" s="879" t="s">
        <v>991</v>
      </c>
      <c r="CI42" s="157" t="s">
        <v>91</v>
      </c>
      <c r="CJ42" s="442">
        <f>IF(OR($G13=0,$B13&lt;&gt;"NSX",$D13&gt;250),0,ROUNDDOWN(($A$51-SUM($CL$36:$CL41))/$G13,0))</f>
        <v>0</v>
      </c>
      <c r="CK42" s="157">
        <f t="shared" si="132"/>
        <v>0</v>
      </c>
      <c r="CL42" s="442">
        <f t="shared" si="133"/>
        <v>0</v>
      </c>
      <c r="CM42" s="442">
        <f>IF(OR($G13=0,$B13&lt;&gt;"NSX",$D13&gt;250),0,ROUNDDOWN(($A$51-SUM(CO$36:CO41))/$G13,0))</f>
        <v>0</v>
      </c>
      <c r="CN42" s="157">
        <f>IF(CM42&gt;=$F13-SUMIF($CK$35:CK$35,"Кол-во",$CK42:CK42),$F13-SUMIF($CK$35:CK$35,"Кол-во",$CK42:CK42),CM42)</f>
        <v>0</v>
      </c>
      <c r="CO42" s="442">
        <f t="shared" si="134"/>
        <v>0</v>
      </c>
      <c r="CP42" s="442">
        <f>IF(OR($G13=0,$B13&lt;&gt;"NSX",$D13&gt;250),0,ROUNDDOWN(($A$51-SUM(CR$36:CR41))/$G13,0))</f>
        <v>0</v>
      </c>
      <c r="CQ42" s="442">
        <f>IF(CP42&gt;=$F13-SUMIF($CK$35:CN$35,"Кол-во",$CK42:CN42),$F13-SUMIF($CK$35:CN$35,"Кол-во",$CK42:CN42),CP42)</f>
        <v>0</v>
      </c>
      <c r="CR42" s="442">
        <f t="shared" si="135"/>
        <v>0</v>
      </c>
      <c r="CS42" s="442">
        <f>IF(OR($G13=0,$B13&lt;&gt;"NSX",$D13&gt;250),0,ROUNDDOWN(($A$51-SUM(CU$36:CU41))/$G13,0))</f>
        <v>0</v>
      </c>
      <c r="CT42" s="442">
        <f>IF(CS42&gt;=$F13-SUMIF($CK$35:CQ$35,"Кол-во",$CK42:CQ42),$F13-SUMIF($CK$35:CQ$35,"Кол-во",$CK42:CQ42),CS42)</f>
        <v>0</v>
      </c>
      <c r="CU42" s="442">
        <f t="shared" si="136"/>
        <v>0</v>
      </c>
      <c r="CV42" s="442">
        <f>IF(OR($G13=0,$B13&lt;&gt;"NSX",$D13&gt;250),0,ROUNDDOWN(($A$51-SUM(CX$36:CX41))/$G13,0))</f>
        <v>0</v>
      </c>
      <c r="CW42" s="442">
        <f>IF(CV42&gt;=$F13-SUMIF($CK$35:CT$35,"Кол-во",$CK42:CT42),$F13-SUMIF($CK$35:CT$35,"Кол-во",$CK42:CT42),CV42)</f>
        <v>0</v>
      </c>
      <c r="CX42" s="442">
        <f t="shared" si="137"/>
        <v>0</v>
      </c>
      <c r="CY42" s="442">
        <f>IF(OR($G13=0,$B13&lt;&gt;"NSX",$D13&gt;250),0,ROUNDDOWN(($A$51-SUM(DA$36:DA41))/$G13,0))</f>
        <v>0</v>
      </c>
      <c r="CZ42" s="442">
        <f>IF(CY42&gt;=$F13-SUMIF($CK$35:CW$35,"Кол-во",$CK42:CW42),$F13-SUMIF($CK$35:CW$35,"Кол-во",$CK42:CW42),CY42)</f>
        <v>0</v>
      </c>
      <c r="DA42" s="442">
        <f t="shared" si="138"/>
        <v>0</v>
      </c>
      <c r="DB42" s="442">
        <f>IF(OR($G13=0,$B13&lt;&gt;"NSX",$D13&gt;250),0,ROUNDDOWN(($A$51-SUM(DD$36:DD41))/$G13,0))</f>
        <v>0</v>
      </c>
      <c r="DC42" s="442">
        <f>IF(DB42&gt;=$F13-SUMIF($CK$35:CZ$35,"Кол-во",$CK42:CZ42),$F13-SUMIF($CK$35:CZ$35,"Кол-во",$CK42:CZ42),DB42)</f>
        <v>0</v>
      </c>
      <c r="DD42" s="442">
        <f t="shared" si="139"/>
        <v>0</v>
      </c>
      <c r="DE42" s="442">
        <f>IF(OR($G13=0,$B13&lt;&gt;"NSX",$D13&gt;250),0,ROUNDDOWN(($A$51-SUM(DG$36:DG41))/$G13,0))</f>
        <v>0</v>
      </c>
      <c r="DF42" s="442">
        <f>IF(DE42&gt;=$F13-SUMIF($CK$35:DC$35,"Кол-во",$CK42:DC42),$F13-SUMIF($CK$35:DC$35,"Кол-во",$CK42:DC42),DE42)</f>
        <v>0</v>
      </c>
      <c r="DG42" s="442">
        <f t="shared" si="140"/>
        <v>0</v>
      </c>
      <c r="DH42" s="442">
        <f>IF(OR($G13=0,$B13&lt;&gt;"NSX",$D13&gt;250),0,ROUNDDOWN(($A$51-SUM(DJ$36:DJ41))/$G13,0))</f>
        <v>0</v>
      </c>
      <c r="DI42" s="442">
        <f>IF(DH42&gt;=$F13-SUMIF($CK$35:DF$35,"Кол-во",$CK42:DF42),$F13-SUMIF($CK$35:DF$35,"Кол-во",$CK42:DF42),DH42)</f>
        <v>0</v>
      </c>
      <c r="DJ42" s="442">
        <f t="shared" si="141"/>
        <v>0</v>
      </c>
      <c r="DK42" s="442">
        <f>IF(OR($G13=0,$B13&lt;&gt;"NSX",$D13&gt;250),0,ROUNDDOWN(($A$51-SUM(DM$36:DM41))/$G13,0))</f>
        <v>0</v>
      </c>
      <c r="DL42" s="442">
        <f>IF(DK42&gt;=$F13-SUMIF($CK$35:DI$35,"Кол-во",$CK42:DI42),$F13-SUMIF($CK$35:DI$35,"Кол-во",$CK42:DI42),DK42)</f>
        <v>0</v>
      </c>
      <c r="DM42" s="442">
        <f t="shared" si="142"/>
        <v>0</v>
      </c>
      <c r="ID42" s="1205" t="s">
        <v>1086</v>
      </c>
      <c r="IE42" s="1205"/>
      <c r="IF42" s="1205"/>
    </row>
    <row r="43" spans="1:240" x14ac:dyDescent="0.2">
      <c r="B43" s="879" t="b">
        <f ca="1">AND($D$33,$C$91&lt;=1200,B33=0)</f>
        <v>0</v>
      </c>
      <c r="C43" s="879" t="b">
        <f ca="1">AND($D$33,$C$91&gt;1200,C33=0)</f>
        <v>0</v>
      </c>
      <c r="D43" s="879" t="b">
        <f ca="1">AND(B43,C43=FALSE)</f>
        <v>0</v>
      </c>
      <c r="CI43" s="157" t="s">
        <v>92</v>
      </c>
      <c r="CJ43" s="442">
        <f>IF(OR($G14=0,$B14&lt;&gt;"NSX",$D14&gt;250),0,ROUNDDOWN(($A$51-SUM($CL$36:$CL42))/$G14,0))</f>
        <v>0</v>
      </c>
      <c r="CK43" s="157">
        <f t="shared" si="132"/>
        <v>0</v>
      </c>
      <c r="CL43" s="442">
        <f t="shared" si="133"/>
        <v>0</v>
      </c>
      <c r="CM43" s="442">
        <f>IF(OR($G14=0,$B14&lt;&gt;"NSX",$D14&gt;250),0,ROUNDDOWN(($A$51-SUM(CO$36:CO42))/$G14,0))</f>
        <v>0</v>
      </c>
      <c r="CN43" s="157">
        <f>IF(CM43&gt;=$F14-SUMIF($CK$35:CK$35,"Кол-во",$CK43:CK43),$F14-SUMIF($CK$35:CK$35,"Кол-во",$CK43:CK43),CM43)</f>
        <v>0</v>
      </c>
      <c r="CO43" s="442">
        <f t="shared" si="134"/>
        <v>0</v>
      </c>
      <c r="CP43" s="442">
        <f>IF(OR($G14=0,$B14&lt;&gt;"NSX",$D14&gt;250),0,ROUNDDOWN(($A$51-SUM(CR$36:CR42))/$G14,0))</f>
        <v>0</v>
      </c>
      <c r="CQ43" s="442">
        <f>IF(CP43&gt;=$F14-SUMIF($CK$35:CN$35,"Кол-во",$CK43:CN43),$F14-SUMIF($CK$35:CN$35,"Кол-во",$CK43:CN43),CP43)</f>
        <v>0</v>
      </c>
      <c r="CR43" s="442">
        <f t="shared" si="135"/>
        <v>0</v>
      </c>
      <c r="CS43" s="442">
        <f>IF(OR($G14=0,$B14&lt;&gt;"NSX",$D14&gt;250),0,ROUNDDOWN(($A$51-SUM(CU$36:CU42))/$G14,0))</f>
        <v>0</v>
      </c>
      <c r="CT43" s="442">
        <f>IF(CS43&gt;=$F14-SUMIF($CK$35:CQ$35,"Кол-во",$CK43:CQ43),$F14-SUMIF($CK$35:CQ$35,"Кол-во",$CK43:CQ43),CS43)</f>
        <v>0</v>
      </c>
      <c r="CU43" s="442">
        <f t="shared" si="136"/>
        <v>0</v>
      </c>
      <c r="CV43" s="442">
        <f>IF(OR($G14=0,$B14&lt;&gt;"NSX",$D14&gt;250),0,ROUNDDOWN(($A$51-SUM(CX$36:CX42))/$G14,0))</f>
        <v>0</v>
      </c>
      <c r="CW43" s="442">
        <f>IF(CV43&gt;=$F14-SUMIF($CK$35:CT$35,"Кол-во",$CK43:CT43),$F14-SUMIF($CK$35:CT$35,"Кол-во",$CK43:CT43),CV43)</f>
        <v>0</v>
      </c>
      <c r="CX43" s="442">
        <f t="shared" si="137"/>
        <v>0</v>
      </c>
      <c r="CY43" s="442">
        <f>IF(OR($G14=0,$B14&lt;&gt;"NSX",$D14&gt;250),0,ROUNDDOWN(($A$51-SUM(DA$36:DA42))/$G14,0))</f>
        <v>0</v>
      </c>
      <c r="CZ43" s="442">
        <f>IF(CY43&gt;=$F14-SUMIF($CK$35:CW$35,"Кол-во",$CK43:CW43),$F14-SUMIF($CK$35:CW$35,"Кол-во",$CK43:CW43),CY43)</f>
        <v>0</v>
      </c>
      <c r="DA43" s="442">
        <f t="shared" si="138"/>
        <v>0</v>
      </c>
      <c r="DB43" s="442">
        <f>IF(OR($G14=0,$B14&lt;&gt;"NSX",$D14&gt;250),0,ROUNDDOWN(($A$51-SUM(DD$36:DD42))/$G14,0))</f>
        <v>0</v>
      </c>
      <c r="DC43" s="442">
        <f>IF(DB43&gt;=$F14-SUMIF($CK$35:CZ$35,"Кол-во",$CK43:CZ43),$F14-SUMIF($CK$35:CZ$35,"Кол-во",$CK43:CZ43),DB43)</f>
        <v>0</v>
      </c>
      <c r="DD43" s="442">
        <f t="shared" si="139"/>
        <v>0</v>
      </c>
      <c r="DE43" s="442">
        <f>IF(OR($G14=0,$B14&lt;&gt;"NSX",$D14&gt;250),0,ROUNDDOWN(($A$51-SUM(DG$36:DG42))/$G14,0))</f>
        <v>0</v>
      </c>
      <c r="DF43" s="442">
        <f>IF(DE43&gt;=$F14-SUMIF($CK$35:DC$35,"Кол-во",$CK43:DC43),$F14-SUMIF($CK$35:DC$35,"Кол-во",$CK43:DC43),DE43)</f>
        <v>0</v>
      </c>
      <c r="DG43" s="442">
        <f t="shared" si="140"/>
        <v>0</v>
      </c>
      <c r="DH43" s="442">
        <f>IF(OR($G14=0,$B14&lt;&gt;"NSX",$D14&gt;250),0,ROUNDDOWN(($A$51-SUM(DJ$36:DJ42))/$G14,0))</f>
        <v>0</v>
      </c>
      <c r="DI43" s="442">
        <f>IF(DH43&gt;=$F14-SUMIF($CK$35:DF$35,"Кол-во",$CK43:DF43),$F14-SUMIF($CK$35:DF$35,"Кол-во",$CK43:DF43),DH43)</f>
        <v>0</v>
      </c>
      <c r="DJ43" s="442">
        <f t="shared" si="141"/>
        <v>0</v>
      </c>
      <c r="DK43" s="442">
        <f>IF(OR($G14=0,$B14&lt;&gt;"NSX",$D14&gt;250),0,ROUNDDOWN(($A$51-SUM(DM$36:DM42))/$G14,0))</f>
        <v>0</v>
      </c>
      <c r="DL43" s="442">
        <f>IF(DK43&gt;=$F14-SUMIF($CK$35:DI$35,"Кол-во",$CK43:DI43),$F14-SUMIF($CK$35:DI$35,"Кол-во",$CK43:DI43),DK43)</f>
        <v>0</v>
      </c>
      <c r="DM43" s="442">
        <f t="shared" si="142"/>
        <v>0</v>
      </c>
      <c r="ID43" s="879">
        <f ca="1">ROUNDUP(($C$89+ID41)/200,0)*200</f>
        <v>800</v>
      </c>
      <c r="IE43" s="879">
        <f ca="1">ROUNDUP((C89+IE41)/200,0)*200</f>
        <v>1000</v>
      </c>
      <c r="IF43" s="879">
        <f ca="1">ROUNDUP((D89+IF41)/200,0)*200</f>
        <v>1600</v>
      </c>
    </row>
    <row r="44" spans="1:240" x14ac:dyDescent="0.2">
      <c r="B44" s="565"/>
      <c r="C44" s="565"/>
      <c r="D44" s="565"/>
      <c r="CI44" s="157" t="s">
        <v>93</v>
      </c>
      <c r="CJ44" s="442">
        <f>IF(OR($G15=0,$B15&lt;&gt;"NSX",$D15&gt;250),0,ROUNDDOWN(($A$51-SUM($CL$36:$CL43))/$G15,0))</f>
        <v>0</v>
      </c>
      <c r="CK44" s="157">
        <f t="shared" si="132"/>
        <v>0</v>
      </c>
      <c r="CL44" s="442">
        <f t="shared" si="133"/>
        <v>0</v>
      </c>
      <c r="CM44" s="442">
        <f>IF(OR($G15=0,$B15&lt;&gt;"NSX",$D15&gt;250),0,ROUNDDOWN(($A$51-SUM(CO$36:CO43))/$G15,0))</f>
        <v>0</v>
      </c>
      <c r="CN44" s="157">
        <f>IF(CM44&gt;=$F15-SUMIF($CK$35:CK$35,"Кол-во",$CK44:CK44),$F15-SUMIF($CK$35:CK$35,"Кол-во",$CK44:CK44),CM44)</f>
        <v>0</v>
      </c>
      <c r="CO44" s="442">
        <f t="shared" si="134"/>
        <v>0</v>
      </c>
      <c r="CP44" s="442">
        <f>IF(OR($G15=0,$B15&lt;&gt;"NSX",$D15&gt;250),0,ROUNDDOWN(($A$51-SUM(CR$36:CR43))/$G15,0))</f>
        <v>0</v>
      </c>
      <c r="CQ44" s="442">
        <f>IF(CP44&gt;=$F15-SUMIF($CK$35:CN$35,"Кол-во",$CK44:CN44),$F15-SUMIF($CK$35:CN$35,"Кол-во",$CK44:CN44),CP44)</f>
        <v>0</v>
      </c>
      <c r="CR44" s="442">
        <f t="shared" si="135"/>
        <v>0</v>
      </c>
      <c r="CS44" s="442">
        <f>IF(OR($G15=0,$B15&lt;&gt;"NSX",$D15&gt;250),0,ROUNDDOWN(($A$51-SUM(CU$36:CU43))/$G15,0))</f>
        <v>0</v>
      </c>
      <c r="CT44" s="442">
        <f>IF(CS44&gt;=$F15-SUMIF($CK$35:CQ$35,"Кол-во",$CK44:CQ44),$F15-SUMIF($CK$35:CQ$35,"Кол-во",$CK44:CQ44),CS44)</f>
        <v>0</v>
      </c>
      <c r="CU44" s="442">
        <f t="shared" si="136"/>
        <v>0</v>
      </c>
      <c r="CV44" s="442">
        <f>IF(OR($G15=0,$B15&lt;&gt;"NSX",$D15&gt;250),0,ROUNDDOWN(($A$51-SUM(CX$36:CX43))/$G15,0))</f>
        <v>0</v>
      </c>
      <c r="CW44" s="442">
        <f>IF(CV44&gt;=$F15-SUMIF($CK$35:CT$35,"Кол-во",$CK44:CT44),$F15-SUMIF($CK$35:CT$35,"Кол-во",$CK44:CT44),CV44)</f>
        <v>0</v>
      </c>
      <c r="CX44" s="442">
        <f t="shared" si="137"/>
        <v>0</v>
      </c>
      <c r="CY44" s="442">
        <f>IF(OR($G15=0,$B15&lt;&gt;"NSX",$D15&gt;250),0,ROUNDDOWN(($A$51-SUM(DA$36:DA43))/$G15,0))</f>
        <v>0</v>
      </c>
      <c r="CZ44" s="442">
        <f>IF(CY44&gt;=$F15-SUMIF($CK$35:CW$35,"Кол-во",$CK44:CW44),$F15-SUMIF($CK$35:CW$35,"Кол-во",$CK44:CW44),CY44)</f>
        <v>0</v>
      </c>
      <c r="DA44" s="442">
        <f t="shared" si="138"/>
        <v>0</v>
      </c>
      <c r="DB44" s="442">
        <f>IF(OR($G15=0,$B15&lt;&gt;"NSX",$D15&gt;250),0,ROUNDDOWN(($A$51-SUM(DD$36:DD43))/$G15,0))</f>
        <v>0</v>
      </c>
      <c r="DC44" s="442">
        <f>IF(DB44&gt;=$F15-SUMIF($CK$35:CZ$35,"Кол-во",$CK44:CZ44),$F15-SUMIF($CK$35:CZ$35,"Кол-во",$CK44:CZ44),DB44)</f>
        <v>0</v>
      </c>
      <c r="DD44" s="442">
        <f t="shared" si="139"/>
        <v>0</v>
      </c>
      <c r="DE44" s="442">
        <f>IF(OR($G15=0,$B15&lt;&gt;"NSX",$D15&gt;250),0,ROUNDDOWN(($A$51-SUM(DG$36:DG43))/$G15,0))</f>
        <v>0</v>
      </c>
      <c r="DF44" s="442">
        <f>IF(DE44&gt;=$F15-SUMIF($CK$35:DC$35,"Кол-во",$CK44:DC44),$F15-SUMIF($CK$35:DC$35,"Кол-во",$CK44:DC44),DE44)</f>
        <v>0</v>
      </c>
      <c r="DG44" s="442">
        <f t="shared" si="140"/>
        <v>0</v>
      </c>
      <c r="DH44" s="442">
        <f>IF(OR($G15=0,$B15&lt;&gt;"NSX",$D15&gt;250),0,ROUNDDOWN(($A$51-SUM(DJ$36:DJ43))/$G15,0))</f>
        <v>0</v>
      </c>
      <c r="DI44" s="442">
        <f>IF(DH44&gt;=$F15-SUMIF($CK$35:DF$35,"Кол-во",$CK44:DF44),$F15-SUMIF($CK$35:DF$35,"Кол-во",$CK44:DF44),DH44)</f>
        <v>0</v>
      </c>
      <c r="DJ44" s="442">
        <f t="shared" si="141"/>
        <v>0</v>
      </c>
      <c r="DK44" s="442">
        <f>IF(OR($G15=0,$B15&lt;&gt;"NSX",$D15&gt;250),0,ROUNDDOWN(($A$51-SUM(DM$36:DM43))/$G15,0))</f>
        <v>0</v>
      </c>
      <c r="DL44" s="442">
        <f>IF(DK44&gt;=$F15-SUMIF($CK$35:DI$35,"Кол-во",$CK44:DI44),$F15-SUMIF($CK$35:DI$35,"Кол-во",$CK44:DI44),DK44)</f>
        <v>0</v>
      </c>
      <c r="DM44" s="442">
        <f t="shared" si="142"/>
        <v>0</v>
      </c>
      <c r="ID44" s="1205" t="s">
        <v>99</v>
      </c>
      <c r="IE44" s="1205"/>
      <c r="IF44" s="1205"/>
    </row>
    <row r="45" spans="1:240" ht="13.5" customHeight="1" x14ac:dyDescent="0.2">
      <c r="CI45" s="157" t="s">
        <v>94</v>
      </c>
      <c r="CJ45" s="442">
        <f>IF(OR($G16=0,$B16&lt;&gt;"NSX",$D16&gt;250),0,ROUNDDOWN(($A$51-SUM($CL$36:$CL44))/$G16,0))</f>
        <v>0</v>
      </c>
      <c r="CK45" s="157">
        <f t="shared" si="132"/>
        <v>0</v>
      </c>
      <c r="CL45" s="442">
        <f t="shared" si="133"/>
        <v>0</v>
      </c>
      <c r="CM45" s="442">
        <f>IF(OR($G16=0,$B16&lt;&gt;"NSX",$D16&gt;250),0,ROUNDDOWN(($A$51-SUM(CO$36:CO44))/$G16,0))</f>
        <v>0</v>
      </c>
      <c r="CN45" s="157">
        <f>IF(CM45&gt;=$F16-SUMIF($CK$35:CK$35,"Кол-во",$CK45:CK45),$F16-SUMIF($CK$35:CK$35,"Кол-во",$CK45:CK45),CM45)</f>
        <v>0</v>
      </c>
      <c r="CO45" s="442">
        <f t="shared" si="134"/>
        <v>0</v>
      </c>
      <c r="CP45" s="442">
        <f>IF(OR($G16=0,$B16&lt;&gt;"NSX",$D16&gt;250),0,ROUNDDOWN(($A$51-SUM(CR$36:CR44))/$G16,0))</f>
        <v>0</v>
      </c>
      <c r="CQ45" s="442">
        <f>IF(CP45&gt;=$F16-SUMIF($CK$35:CN$35,"Кол-во",$CK45:CN45),$F16-SUMIF($CK$35:CN$35,"Кол-во",$CK45:CN45),CP45)</f>
        <v>0</v>
      </c>
      <c r="CR45" s="442">
        <f t="shared" si="135"/>
        <v>0</v>
      </c>
      <c r="CS45" s="442">
        <f>IF(OR($G16=0,$B16&lt;&gt;"NSX",$D16&gt;250),0,ROUNDDOWN(($A$51-SUM(CU$36:CU44))/$G16,0))</f>
        <v>0</v>
      </c>
      <c r="CT45" s="442">
        <f>IF(CS45&gt;=$F16-SUMIF($CK$35:CQ$35,"Кол-во",$CK45:CQ45),$F16-SUMIF($CK$35:CQ$35,"Кол-во",$CK45:CQ45),CS45)</f>
        <v>0</v>
      </c>
      <c r="CU45" s="442">
        <f t="shared" si="136"/>
        <v>0</v>
      </c>
      <c r="CV45" s="442">
        <f>IF(OR($G16=0,$B16&lt;&gt;"NSX",$D16&gt;250),0,ROUNDDOWN(($A$51-SUM(CX$36:CX44))/$G16,0))</f>
        <v>0</v>
      </c>
      <c r="CW45" s="442">
        <f>IF(CV45&gt;=$F16-SUMIF($CK$35:CT$35,"Кол-во",$CK45:CT45),$F16-SUMIF($CK$35:CT$35,"Кол-во",$CK45:CT45),CV45)</f>
        <v>0</v>
      </c>
      <c r="CX45" s="442">
        <f t="shared" si="137"/>
        <v>0</v>
      </c>
      <c r="CY45" s="442">
        <f>IF(OR($G16=0,$B16&lt;&gt;"NSX",$D16&gt;250),0,ROUNDDOWN(($A$51-SUM(DA$36:DA44))/$G16,0))</f>
        <v>0</v>
      </c>
      <c r="CZ45" s="442">
        <f>IF(CY45&gt;=$F16-SUMIF($CK$35:CW$35,"Кол-во",$CK45:CW45),$F16-SUMIF($CK$35:CW$35,"Кол-во",$CK45:CW45),CY45)</f>
        <v>0</v>
      </c>
      <c r="DA45" s="442">
        <f t="shared" si="138"/>
        <v>0</v>
      </c>
      <c r="DB45" s="442">
        <f>IF(OR($G16=0,$B16&lt;&gt;"NSX",$D16&gt;250),0,ROUNDDOWN(($A$51-SUM(DD$36:DD44))/$G16,0))</f>
        <v>0</v>
      </c>
      <c r="DC45" s="442">
        <f>IF(DB45&gt;=$F16-SUMIF($CK$35:CZ$35,"Кол-во",$CK45:CZ45),$F16-SUMIF($CK$35:CZ$35,"Кол-во",$CK45:CZ45),DB45)</f>
        <v>0</v>
      </c>
      <c r="DD45" s="442">
        <f t="shared" si="139"/>
        <v>0</v>
      </c>
      <c r="DE45" s="442">
        <f>IF(OR($G16=0,$B16&lt;&gt;"NSX",$D16&gt;250),0,ROUNDDOWN(($A$51-SUM(DG$36:DG44))/$G16,0))</f>
        <v>0</v>
      </c>
      <c r="DF45" s="442">
        <f>IF(DE45&gt;=$F16-SUMIF($CK$35:DC$35,"Кол-во",$CK45:DC45),$F16-SUMIF($CK$35:DC$35,"Кол-во",$CK45:DC45),DE45)</f>
        <v>0</v>
      </c>
      <c r="DG45" s="442">
        <f t="shared" si="140"/>
        <v>0</v>
      </c>
      <c r="DH45" s="442">
        <f>IF(OR($G16=0,$B16&lt;&gt;"NSX",$D16&gt;250),0,ROUNDDOWN(($A$51-SUM(DJ$36:DJ44))/$G16,0))</f>
        <v>0</v>
      </c>
      <c r="DI45" s="442">
        <f>IF(DH45&gt;=$F16-SUMIF($CK$35:DF$35,"Кол-во",$CK45:DF45),$F16-SUMIF($CK$35:DF$35,"Кол-во",$CK45:DF45),DH45)</f>
        <v>0</v>
      </c>
      <c r="DJ45" s="442">
        <f t="shared" si="141"/>
        <v>0</v>
      </c>
      <c r="DK45" s="442">
        <f>IF(OR($G16=0,$B16&lt;&gt;"NSX",$D16&gt;250),0,ROUNDDOWN(($A$51-SUM(DM$36:DM44))/$G16,0))</f>
        <v>0</v>
      </c>
      <c r="DL45" s="442">
        <f>IF(DK45&gt;=$F16-SUMIF($CK$35:DI$35,"Кол-во",$CK45:DI45),$F16-SUMIF($CK$35:DI$35,"Кол-во",$CK45:DI45),DK45)</f>
        <v>0</v>
      </c>
      <c r="DM45" s="442">
        <f t="shared" si="142"/>
        <v>0</v>
      </c>
      <c r="ID45" s="879">
        <f>A99</f>
        <v>400</v>
      </c>
      <c r="IE45" s="879">
        <f>A99</f>
        <v>400</v>
      </c>
      <c r="IF45" s="879">
        <f>A99</f>
        <v>400</v>
      </c>
    </row>
    <row r="46" spans="1:240" ht="13.5" thickBot="1" x14ac:dyDescent="0.25">
      <c r="CI46" s="157" t="s">
        <v>162</v>
      </c>
      <c r="CJ46" s="442">
        <f>IF(OR($G17=0,$B17&lt;&gt;"NSX",$D17&gt;250),0,ROUNDDOWN(($A$51-SUM($CL$36:$CL45))/$G17,0))</f>
        <v>0</v>
      </c>
      <c r="CK46" s="157">
        <f t="shared" si="132"/>
        <v>0</v>
      </c>
      <c r="CL46" s="442">
        <f t="shared" si="133"/>
        <v>0</v>
      </c>
      <c r="CM46" s="442">
        <f>IF(OR($G17=0,$B17&lt;&gt;"NSX",$D17&gt;250),0,ROUNDDOWN(($A$51-SUM(CO$36:CO45))/$G17,0))</f>
        <v>0</v>
      </c>
      <c r="CN46" s="157">
        <f>IF(CM46&gt;=$F17-SUMIF($CK$35:CK$35,"Кол-во",$CK46:CK46),$F17-SUMIF($CK$35:CK$35,"Кол-во",$CK46:CK46),CM46)</f>
        <v>0</v>
      </c>
      <c r="CO46" s="442">
        <f t="shared" si="134"/>
        <v>0</v>
      </c>
      <c r="CP46" s="442">
        <f>IF(OR($G17=0,$B17&lt;&gt;"NSX",$D17&gt;250),0,ROUNDDOWN(($A$51-SUM(CR$36:CR45))/$G17,0))</f>
        <v>0</v>
      </c>
      <c r="CQ46" s="442">
        <f>IF(CP46&gt;=$F17-SUMIF($CK$35:CN$35,"Кол-во",$CK46:CN46),$F17-SUMIF($CK$35:CN$35,"Кол-во",$CK46:CN46),CP46)</f>
        <v>0</v>
      </c>
      <c r="CR46" s="442">
        <f t="shared" si="135"/>
        <v>0</v>
      </c>
      <c r="CS46" s="442">
        <f>IF(OR($G17=0,$B17&lt;&gt;"NSX",$D17&gt;250),0,ROUNDDOWN(($A$51-SUM(CU$36:CU45))/$G17,0))</f>
        <v>0</v>
      </c>
      <c r="CT46" s="442">
        <f>IF(CS46&gt;=$F17-SUMIF($CK$35:CQ$35,"Кол-во",$CK46:CQ46),$F17-SUMIF($CK$35:CQ$35,"Кол-во",$CK46:CQ46),CS46)</f>
        <v>0</v>
      </c>
      <c r="CU46" s="442">
        <f t="shared" si="136"/>
        <v>0</v>
      </c>
      <c r="CV46" s="442">
        <f>IF(OR($G17=0,$B17&lt;&gt;"NSX",$D17&gt;250),0,ROUNDDOWN(($A$51-SUM(CX$36:CX45))/$G17,0))</f>
        <v>0</v>
      </c>
      <c r="CW46" s="442">
        <f>IF(CV46&gt;=$F17-SUMIF($CK$35:CT$35,"Кол-во",$CK46:CT46),$F17-SUMIF($CK$35:CT$35,"Кол-во",$CK46:CT46),CV46)</f>
        <v>0</v>
      </c>
      <c r="CX46" s="442">
        <f t="shared" si="137"/>
        <v>0</v>
      </c>
      <c r="CY46" s="442">
        <f>IF(OR($G17=0,$B17&lt;&gt;"NSX",$D17&gt;250),0,ROUNDDOWN(($A$51-SUM(DA$36:DA45))/$G17,0))</f>
        <v>0</v>
      </c>
      <c r="CZ46" s="442">
        <f>IF(CY46&gt;=$F17-SUMIF($CK$35:CW$35,"Кол-во",$CK46:CW46),$F17-SUMIF($CK$35:CW$35,"Кол-во",$CK46:CW46),CY46)</f>
        <v>0</v>
      </c>
      <c r="DA46" s="442">
        <f t="shared" si="138"/>
        <v>0</v>
      </c>
      <c r="DB46" s="442">
        <f>IF(OR($G17=0,$B17&lt;&gt;"NSX",$D17&gt;250),0,ROUNDDOWN(($A$51-SUM(DD$36:DD45))/$G17,0))</f>
        <v>0</v>
      </c>
      <c r="DC46" s="442">
        <f>IF(DB46&gt;=$F17-SUMIF($CK$35:CZ$35,"Кол-во",$CK46:CZ46),$F17-SUMIF($CK$35:CZ$35,"Кол-во",$CK46:CZ46),DB46)</f>
        <v>0</v>
      </c>
      <c r="DD46" s="442">
        <f t="shared" si="139"/>
        <v>0</v>
      </c>
      <c r="DE46" s="442">
        <f>IF(OR($G17=0,$B17&lt;&gt;"NSX",$D17&gt;250),0,ROUNDDOWN(($A$51-SUM(DG$36:DG45))/$G17,0))</f>
        <v>0</v>
      </c>
      <c r="DF46" s="442">
        <f>IF(DE46&gt;=$F17-SUMIF($CK$35:DC$35,"Кол-во",$CK46:DC46),$F17-SUMIF($CK$35:DC$35,"Кол-во",$CK46:DC46),DE46)</f>
        <v>0</v>
      </c>
      <c r="DG46" s="442">
        <f t="shared" si="140"/>
        <v>0</v>
      </c>
      <c r="DH46" s="442">
        <f>IF(OR($G17=0,$B17&lt;&gt;"NSX",$D17&gt;250),0,ROUNDDOWN(($A$51-SUM(DJ$36:DJ45))/$G17,0))</f>
        <v>0</v>
      </c>
      <c r="DI46" s="442">
        <f>IF(DH46&gt;=$F17-SUMIF($CK$35:DF$35,"Кол-во",$CK46:DF46),$F17-SUMIF($CK$35:DF$35,"Кол-во",$CK46:DF46),DH46)</f>
        <v>0</v>
      </c>
      <c r="DJ46" s="442">
        <f t="shared" si="141"/>
        <v>0</v>
      </c>
      <c r="DK46" s="442">
        <f>IF(OR($G17=0,$B17&lt;&gt;"NSX",$D17&gt;250),0,ROUNDDOWN(($A$51-SUM(DM$36:DM45))/$G17,0))</f>
        <v>0</v>
      </c>
      <c r="DL46" s="442">
        <f>IF(DK46&gt;=$F17-SUMIF($CK$35:DI$35,"Кол-во",$CK46:DI46),$F17-SUMIF($CK$35:DI$35,"Кол-во",$CK46:DI46),DK46)</f>
        <v>0</v>
      </c>
      <c r="DM46" s="442">
        <f t="shared" si="142"/>
        <v>0</v>
      </c>
      <c r="ID46" s="1205" t="s">
        <v>241</v>
      </c>
      <c r="IE46" s="1205"/>
      <c r="IF46" s="1205"/>
    </row>
    <row r="47" spans="1:240" ht="13.5" thickBot="1" x14ac:dyDescent="0.25">
      <c r="A47" s="565"/>
      <c r="B47" s="1170" t="s">
        <v>843</v>
      </c>
      <c r="C47" s="1171"/>
      <c r="D47" s="1171"/>
      <c r="E47" s="1172"/>
      <c r="F47" s="1189" t="s">
        <v>846</v>
      </c>
      <c r="G47" s="1190"/>
      <c r="H47" s="1189" t="s">
        <v>845</v>
      </c>
      <c r="I47" s="1190"/>
      <c r="J47" s="151"/>
      <c r="K47" s="565"/>
      <c r="CI47" s="157" t="s">
        <v>163</v>
      </c>
      <c r="CJ47" s="442">
        <f>IF(OR($G18=0,$B18&lt;&gt;"NSX",$D18&gt;250),0,ROUNDDOWN(($A$51-SUM($CL$36:$CL46))/$G18,0))</f>
        <v>0</v>
      </c>
      <c r="CK47" s="157">
        <f t="shared" si="132"/>
        <v>0</v>
      </c>
      <c r="CL47" s="442">
        <f t="shared" si="133"/>
        <v>0</v>
      </c>
      <c r="CM47" s="442">
        <f>IF(OR($G18=0,$B18&lt;&gt;"NSX",$D18&gt;250),0,ROUNDDOWN(($A$51-SUM(CO$36:CO46))/$G18,0))</f>
        <v>0</v>
      </c>
      <c r="CN47" s="157">
        <f>IF(CM47&gt;=$F18-SUMIF($CK$35:CK$35,"Кол-во",$CK47:CK47),$F18-SUMIF($CK$35:CK$35,"Кол-во",$CK47:CK47),CM47)</f>
        <v>0</v>
      </c>
      <c r="CO47" s="442">
        <f t="shared" si="134"/>
        <v>0</v>
      </c>
      <c r="CP47" s="442">
        <f>IF(OR($G18=0,$B18&lt;&gt;"NSX",$D18&gt;250),0,ROUNDDOWN(($A$51-SUM(CR$36:CR46))/$G18,0))</f>
        <v>0</v>
      </c>
      <c r="CQ47" s="442">
        <f>IF(CP47&gt;=$F18-SUMIF($CK$35:CN$35,"Кол-во",$CK47:CN47),$F18-SUMIF($CK$35:CN$35,"Кол-во",$CK47:CN47),CP47)</f>
        <v>0</v>
      </c>
      <c r="CR47" s="442">
        <f t="shared" si="135"/>
        <v>0</v>
      </c>
      <c r="CS47" s="442">
        <f>IF(OR($G18=0,$B18&lt;&gt;"NSX",$D18&gt;250),0,ROUNDDOWN(($A$51-SUM(CU$36:CU46))/$G18,0))</f>
        <v>0</v>
      </c>
      <c r="CT47" s="442">
        <f>IF(CS47&gt;=$F18-SUMIF($CK$35:CQ$35,"Кол-во",$CK47:CQ47),$F18-SUMIF($CK$35:CQ$35,"Кол-во",$CK47:CQ47),CS47)</f>
        <v>0</v>
      </c>
      <c r="CU47" s="442">
        <f t="shared" si="136"/>
        <v>0</v>
      </c>
      <c r="CV47" s="442">
        <f>IF(OR($G18=0,$B18&lt;&gt;"NSX",$D18&gt;250),0,ROUNDDOWN(($A$51-SUM(CX$36:CX46))/$G18,0))</f>
        <v>0</v>
      </c>
      <c r="CW47" s="442">
        <f>IF(CV47&gt;=$F18-SUMIF($CK$35:CT$35,"Кол-во",$CK47:CT47),$F18-SUMIF($CK$35:CT$35,"Кол-во",$CK47:CT47),CV47)</f>
        <v>0</v>
      </c>
      <c r="CX47" s="442">
        <f t="shared" si="137"/>
        <v>0</v>
      </c>
      <c r="CY47" s="442">
        <f>IF(OR($G18=0,$B18&lt;&gt;"NSX",$D18&gt;250),0,ROUNDDOWN(($A$51-SUM(DA$36:DA46))/$G18,0))</f>
        <v>0</v>
      </c>
      <c r="CZ47" s="442">
        <f>IF(CY47&gt;=$F18-SUMIF($CK$35:CW$35,"Кол-во",$CK47:CW47),$F18-SUMIF($CK$35:CW$35,"Кол-во",$CK47:CW47),CY47)</f>
        <v>0</v>
      </c>
      <c r="DA47" s="442">
        <f t="shared" si="138"/>
        <v>0</v>
      </c>
      <c r="DB47" s="442">
        <f>IF(OR($G18=0,$B18&lt;&gt;"NSX",$D18&gt;250),0,ROUNDDOWN(($A$51-SUM(DD$36:DD46))/$G18,0))</f>
        <v>0</v>
      </c>
      <c r="DC47" s="442">
        <f>IF(DB47&gt;=$F18-SUMIF($CK$35:CZ$35,"Кол-во",$CK47:CZ47),$F18-SUMIF($CK$35:CZ$35,"Кол-во",$CK47:CZ47),DB47)</f>
        <v>0</v>
      </c>
      <c r="DD47" s="442">
        <f t="shared" si="139"/>
        <v>0</v>
      </c>
      <c r="DE47" s="442">
        <f>IF(OR($G18=0,$B18&lt;&gt;"NSX",$D18&gt;250),0,ROUNDDOWN(($A$51-SUM(DG$36:DG46))/$G18,0))</f>
        <v>0</v>
      </c>
      <c r="DF47" s="442">
        <f>IF(DE47&gt;=$F18-SUMIF($CK$35:DC$35,"Кол-во",$CK47:DC47),$F18-SUMIF($CK$35:DC$35,"Кол-во",$CK47:DC47),DE47)</f>
        <v>0</v>
      </c>
      <c r="DG47" s="442">
        <f t="shared" si="140"/>
        <v>0</v>
      </c>
      <c r="DH47" s="442">
        <f>IF(OR($G18=0,$B18&lt;&gt;"NSX",$D18&gt;250),0,ROUNDDOWN(($A$51-SUM(DJ$36:DJ46))/$G18,0))</f>
        <v>0</v>
      </c>
      <c r="DI47" s="442">
        <f>IF(DH47&gt;=$F18-SUMIF($CK$35:DF$35,"Кол-во",$CK47:DF47),$F18-SUMIF($CK$35:DF$35,"Кол-во",$CK47:DF47),DH47)</f>
        <v>0</v>
      </c>
      <c r="DJ47" s="442">
        <f t="shared" si="141"/>
        <v>0</v>
      </c>
      <c r="DK47" s="442">
        <f>IF(OR($G18=0,$B18&lt;&gt;"NSX",$D18&gt;250),0,ROUNDDOWN(($A$51-SUM(DM$36:DM46))/$G18,0))</f>
        <v>0</v>
      </c>
      <c r="DL47" s="442">
        <f>IF(DK47&gt;=$F18-SUMIF($CK$35:DI$35,"Кол-во",$CK47:DI47),$F18-SUMIF($CK$35:DI$35,"Кол-во",$CK47:DI47),DK47)</f>
        <v>0</v>
      </c>
      <c r="DM47" s="442">
        <f t="shared" si="142"/>
        <v>0</v>
      </c>
      <c r="ID47" s="879">
        <v>300</v>
      </c>
      <c r="IE47" s="879">
        <v>300</v>
      </c>
      <c r="IF47" s="879">
        <v>400</v>
      </c>
    </row>
    <row r="48" spans="1:240" x14ac:dyDescent="0.2">
      <c r="A48" s="133" t="s">
        <v>839</v>
      </c>
      <c r="B48" s="132" t="s">
        <v>470</v>
      </c>
      <c r="C48" s="135" t="s">
        <v>455</v>
      </c>
      <c r="D48" s="152" t="s">
        <v>97</v>
      </c>
      <c r="E48" s="713" t="s">
        <v>861</v>
      </c>
      <c r="F48" s="144" t="s">
        <v>98</v>
      </c>
      <c r="G48" s="722" t="s">
        <v>844</v>
      </c>
      <c r="H48" s="144" t="s">
        <v>98</v>
      </c>
      <c r="I48" s="585" t="s">
        <v>844</v>
      </c>
      <c r="J48" s="722" t="s">
        <v>483</v>
      </c>
      <c r="K48" s="565"/>
      <c r="CI48" s="157" t="s">
        <v>164</v>
      </c>
      <c r="CJ48" s="442">
        <f>IF(OR($G19=0,$B19&lt;&gt;"NSX",$D19&gt;250),0,ROUNDDOWN(($A$51-SUM($CL$36:$CL47))/$G19,0))</f>
        <v>0</v>
      </c>
      <c r="CK48" s="157">
        <f t="shared" si="132"/>
        <v>0</v>
      </c>
      <c r="CL48" s="442">
        <f t="shared" si="133"/>
        <v>0</v>
      </c>
      <c r="CM48" s="442">
        <f>IF(OR($G19=0,$B19&lt;&gt;"NSX",$D19&gt;250),0,ROUNDDOWN(($A$51-SUM(CO$36:CO47))/$G19,0))</f>
        <v>0</v>
      </c>
      <c r="CN48" s="157">
        <f>IF(CM48&gt;=$F19-SUMIF($CK$35:CK$35,"Кол-во",$CK48:CK48),$F19-SUMIF($CK$35:CK$35,"Кол-во",$CK48:CK48),CM48)</f>
        <v>0</v>
      </c>
      <c r="CO48" s="442">
        <f t="shared" si="134"/>
        <v>0</v>
      </c>
      <c r="CP48" s="442">
        <f>IF(OR($G19=0,$B19&lt;&gt;"NSX",$D19&gt;250),0,ROUNDDOWN(($A$51-SUM(CR$36:CR47))/$G19,0))</f>
        <v>0</v>
      </c>
      <c r="CQ48" s="442">
        <f>IF(CP48&gt;=$F19-SUMIF($CK$35:CN$35,"Кол-во",$CK48:CN48),$F19-SUMIF($CK$35:CN$35,"Кол-во",$CK48:CN48),CP48)</f>
        <v>0</v>
      </c>
      <c r="CR48" s="442">
        <f t="shared" si="135"/>
        <v>0</v>
      </c>
      <c r="CS48" s="442">
        <f>IF(OR($G19=0,$B19&lt;&gt;"NSX",$D19&gt;250),0,ROUNDDOWN(($A$51-SUM(CU$36:CU47))/$G19,0))</f>
        <v>0</v>
      </c>
      <c r="CT48" s="442">
        <f>IF(CS48&gt;=$F19-SUMIF($CK$35:CQ$35,"Кол-во",$CK48:CQ48),$F19-SUMIF($CK$35:CQ$35,"Кол-во",$CK48:CQ48),CS48)</f>
        <v>0</v>
      </c>
      <c r="CU48" s="442">
        <f t="shared" si="136"/>
        <v>0</v>
      </c>
      <c r="CV48" s="442">
        <f>IF(OR($G19=0,$B19&lt;&gt;"NSX",$D19&gt;250),0,ROUNDDOWN(($A$51-SUM(CX$36:CX47))/$G19,0))</f>
        <v>0</v>
      </c>
      <c r="CW48" s="442">
        <f>IF(CV48&gt;=$F19-SUMIF($CK$35:CT$35,"Кол-во",$CK48:CT48),$F19-SUMIF($CK$35:CT$35,"Кол-во",$CK48:CT48),CV48)</f>
        <v>0</v>
      </c>
      <c r="CX48" s="442">
        <f t="shared" si="137"/>
        <v>0</v>
      </c>
      <c r="CY48" s="442">
        <f>IF(OR($G19=0,$B19&lt;&gt;"NSX",$D19&gt;250),0,ROUNDDOWN(($A$51-SUM(DA$36:DA47))/$G19,0))</f>
        <v>0</v>
      </c>
      <c r="CZ48" s="442">
        <f>IF(CY48&gt;=$F19-SUMIF($CK$35:CW$35,"Кол-во",$CK48:CW48),$F19-SUMIF($CK$35:CW$35,"Кол-во",$CK48:CW48),CY48)</f>
        <v>0</v>
      </c>
      <c r="DA48" s="442">
        <f t="shared" si="138"/>
        <v>0</v>
      </c>
      <c r="DB48" s="442">
        <f>IF(OR($G19=0,$B19&lt;&gt;"NSX",$D19&gt;250),0,ROUNDDOWN(($A$51-SUM(DD$36:DD47))/$G19,0))</f>
        <v>0</v>
      </c>
      <c r="DC48" s="442">
        <f>IF(DB48&gt;=$F19-SUMIF($CK$35:CZ$35,"Кол-во",$CK48:CZ48),$F19-SUMIF($CK$35:CZ$35,"Кол-во",$CK48:CZ48),DB48)</f>
        <v>0</v>
      </c>
      <c r="DD48" s="442">
        <f t="shared" si="139"/>
        <v>0</v>
      </c>
      <c r="DE48" s="442">
        <f>IF(OR($G19=0,$B19&lt;&gt;"NSX",$D19&gt;250),0,ROUNDDOWN(($A$51-SUM(DG$36:DG47))/$G19,0))</f>
        <v>0</v>
      </c>
      <c r="DF48" s="442">
        <f>IF(DE48&gt;=$F19-SUMIF($CK$35:DC$35,"Кол-во",$CK48:DC48),$F19-SUMIF($CK$35:DC$35,"Кол-во",$CK48:DC48),DE48)</f>
        <v>0</v>
      </c>
      <c r="DG48" s="442">
        <f t="shared" si="140"/>
        <v>0</v>
      </c>
      <c r="DH48" s="442">
        <f>IF(OR($G19=0,$B19&lt;&gt;"NSX",$D19&gt;250),0,ROUNDDOWN(($A$51-SUM(DJ$36:DJ47))/$G19,0))</f>
        <v>0</v>
      </c>
      <c r="DI48" s="442">
        <f>IF(DH48&gt;=$F19-SUMIF($CK$35:DF$35,"Кол-во",$CK48:DF48),$F19-SUMIF($CK$35:DF$35,"Кол-во",$CK48:DF48),DH48)</f>
        <v>0</v>
      </c>
      <c r="DJ48" s="442">
        <f t="shared" si="141"/>
        <v>0</v>
      </c>
      <c r="DK48" s="442">
        <f>IF(OR($G19=0,$B19&lt;&gt;"NSX",$D19&gt;250),0,ROUNDDOWN(($A$51-SUM(DM$36:DM47))/$G19,0))</f>
        <v>0</v>
      </c>
      <c r="DL48" s="442">
        <f>IF(DK48&gt;=$F19-SUMIF($CK$35:DI$35,"Кол-во",$CK48:DI48),$F19-SUMIF($CK$35:DI$35,"Кол-во",$CK48:DI48),DK48)</f>
        <v>0</v>
      </c>
      <c r="DM48" s="442">
        <f t="shared" si="142"/>
        <v>0</v>
      </c>
      <c r="ID48" s="1217" t="s">
        <v>1074</v>
      </c>
      <c r="IE48" s="1217"/>
      <c r="IF48" s="1217"/>
    </row>
    <row r="49" spans="1:245" ht="13.5" thickBot="1" x14ac:dyDescent="0.25">
      <c r="A49" s="134">
        <f>D50*H49</f>
        <v>0</v>
      </c>
      <c r="B49" s="130">
        <v>400</v>
      </c>
      <c r="C49" s="717">
        <v>0</v>
      </c>
      <c r="D49" s="717">
        <v>10000</v>
      </c>
      <c r="E49" s="1161">
        <f>SUM(CL56:DM56)</f>
        <v>0</v>
      </c>
      <c r="F49" s="1164">
        <f>COUNTIF(CL56:DM56,"&gt;0")</f>
        <v>0</v>
      </c>
      <c r="G49" s="1161">
        <f>IF($F$49,$A$51-INDEX(CL56:DM56,1,3*$F$49-2),0)</f>
        <v>0</v>
      </c>
      <c r="H49" s="1164">
        <f>F49-IF((A51-G49)&lt;G58,1,0)</f>
        <v>0</v>
      </c>
      <c r="I49" s="1161">
        <f>IF((A51-G49)&lt;G58,0,G49)</f>
        <v>0</v>
      </c>
      <c r="J49" s="1291">
        <f>ROUNDDOWN(I49/35,0)</f>
        <v>0</v>
      </c>
      <c r="K49" s="565"/>
      <c r="CI49" s="157" t="s">
        <v>165</v>
      </c>
      <c r="CJ49" s="442">
        <f>IF(OR($G20=0,$B20&lt;&gt;"NSX",$D20&gt;250),0,ROUNDDOWN(($A$51-SUM($CL$36:$CL48))/$G20,0))</f>
        <v>0</v>
      </c>
      <c r="CK49" s="157">
        <f t="shared" si="132"/>
        <v>0</v>
      </c>
      <c r="CL49" s="442">
        <f t="shared" si="133"/>
        <v>0</v>
      </c>
      <c r="CM49" s="442">
        <f>IF(OR($G20=0,$B20&lt;&gt;"NSX",$D20&gt;250),0,ROUNDDOWN(($A$51-SUM(CO$36:CO48))/$G20,0))</f>
        <v>0</v>
      </c>
      <c r="CN49" s="157">
        <f>IF(CM49&gt;=$F20-SUMIF($CK$35:CK$35,"Кол-во",$CK49:CK49),$F20-SUMIF($CK$35:CK$35,"Кол-во",$CK49:CK49),CM49)</f>
        <v>0</v>
      </c>
      <c r="CO49" s="442">
        <f t="shared" si="134"/>
        <v>0</v>
      </c>
      <c r="CP49" s="442">
        <f>IF(OR($G20=0,$B20&lt;&gt;"NSX",$D20&gt;250),0,ROUNDDOWN(($A$51-SUM(CR$36:CR48))/$G20,0))</f>
        <v>0</v>
      </c>
      <c r="CQ49" s="442">
        <f>IF(CP49&gt;=$F20-SUMIF($CK$35:CN$35,"Кол-во",$CK49:CN49),$F20-SUMIF($CK$35:CN$35,"Кол-во",$CK49:CN49),CP49)</f>
        <v>0</v>
      </c>
      <c r="CR49" s="442">
        <f t="shared" si="135"/>
        <v>0</v>
      </c>
      <c r="CS49" s="442">
        <f>IF(OR($G20=0,$B20&lt;&gt;"NSX",$D20&gt;250),0,ROUNDDOWN(($A$51-SUM(CU$36:CU48))/$G20,0))</f>
        <v>0</v>
      </c>
      <c r="CT49" s="442">
        <f>IF(CS49&gt;=$F20-SUMIF($CK$35:CQ$35,"Кол-во",$CK49:CQ49),$F20-SUMIF($CK$35:CQ$35,"Кол-во",$CK49:CQ49),CS49)</f>
        <v>0</v>
      </c>
      <c r="CU49" s="442">
        <f t="shared" si="136"/>
        <v>0</v>
      </c>
      <c r="CV49" s="442">
        <f>IF(OR($G20=0,$B20&lt;&gt;"NSX",$D20&gt;250),0,ROUNDDOWN(($A$51-SUM(CX$36:CX48))/$G20,0))</f>
        <v>0</v>
      </c>
      <c r="CW49" s="442">
        <f>IF(CV49&gt;=$F20-SUMIF($CK$35:CT$35,"Кол-во",$CK49:CT49),$F20-SUMIF($CK$35:CT$35,"Кол-во",$CK49:CT49),CV49)</f>
        <v>0</v>
      </c>
      <c r="CX49" s="442">
        <f t="shared" si="137"/>
        <v>0</v>
      </c>
      <c r="CY49" s="442">
        <f>IF(OR($G20=0,$B20&lt;&gt;"NSX",$D20&gt;250),0,ROUNDDOWN(($A$51-SUM(DA$36:DA48))/$G20,0))</f>
        <v>0</v>
      </c>
      <c r="CZ49" s="442">
        <f>IF(CY49&gt;=$F20-SUMIF($CK$35:CW$35,"Кол-во",$CK49:CW49),$F20-SUMIF($CK$35:CW$35,"Кол-во",$CK49:CW49),CY49)</f>
        <v>0</v>
      </c>
      <c r="DA49" s="442">
        <f t="shared" si="138"/>
        <v>0</v>
      </c>
      <c r="DB49" s="442">
        <f>IF(OR($G20=0,$B20&lt;&gt;"NSX",$D20&gt;250),0,ROUNDDOWN(($A$51-SUM(DD$36:DD48))/$G20,0))</f>
        <v>0</v>
      </c>
      <c r="DC49" s="442">
        <f>IF(DB49&gt;=$F20-SUMIF($CK$35:CZ$35,"Кол-во",$CK49:CZ49),$F20-SUMIF($CK$35:CZ$35,"Кол-во",$CK49:CZ49),DB49)</f>
        <v>0</v>
      </c>
      <c r="DD49" s="442">
        <f t="shared" si="139"/>
        <v>0</v>
      </c>
      <c r="DE49" s="442">
        <f>IF(OR($G20=0,$B20&lt;&gt;"NSX",$D20&gt;250),0,ROUNDDOWN(($A$51-SUM(DG$36:DG48))/$G20,0))</f>
        <v>0</v>
      </c>
      <c r="DF49" s="442">
        <f>IF(DE49&gt;=$F20-SUMIF($CK$35:DC$35,"Кол-во",$CK49:DC49),$F20-SUMIF($CK$35:DC$35,"Кол-во",$CK49:DC49),DE49)</f>
        <v>0</v>
      </c>
      <c r="DG49" s="442">
        <f t="shared" si="140"/>
        <v>0</v>
      </c>
      <c r="DH49" s="442">
        <f>IF(OR($G20=0,$B20&lt;&gt;"NSX",$D20&gt;250),0,ROUNDDOWN(($A$51-SUM(DJ$36:DJ48))/$G20,0))</f>
        <v>0</v>
      </c>
      <c r="DI49" s="442">
        <f>IF(DH49&gt;=$F20-SUMIF($CK$35:DF$35,"Кол-во",$CK49:DF49),$F20-SUMIF($CK$35:DF$35,"Кол-во",$CK49:DF49),DH49)</f>
        <v>0</v>
      </c>
      <c r="DJ49" s="442">
        <f t="shared" si="141"/>
        <v>0</v>
      </c>
      <c r="DK49" s="442">
        <f>IF(OR($G20=0,$B20&lt;&gt;"NSX",$D20&gt;250),0,ROUNDDOWN(($A$51-SUM(DM$36:DM48))/$G20,0))</f>
        <v>0</v>
      </c>
      <c r="DL49" s="442">
        <f>IF(DK49&gt;=$F20-SUMIF($CK$35:DI$35,"Кол-во",$CK49:DI49),$F20-SUMIF($CK$35:DI$35,"Кол-во",$CK49:DI49),DK49)</f>
        <v>0</v>
      </c>
      <c r="DM49" s="442">
        <f t="shared" si="142"/>
        <v>0</v>
      </c>
      <c r="ID49" s="879">
        <f ca="1">(1.4*ID45*(ID47+ID43)+1.8*ID43*ID47)/10^6</f>
        <v>1.048</v>
      </c>
      <c r="IE49" s="879">
        <f ca="1">(1.4*IE45*(IE47+IE43)+1.8*IE43*IE47)/10^6</f>
        <v>1.268</v>
      </c>
      <c r="IF49" s="879">
        <f ca="1">(1.4*IF45*(IF47+IF43)+1.8*IF43*IF47)/10^6</f>
        <v>2.2719999999999998</v>
      </c>
    </row>
    <row r="50" spans="1:245" ht="13.5" customHeight="1" x14ac:dyDescent="0.2">
      <c r="A50" s="725" t="s">
        <v>455</v>
      </c>
      <c r="B50" s="130">
        <v>600</v>
      </c>
      <c r="C50" s="717">
        <v>432</v>
      </c>
      <c r="D50" s="717">
        <v>300</v>
      </c>
      <c r="E50" s="1162"/>
      <c r="F50" s="1165"/>
      <c r="G50" s="1162"/>
      <c r="H50" s="1165"/>
      <c r="I50" s="1162"/>
      <c r="J50" s="1292"/>
      <c r="K50" s="565"/>
      <c r="CI50" s="157" t="s">
        <v>166</v>
      </c>
      <c r="CJ50" s="157">
        <f>IF(OR($G21=0,$B21&lt;&gt;"NSX",$D21&gt;250),0,ROUNDDOWN(($A$51-SUM($CL$36:$CL49))/$G21,0))</f>
        <v>0</v>
      </c>
      <c r="CK50" s="157">
        <f t="shared" si="132"/>
        <v>0</v>
      </c>
      <c r="CL50" s="442">
        <f t="shared" si="133"/>
        <v>0</v>
      </c>
      <c r="CM50" s="157">
        <f>IF(OR($G21=0,$B21&lt;&gt;"NSX",$D21&gt;250),0,ROUNDDOWN(($A$51-SUM(CO$36:CO49))/$G21,0))</f>
        <v>0</v>
      </c>
      <c r="CN50" s="157">
        <f>IF(CM50&gt;=$F21-SUMIF($CK$35:CK$35,"Кол-во",$CK50:CK50),$F21-SUMIF($CK$35:CK$35,"Кол-во",$CK50:CK50),CM50)</f>
        <v>0</v>
      </c>
      <c r="CO50" s="442">
        <f t="shared" si="134"/>
        <v>0</v>
      </c>
      <c r="CP50" s="442">
        <f>IF(OR($G21=0,$B21&lt;&gt;"NSX",$D21&gt;250),0,ROUNDDOWN(($A$51-SUM(CR$36:CR49))/$G21,0))</f>
        <v>0</v>
      </c>
      <c r="CQ50" s="442">
        <f>IF(CP50&gt;=$F21-SUMIF($CK$35:CN$35,"Кол-во",$CK50:CN50),$F21-SUMIF($CK$35:CN$35,"Кол-во",$CK50:CN50),CP50)</f>
        <v>0</v>
      </c>
      <c r="CR50" s="442">
        <f t="shared" si="135"/>
        <v>0</v>
      </c>
      <c r="CS50" s="442">
        <f>IF(OR($G21=0,$B21&lt;&gt;"NSX",$D21&gt;250),0,ROUNDDOWN(($A$51-SUM(CU$36:CU49))/$G21,0))</f>
        <v>0</v>
      </c>
      <c r="CT50" s="442">
        <f>IF(CS50&gt;=$F21-SUMIF($CK$35:CQ$35,"Кол-во",$CK50:CQ50),$F21-SUMIF($CK$35:CQ$35,"Кол-во",$CK50:CQ50),CS50)</f>
        <v>0</v>
      </c>
      <c r="CU50" s="442">
        <f t="shared" si="136"/>
        <v>0</v>
      </c>
      <c r="CV50" s="442">
        <f>IF(OR($G21=0,$B21&lt;&gt;"NSX",$D21&gt;250),0,ROUNDDOWN(($A$51-SUM(CX$36:CX49))/$G21,0))</f>
        <v>0</v>
      </c>
      <c r="CW50" s="442">
        <f>IF(CV50&gt;=$F21-SUMIF($CK$35:CT$35,"Кол-во",$CK50:CT50),$F21-SUMIF($CK$35:CT$35,"Кол-во",$CK50:CT50),CV50)</f>
        <v>0</v>
      </c>
      <c r="CX50" s="442">
        <f t="shared" si="137"/>
        <v>0</v>
      </c>
      <c r="CY50" s="442">
        <f>IF(OR($G21=0,$B21&lt;&gt;"NSX",$D21&gt;250),0,ROUNDDOWN(($A$51-SUM(DA$36:DA49))/$G21,0))</f>
        <v>0</v>
      </c>
      <c r="CZ50" s="442">
        <f>IF(CY50&gt;=$F21-SUMIF($CK$35:CW$35,"Кол-во",$CK50:CW50),$F21-SUMIF($CK$35:CW$35,"Кол-во",$CK50:CW50),CY50)</f>
        <v>0</v>
      </c>
      <c r="DA50" s="442">
        <f t="shared" si="138"/>
        <v>0</v>
      </c>
      <c r="DB50" s="442">
        <f>IF(OR($G21=0,$B21&lt;&gt;"NSX",$D21&gt;250),0,ROUNDDOWN(($A$51-SUM(DD$36:DD49))/$G21,0))</f>
        <v>0</v>
      </c>
      <c r="DC50" s="442">
        <f>IF(DB50&gt;=$F21-SUMIF($CK$35:CZ$35,"Кол-во",$CK50:CZ50),$F21-SUMIF($CK$35:CZ$35,"Кол-во",$CK50:CZ50),DB50)</f>
        <v>0</v>
      </c>
      <c r="DD50" s="442">
        <f t="shared" si="139"/>
        <v>0</v>
      </c>
      <c r="DE50" s="442">
        <f>IF(OR($G21=0,$B21&lt;&gt;"NSX",$D21&gt;250),0,ROUNDDOWN(($A$51-SUM(DG$36:DG49))/$G21,0))</f>
        <v>0</v>
      </c>
      <c r="DF50" s="442">
        <f>IF(DE50&gt;=$F21-SUMIF($CK$35:DC$35,"Кол-во",$CK50:DC50),$F21-SUMIF($CK$35:DC$35,"Кол-во",$CK50:DC50),DE50)</f>
        <v>0</v>
      </c>
      <c r="DG50" s="442">
        <f t="shared" si="140"/>
        <v>0</v>
      </c>
      <c r="DH50" s="442">
        <f>IF(OR($G21=0,$B21&lt;&gt;"NSX",$D21&gt;250),0,ROUNDDOWN(($A$51-SUM(DJ$36:DJ49))/$G21,0))</f>
        <v>0</v>
      </c>
      <c r="DI50" s="442">
        <f>IF(DH50&gt;=$F21-SUMIF($CK$35:DF$35,"Кол-во",$CK50:DF50),$F21-SUMIF($CK$35:DF$35,"Кол-во",$CK50:DF50),DH50)</f>
        <v>0</v>
      </c>
      <c r="DJ50" s="442">
        <f t="shared" si="141"/>
        <v>0</v>
      </c>
      <c r="DK50" s="442">
        <f>IF(OR($G21=0,$B21&lt;&gt;"NSX",$D21&gt;250),0,ROUNDDOWN(($A$51-SUM(DM$36:DM49))/$G21,0))</f>
        <v>0</v>
      </c>
      <c r="DL50" s="442">
        <f>IF(DK50&gt;=$F21-SUMIF($CK$35:DI$35,"Кол-во",$CK50:DI50),$F21-SUMIF($CK$35:DI$35,"Кол-во",$CK50:DI50),DK50)</f>
        <v>0</v>
      </c>
      <c r="DM50" s="442">
        <f t="shared" si="142"/>
        <v>0</v>
      </c>
      <c r="ID50" s="1205" t="s">
        <v>1077</v>
      </c>
      <c r="IE50" s="1205"/>
      <c r="IF50" s="1205"/>
    </row>
    <row r="51" spans="1:245" ht="13.5" thickBot="1" x14ac:dyDescent="0.25">
      <c r="A51" s="134">
        <f>VLOOKUP($A$99,B49:C53,2)</f>
        <v>0</v>
      </c>
      <c r="B51" s="130">
        <v>800</v>
      </c>
      <c r="C51" s="717">
        <v>648</v>
      </c>
      <c r="D51" s="717">
        <v>300</v>
      </c>
      <c r="E51" s="1162"/>
      <c r="F51" s="1165"/>
      <c r="G51" s="1162"/>
      <c r="H51" s="1165"/>
      <c r="I51" s="1162"/>
      <c r="J51" s="1292"/>
      <c r="K51" s="565"/>
      <c r="CI51" s="1017" t="s">
        <v>1305</v>
      </c>
      <c r="CJ51" s="1017">
        <f>IF(OR($G22=0,$B22&lt;&gt;"NSX",$D22&gt;250),0,ROUNDDOWN(($A$51-SUM($CL$36:$CL50))/$G22,0))</f>
        <v>0</v>
      </c>
      <c r="CK51" s="1017">
        <f t="shared" si="132"/>
        <v>0</v>
      </c>
      <c r="CL51" s="1017">
        <f t="shared" si="133"/>
        <v>0</v>
      </c>
      <c r="CM51" s="1017">
        <f>IF(OR($G22=0,$B22&lt;&gt;"NSX",$D22&gt;250),0,ROUNDDOWN(($A$51-SUM(CO$36:CO50))/$G22,0))</f>
        <v>0</v>
      </c>
      <c r="CN51" s="1017">
        <f>IF(CM51&gt;=$F22-SUMIF($CK$35:CK$35,"Кол-во",$CK51:CK51),$F22-SUMIF($CK$35:CK$35,"Кол-во",$CK51:CK51),CM51)</f>
        <v>0</v>
      </c>
      <c r="CO51" s="1017">
        <f t="shared" si="134"/>
        <v>0</v>
      </c>
      <c r="CP51" s="1017">
        <f>IF(OR($G22=0,$B22&lt;&gt;"NSX",$D22&gt;250),0,ROUNDDOWN(($A$51-SUM(CR$36:CR50))/$G22,0))</f>
        <v>0</v>
      </c>
      <c r="CQ51" s="1017">
        <f>IF(CP51&gt;=$F22-SUMIF($CK$35:CN$35,"Кол-во",$CK51:CN51),$F22-SUMIF($CK$35:CN$35,"Кол-во",$CK51:CN51),CP51)</f>
        <v>0</v>
      </c>
      <c r="CR51" s="1017">
        <f t="shared" si="135"/>
        <v>0</v>
      </c>
      <c r="CS51" s="1017">
        <f>IF(OR($G22=0,$B22&lt;&gt;"NSX",$D22&gt;250),0,ROUNDDOWN(($A$51-SUM(CU$36:CU50))/$G22,0))</f>
        <v>0</v>
      </c>
      <c r="CT51" s="1017">
        <f>IF(CS51&gt;=$F22-SUMIF($CK$35:CQ$35,"Кол-во",$CK51:CQ51),$F22-SUMIF($CK$35:CQ$35,"Кол-во",$CK51:CQ51),CS51)</f>
        <v>0</v>
      </c>
      <c r="CU51" s="1017">
        <f t="shared" si="136"/>
        <v>0</v>
      </c>
      <c r="CV51" s="1017">
        <f>IF(OR($G22=0,$B22&lt;&gt;"NSX",$D22&gt;250),0,ROUNDDOWN(($A$51-SUM(CX$36:CX50))/$G22,0))</f>
        <v>0</v>
      </c>
      <c r="CW51" s="1017">
        <f>IF(CV51&gt;=$F22-SUMIF($CK$35:CT$35,"Кол-во",$CK51:CT51),$F22-SUMIF($CK$35:CT$35,"Кол-во",$CK51:CT51),CV51)</f>
        <v>0</v>
      </c>
      <c r="CX51" s="1017">
        <f t="shared" si="137"/>
        <v>0</v>
      </c>
      <c r="CY51" s="1017">
        <f>IF(OR($G22=0,$B22&lt;&gt;"NSX",$D22&gt;250),0,ROUNDDOWN(($A$51-SUM(DA$36:DA50))/$G22,0))</f>
        <v>0</v>
      </c>
      <c r="CZ51" s="1017">
        <f>IF(CY51&gt;=$F22-SUMIF($CK$35:CW$35,"Кол-во",$CK51:CW51),$F22-SUMIF($CK$35:CW$35,"Кол-во",$CK51:CW51),CY51)</f>
        <v>0</v>
      </c>
      <c r="DA51" s="1017">
        <f t="shared" si="138"/>
        <v>0</v>
      </c>
      <c r="DB51" s="1017">
        <f>IF(OR($G22=0,$B22&lt;&gt;"NSX",$D22&gt;250),0,ROUNDDOWN(($A$51-SUM(DD$36:DD50))/$G22,0))</f>
        <v>0</v>
      </c>
      <c r="DC51" s="1017">
        <f>IF(DB51&gt;=$F22-SUMIF($CK$35:CZ$35,"Кол-во",$CK51:CZ51),$F22-SUMIF($CK$35:CZ$35,"Кол-во",$CK51:CZ51),DB51)</f>
        <v>0</v>
      </c>
      <c r="DD51" s="1017">
        <f t="shared" si="139"/>
        <v>0</v>
      </c>
      <c r="DE51" s="1017">
        <f>IF(OR($G22=0,$B22&lt;&gt;"NSX",$D22&gt;250),0,ROUNDDOWN(($A$51-SUM(DG$36:DG50))/$G22,0))</f>
        <v>0</v>
      </c>
      <c r="DF51" s="1017">
        <f>IF(DE51&gt;=$F22-SUMIF($CK$35:DC$35,"Кол-во",$CK51:DC51),$F22-SUMIF($CK$35:DC$35,"Кол-во",$CK51:DC51),DE51)</f>
        <v>0</v>
      </c>
      <c r="DG51" s="1017">
        <f t="shared" si="140"/>
        <v>0</v>
      </c>
      <c r="DH51" s="1017">
        <f>IF(OR($G22=0,$B22&lt;&gt;"NSX",$D22&gt;250),0,ROUNDDOWN(($A$51-SUM(DJ$36:DJ50))/$G22,0))</f>
        <v>0</v>
      </c>
      <c r="DI51" s="1017">
        <f>IF(DH51&gt;=$F22-SUMIF($CK$35:DF$35,"Кол-во",$CK51:DF51),$F22-SUMIF($CK$35:DF$35,"Кол-во",$CK51:DF51),DH51)</f>
        <v>0</v>
      </c>
      <c r="DJ51" s="1017">
        <f t="shared" si="141"/>
        <v>0</v>
      </c>
      <c r="DK51" s="1017">
        <f>IF(OR($G22=0,$B22&lt;&gt;"NSX",$D22&gt;250),0,ROUNDDOWN(($A$51-SUM(DM$36:DM50))/$G22,0))</f>
        <v>0</v>
      </c>
      <c r="DL51" s="1017">
        <f>IF(DK51&gt;=$F22-SUMIF($CK$35:DI$35,"Кол-во",$CK51:DI51),$F22-SUMIF($CK$35:DI$35,"Кол-во",$CK51:DI51),DK51)</f>
        <v>0</v>
      </c>
      <c r="DM51" s="1017">
        <f t="shared" si="142"/>
        <v>0</v>
      </c>
      <c r="ID51" s="897">
        <f ca="1">$ID19/(ID49*$ID12)+$ID29</f>
        <v>-8.6259541984732824</v>
      </c>
      <c r="IE51" s="897">
        <f ca="1">$ID19/(IE49*$ID12)+$ID29</f>
        <v>-8.8643533123028391</v>
      </c>
      <c r="IF51" s="897">
        <f ca="1">$ID19/(IF49*$ID12)+$ID29</f>
        <v>-9.3661971830985919</v>
      </c>
    </row>
    <row r="52" spans="1:245" ht="12.75" customHeight="1" x14ac:dyDescent="0.2">
      <c r="A52" s="565"/>
      <c r="B52" s="714">
        <v>1000</v>
      </c>
      <c r="C52" s="733">
        <f>C51+200</f>
        <v>848</v>
      </c>
      <c r="D52" s="727">
        <v>300</v>
      </c>
      <c r="E52" s="1162"/>
      <c r="F52" s="1165"/>
      <c r="G52" s="1162"/>
      <c r="H52" s="1165"/>
      <c r="I52" s="1162"/>
      <c r="J52" s="1292"/>
      <c r="K52" s="565"/>
      <c r="CI52" s="1017" t="s">
        <v>1306</v>
      </c>
      <c r="CJ52" s="1017">
        <f>IF(OR($G23=0,$B23&lt;&gt;"NSX",$D23&gt;250),0,ROUNDDOWN(($A$51-SUM($CL$36:$CL51))/$G23,0))</f>
        <v>0</v>
      </c>
      <c r="CK52" s="1017">
        <f t="shared" si="132"/>
        <v>0</v>
      </c>
      <c r="CL52" s="1017">
        <f t="shared" si="133"/>
        <v>0</v>
      </c>
      <c r="CM52" s="1017">
        <f>IF(OR($G23=0,$B23&lt;&gt;"NSX",$D23&gt;250),0,ROUNDDOWN(($A$51-SUM(CO$36:CO51))/$G23,0))</f>
        <v>0</v>
      </c>
      <c r="CN52" s="1017">
        <f>IF(CM52&gt;=$F23-SUMIF($CK$35:CK$35,"Кол-во",$CK52:CK52),$F23-SUMIF($CK$35:CK$35,"Кол-во",$CK52:CK52),CM52)</f>
        <v>0</v>
      </c>
      <c r="CO52" s="1017">
        <f t="shared" si="134"/>
        <v>0</v>
      </c>
      <c r="CP52" s="1017">
        <f>IF(OR($G23=0,$B23&lt;&gt;"NSX",$D23&gt;250),0,ROUNDDOWN(($A$51-SUM(CR$36:CR51))/$G23,0))</f>
        <v>0</v>
      </c>
      <c r="CQ52" s="1017">
        <f>IF(CP52&gt;=$F23-SUMIF($CK$35:CN$35,"Кол-во",$CK52:CN52),$F23-SUMIF($CK$35:CN$35,"Кол-во",$CK52:CN52),CP52)</f>
        <v>0</v>
      </c>
      <c r="CR52" s="1017">
        <f t="shared" si="135"/>
        <v>0</v>
      </c>
      <c r="CS52" s="1017">
        <f>IF(OR($G23=0,$B23&lt;&gt;"NSX",$D23&gt;250),0,ROUNDDOWN(($A$51-SUM(CU$36:CU51))/$G23,0))</f>
        <v>0</v>
      </c>
      <c r="CT52" s="1017">
        <f>IF(CS52&gt;=$F23-SUMIF($CK$35:CQ$35,"Кол-во",$CK52:CQ52),$F23-SUMIF($CK$35:CQ$35,"Кол-во",$CK52:CQ52),CS52)</f>
        <v>0</v>
      </c>
      <c r="CU52" s="1017">
        <f t="shared" si="136"/>
        <v>0</v>
      </c>
      <c r="CV52" s="1017">
        <f>IF(OR($G23=0,$B23&lt;&gt;"NSX",$D23&gt;250),0,ROUNDDOWN(($A$51-SUM(CX$36:CX51))/$G23,0))</f>
        <v>0</v>
      </c>
      <c r="CW52" s="1017">
        <f>IF(CV52&gt;=$F23-SUMIF($CK$35:CT$35,"Кол-во",$CK52:CT52),$F23-SUMIF($CK$35:CT$35,"Кол-во",$CK52:CT52),CV52)</f>
        <v>0</v>
      </c>
      <c r="CX52" s="1017">
        <f t="shared" si="137"/>
        <v>0</v>
      </c>
      <c r="CY52" s="1017">
        <f>IF(OR($G23=0,$B23&lt;&gt;"NSX",$D23&gt;250),0,ROUNDDOWN(($A$51-SUM(DA$36:DA51))/$G23,0))</f>
        <v>0</v>
      </c>
      <c r="CZ52" s="1017">
        <f>IF(CY52&gt;=$F23-SUMIF($CK$35:CW$35,"Кол-во",$CK52:CW52),$F23-SUMIF($CK$35:CW$35,"Кол-во",$CK52:CW52),CY52)</f>
        <v>0</v>
      </c>
      <c r="DA52" s="1017">
        <f t="shared" si="138"/>
        <v>0</v>
      </c>
      <c r="DB52" s="1017">
        <f>IF(OR($G23=0,$B23&lt;&gt;"NSX",$D23&gt;250),0,ROUNDDOWN(($A$51-SUM(DD$36:DD51))/$G23,0))</f>
        <v>0</v>
      </c>
      <c r="DC52" s="1017">
        <f>IF(DB52&gt;=$F23-SUMIF($CK$35:CZ$35,"Кол-во",$CK52:CZ52),$F23-SUMIF($CK$35:CZ$35,"Кол-во",$CK52:CZ52),DB52)</f>
        <v>0</v>
      </c>
      <c r="DD52" s="1017">
        <f t="shared" si="139"/>
        <v>0</v>
      </c>
      <c r="DE52" s="1017">
        <f>IF(OR($G23=0,$B23&lt;&gt;"NSX",$D23&gt;250),0,ROUNDDOWN(($A$51-SUM(DG$36:DG51))/$G23,0))</f>
        <v>0</v>
      </c>
      <c r="DF52" s="1017">
        <f>IF(DE52&gt;=$F23-SUMIF($CK$35:DC$35,"Кол-во",$CK52:DC52),$F23-SUMIF($CK$35:DC$35,"Кол-во",$CK52:DC52),DE52)</f>
        <v>0</v>
      </c>
      <c r="DG52" s="1017">
        <f t="shared" si="140"/>
        <v>0</v>
      </c>
      <c r="DH52" s="1017">
        <f>IF(OR($G23=0,$B23&lt;&gt;"NSX",$D23&gt;250),0,ROUNDDOWN(($A$51-SUM(DJ$36:DJ51))/$G23,0))</f>
        <v>0</v>
      </c>
      <c r="DI52" s="1017">
        <f>IF(DH52&gt;=$F23-SUMIF($CK$35:DF$35,"Кол-во",$CK52:DF52),$F23-SUMIF($CK$35:DF$35,"Кол-во",$CK52:DF52),DH52)</f>
        <v>0</v>
      </c>
      <c r="DJ52" s="1017">
        <f t="shared" si="141"/>
        <v>0</v>
      </c>
      <c r="DK52" s="1017">
        <f>IF(OR($G23=0,$B23&lt;&gt;"NSX",$D23&gt;250),0,ROUNDDOWN(($A$51-SUM(DM$36:DM51))/$G23,0))</f>
        <v>0</v>
      </c>
      <c r="DL52" s="1017">
        <f>IF(DK52&gt;=$F23-SUMIF($CK$35:DI$35,"Кол-во",$CK52:DI52),$F23-SUMIF($CK$35:DI$35,"Кол-во",$CK52:DI52),DK52)</f>
        <v>0</v>
      </c>
      <c r="DM52" s="1017">
        <f t="shared" si="142"/>
        <v>0</v>
      </c>
      <c r="ID52" s="1205" t="s">
        <v>1093</v>
      </c>
      <c r="IE52" s="1205"/>
      <c r="IF52" s="1205"/>
    </row>
    <row r="53" spans="1:245" ht="13.5" thickBot="1" x14ac:dyDescent="0.25">
      <c r="A53" s="565"/>
      <c r="B53" s="715">
        <v>1200</v>
      </c>
      <c r="C53" s="557">
        <f>C52+200</f>
        <v>1048</v>
      </c>
      <c r="D53" s="131">
        <v>300</v>
      </c>
      <c r="E53" s="1163"/>
      <c r="F53" s="1166"/>
      <c r="G53" s="1163"/>
      <c r="H53" s="1166"/>
      <c r="I53" s="1163"/>
      <c r="J53" s="1293"/>
      <c r="K53" s="565"/>
      <c r="CI53" s="1017" t="s">
        <v>1307</v>
      </c>
      <c r="CJ53" s="1017">
        <f>IF(OR($G24=0,$B24&lt;&gt;"NSX",$D24&gt;250),0,ROUNDDOWN(($A$51-SUM($CL$36:$CL52))/$G24,0))</f>
        <v>0</v>
      </c>
      <c r="CK53" s="1017">
        <f t="shared" si="132"/>
        <v>0</v>
      </c>
      <c r="CL53" s="1017">
        <f t="shared" si="133"/>
        <v>0</v>
      </c>
      <c r="CM53" s="1017">
        <f>IF(OR($G24=0,$B24&lt;&gt;"NSX",$D24&gt;250),0,ROUNDDOWN(($A$51-SUM(CO$36:CO52))/$G24,0))</f>
        <v>0</v>
      </c>
      <c r="CN53" s="1017">
        <f>IF(CM53&gt;=$F24-SUMIF($CK$35:CK$35,"Кол-во",$CK53:CK53),$F24-SUMIF($CK$35:CK$35,"Кол-во",$CK53:CK53),CM53)</f>
        <v>0</v>
      </c>
      <c r="CO53" s="1017">
        <f t="shared" si="134"/>
        <v>0</v>
      </c>
      <c r="CP53" s="1017">
        <f>IF(OR($G24=0,$B24&lt;&gt;"NSX",$D24&gt;250),0,ROUNDDOWN(($A$51-SUM(CR$36:CR52))/$G24,0))</f>
        <v>0</v>
      </c>
      <c r="CQ53" s="1017">
        <f>IF(CP53&gt;=$F24-SUMIF($CK$35:CN$35,"Кол-во",$CK53:CN53),$F24-SUMIF($CK$35:CN$35,"Кол-во",$CK53:CN53),CP53)</f>
        <v>0</v>
      </c>
      <c r="CR53" s="1017">
        <f t="shared" si="135"/>
        <v>0</v>
      </c>
      <c r="CS53" s="1017">
        <f>IF(OR($G24=0,$B24&lt;&gt;"NSX",$D24&gt;250),0,ROUNDDOWN(($A$51-SUM(CU$36:CU52))/$G24,0))</f>
        <v>0</v>
      </c>
      <c r="CT53" s="1017">
        <f>IF(CS53&gt;=$F24-SUMIF($CK$35:CQ$35,"Кол-во",$CK53:CQ53),$F24-SUMIF($CK$35:CQ$35,"Кол-во",$CK53:CQ53),CS53)</f>
        <v>0</v>
      </c>
      <c r="CU53" s="1017">
        <f t="shared" si="136"/>
        <v>0</v>
      </c>
      <c r="CV53" s="1017">
        <f>IF(OR($G24=0,$B24&lt;&gt;"NSX",$D24&gt;250),0,ROUNDDOWN(($A$51-SUM(CX$36:CX52))/$G24,0))</f>
        <v>0</v>
      </c>
      <c r="CW53" s="1017">
        <f>IF(CV53&gt;=$F24-SUMIF($CK$35:CT$35,"Кол-во",$CK53:CT53),$F24-SUMIF($CK$35:CT$35,"Кол-во",$CK53:CT53),CV53)</f>
        <v>0</v>
      </c>
      <c r="CX53" s="1017">
        <f t="shared" si="137"/>
        <v>0</v>
      </c>
      <c r="CY53" s="1017">
        <f>IF(OR($G24=0,$B24&lt;&gt;"NSX",$D24&gt;250),0,ROUNDDOWN(($A$51-SUM(DA$36:DA52))/$G24,0))</f>
        <v>0</v>
      </c>
      <c r="CZ53" s="1017">
        <f>IF(CY53&gt;=$F24-SUMIF($CK$35:CW$35,"Кол-во",$CK53:CW53),$F24-SUMIF($CK$35:CW$35,"Кол-во",$CK53:CW53),CY53)</f>
        <v>0</v>
      </c>
      <c r="DA53" s="1017">
        <f t="shared" si="138"/>
        <v>0</v>
      </c>
      <c r="DB53" s="1017">
        <f>IF(OR($G24=0,$B24&lt;&gt;"NSX",$D24&gt;250),0,ROUNDDOWN(($A$51-SUM(DD$36:DD52))/$G24,0))</f>
        <v>0</v>
      </c>
      <c r="DC53" s="1017">
        <f>IF(DB53&gt;=$F24-SUMIF($CK$35:CZ$35,"Кол-во",$CK53:CZ53),$F24-SUMIF($CK$35:CZ$35,"Кол-во",$CK53:CZ53),DB53)</f>
        <v>0</v>
      </c>
      <c r="DD53" s="1017">
        <f t="shared" si="139"/>
        <v>0</v>
      </c>
      <c r="DE53" s="1017">
        <f>IF(OR($G24=0,$B24&lt;&gt;"NSX",$D24&gt;250),0,ROUNDDOWN(($A$51-SUM(DG$36:DG52))/$G24,0))</f>
        <v>0</v>
      </c>
      <c r="DF53" s="1017">
        <f>IF(DE53&gt;=$F24-SUMIF($CK$35:DC$35,"Кол-во",$CK53:DC53),$F24-SUMIF($CK$35:DC$35,"Кол-во",$CK53:DC53),DE53)</f>
        <v>0</v>
      </c>
      <c r="DG53" s="1017">
        <f t="shared" si="140"/>
        <v>0</v>
      </c>
      <c r="DH53" s="1017">
        <f>IF(OR($G24=0,$B24&lt;&gt;"NSX",$D24&gt;250),0,ROUNDDOWN(($A$51-SUM(DJ$36:DJ52))/$G24,0))</f>
        <v>0</v>
      </c>
      <c r="DI53" s="1017">
        <f>IF(DH53&gt;=$F24-SUMIF($CK$35:DF$35,"Кол-во",$CK53:DF53),$F24-SUMIF($CK$35:DF$35,"Кол-во",$CK53:DF53),DH53)</f>
        <v>0</v>
      </c>
      <c r="DJ53" s="1017">
        <f t="shared" si="141"/>
        <v>0</v>
      </c>
      <c r="DK53" s="1017">
        <f>IF(OR($G24=0,$B24&lt;&gt;"NSX",$D24&gt;250),0,ROUNDDOWN(($A$51-SUM(DM$36:DM52))/$G24,0))</f>
        <v>0</v>
      </c>
      <c r="DL53" s="1017">
        <f>IF(DK53&gt;=$F24-SUMIF($CK$35:DI$35,"Кол-во",$CK53:DI53),$F24-SUMIF($CK$35:DI$35,"Кол-во",$CK53:DI53),DK53)</f>
        <v>0</v>
      </c>
      <c r="DM53" s="1017">
        <f t="shared" si="142"/>
        <v>0</v>
      </c>
      <c r="ID53" s="876">
        <f ca="1">MAX(ID49*$ID12*($ID31-$ID51),0)</f>
        <v>20.900000000000002</v>
      </c>
      <c r="IE53" s="876">
        <f ca="1">MAX(IE49*$ID12*($ID31-$ID51),0)</f>
        <v>25.287404580152671</v>
      </c>
      <c r="IF53" s="876">
        <f ca="1">MAX(IF49*$ID12*($ID31-$ID51),0)</f>
        <v>45.309923664122131</v>
      </c>
    </row>
    <row r="54" spans="1:245" x14ac:dyDescent="0.2">
      <c r="A54" s="565"/>
      <c r="B54" s="565"/>
      <c r="C54" s="565"/>
      <c r="D54" s="565"/>
      <c r="E54" s="565"/>
      <c r="F54" s="565"/>
      <c r="G54" s="565"/>
      <c r="H54" s="565"/>
      <c r="I54" s="565"/>
      <c r="J54" s="565"/>
      <c r="K54" s="565"/>
      <c r="CI54" s="1017" t="s">
        <v>1308</v>
      </c>
      <c r="CJ54" s="1017">
        <f>IF(OR($G25=0,$B25&lt;&gt;"NSX",$D25&gt;250),0,ROUNDDOWN(($A$51-SUM($CL$36:$CL53))/$G25,0))</f>
        <v>0</v>
      </c>
      <c r="CK54" s="1017">
        <f t="shared" si="132"/>
        <v>0</v>
      </c>
      <c r="CL54" s="1017">
        <f t="shared" si="133"/>
        <v>0</v>
      </c>
      <c r="CM54" s="1017">
        <f>IF(OR($G25=0,$B25&lt;&gt;"NSX",$D25&gt;250),0,ROUNDDOWN(($A$51-SUM(CO$36:CO53))/$G25,0))</f>
        <v>0</v>
      </c>
      <c r="CN54" s="1017">
        <f>IF(CM54&gt;=$F25-SUMIF($CK$35:CK$35,"Кол-во",$CK54:CK54),$F25-SUMIF($CK$35:CK$35,"Кол-во",$CK54:CK54),CM54)</f>
        <v>0</v>
      </c>
      <c r="CO54" s="1017">
        <f t="shared" si="134"/>
        <v>0</v>
      </c>
      <c r="CP54" s="1017">
        <f>IF(OR($G25=0,$B25&lt;&gt;"NSX",$D25&gt;250),0,ROUNDDOWN(($A$51-SUM(CR$36:CR53))/$G25,0))</f>
        <v>0</v>
      </c>
      <c r="CQ54" s="1017">
        <f>IF(CP54&gt;=$F25-SUMIF($CK$35:CN$35,"Кол-во",$CK54:CN54),$F25-SUMIF($CK$35:CN$35,"Кол-во",$CK54:CN54),CP54)</f>
        <v>0</v>
      </c>
      <c r="CR54" s="1017">
        <f t="shared" si="135"/>
        <v>0</v>
      </c>
      <c r="CS54" s="1017">
        <f>IF(OR($G25=0,$B25&lt;&gt;"NSX",$D25&gt;250),0,ROUNDDOWN(($A$51-SUM(CU$36:CU53))/$G25,0))</f>
        <v>0</v>
      </c>
      <c r="CT54" s="1017">
        <f>IF(CS54&gt;=$F25-SUMIF($CK$35:CQ$35,"Кол-во",$CK54:CQ54),$F25-SUMIF($CK$35:CQ$35,"Кол-во",$CK54:CQ54),CS54)</f>
        <v>0</v>
      </c>
      <c r="CU54" s="1017">
        <f t="shared" si="136"/>
        <v>0</v>
      </c>
      <c r="CV54" s="1017">
        <f>IF(OR($G25=0,$B25&lt;&gt;"NSX",$D25&gt;250),0,ROUNDDOWN(($A$51-SUM(CX$36:CX53))/$G25,0))</f>
        <v>0</v>
      </c>
      <c r="CW54" s="1017">
        <f>IF(CV54&gt;=$F25-SUMIF($CK$35:CT$35,"Кол-во",$CK54:CT54),$F25-SUMIF($CK$35:CT$35,"Кол-во",$CK54:CT54),CV54)</f>
        <v>0</v>
      </c>
      <c r="CX54" s="1017">
        <f t="shared" si="137"/>
        <v>0</v>
      </c>
      <c r="CY54" s="1017">
        <f>IF(OR($G25=0,$B25&lt;&gt;"NSX",$D25&gt;250),0,ROUNDDOWN(($A$51-SUM(DA$36:DA53))/$G25,0))</f>
        <v>0</v>
      </c>
      <c r="CZ54" s="1017">
        <f>IF(CY54&gt;=$F25-SUMIF($CK$35:CW$35,"Кол-во",$CK54:CW54),$F25-SUMIF($CK$35:CW$35,"Кол-во",$CK54:CW54),CY54)</f>
        <v>0</v>
      </c>
      <c r="DA54" s="1017">
        <f t="shared" si="138"/>
        <v>0</v>
      </c>
      <c r="DB54" s="1017">
        <f>IF(OR($G25=0,$B25&lt;&gt;"NSX",$D25&gt;250),0,ROUNDDOWN(($A$51-SUM(DD$36:DD53))/$G25,0))</f>
        <v>0</v>
      </c>
      <c r="DC54" s="1017">
        <f>IF(DB54&gt;=$F25-SUMIF($CK$35:CZ$35,"Кол-во",$CK54:CZ54),$F25-SUMIF($CK$35:CZ$35,"Кол-во",$CK54:CZ54),DB54)</f>
        <v>0</v>
      </c>
      <c r="DD54" s="1017">
        <f t="shared" si="139"/>
        <v>0</v>
      </c>
      <c r="DE54" s="1017">
        <f>IF(OR($G25=0,$B25&lt;&gt;"NSX",$D25&gt;250),0,ROUNDDOWN(($A$51-SUM(DG$36:DG53))/$G25,0))</f>
        <v>0</v>
      </c>
      <c r="DF54" s="1017">
        <f>IF(DE54&gt;=$F25-SUMIF($CK$35:DC$35,"Кол-во",$CK54:DC54),$F25-SUMIF($CK$35:DC$35,"Кол-во",$CK54:DC54),DE54)</f>
        <v>0</v>
      </c>
      <c r="DG54" s="1017">
        <f t="shared" si="140"/>
        <v>0</v>
      </c>
      <c r="DH54" s="1017">
        <f>IF(OR($G25=0,$B25&lt;&gt;"NSX",$D25&gt;250),0,ROUNDDOWN(($A$51-SUM(DJ$36:DJ53))/$G25,0))</f>
        <v>0</v>
      </c>
      <c r="DI54" s="1017">
        <f>IF(DH54&gt;=$F25-SUMIF($CK$35:DF$35,"Кол-во",$CK54:DF54),$F25-SUMIF($CK$35:DF$35,"Кол-во",$CK54:DF54),DH54)</f>
        <v>0</v>
      </c>
      <c r="DJ54" s="1017">
        <f t="shared" si="141"/>
        <v>0</v>
      </c>
      <c r="DK54" s="1017">
        <f>IF(OR($G25=0,$B25&lt;&gt;"NSX",$D25&gt;250),0,ROUNDDOWN(($A$51-SUM(DM$36:DM53))/$G25,0))</f>
        <v>0</v>
      </c>
      <c r="DL54" s="1017">
        <f>IF(DK54&gt;=$F25-SUMIF($CK$35:DI$35,"Кол-во",$CK54:DI54),$F25-SUMIF($CK$35:DI$35,"Кол-во",$CK54:DI54),DK54)</f>
        <v>0</v>
      </c>
      <c r="DM54" s="1017">
        <f t="shared" si="142"/>
        <v>0</v>
      </c>
      <c r="ID54" s="1216" t="s">
        <v>1114</v>
      </c>
      <c r="IE54" s="1159"/>
      <c r="IF54" s="1160"/>
    </row>
    <row r="55" spans="1:245" ht="13.5" thickBot="1" x14ac:dyDescent="0.25">
      <c r="A55" s="565"/>
      <c r="B55" s="565"/>
      <c r="C55" s="565"/>
      <c r="D55" s="565"/>
      <c r="E55" s="565"/>
      <c r="F55" s="565"/>
      <c r="G55" s="565"/>
      <c r="H55" s="565"/>
      <c r="I55" s="565"/>
      <c r="J55" s="565"/>
      <c r="K55" s="565"/>
      <c r="CI55" s="1017" t="s">
        <v>1309</v>
      </c>
      <c r="CJ55" s="1017">
        <f>IF(OR($G26=0,$B26&lt;&gt;"NSX",$D26&gt;250),0,ROUNDDOWN(($A$51-SUM($CL$36:$CL54))/$G26,0))</f>
        <v>0</v>
      </c>
      <c r="CK55" s="1017">
        <f t="shared" si="132"/>
        <v>0</v>
      </c>
      <c r="CL55" s="1017">
        <f t="shared" si="133"/>
        <v>0</v>
      </c>
      <c r="CM55" s="1017">
        <f>IF(OR($G26=0,$B26&lt;&gt;"NSX",$D26&gt;250),0,ROUNDDOWN(($A$51-SUM(CO$36:CO54))/$G26,0))</f>
        <v>0</v>
      </c>
      <c r="CN55" s="1017">
        <f>IF(CM55&gt;=$F26-SUMIF($CK$35:CK$35,"Кол-во",$CK55:CK55),$F26-SUMIF($CK$35:CK$35,"Кол-во",$CK55:CK55),CM55)</f>
        <v>0</v>
      </c>
      <c r="CO55" s="1017">
        <f t="shared" si="134"/>
        <v>0</v>
      </c>
      <c r="CP55" s="1017">
        <f>IF(OR($G26=0,$B26&lt;&gt;"NSX",$D26&gt;250),0,ROUNDDOWN(($A$51-SUM(CR$36:CR54))/$G26,0))</f>
        <v>0</v>
      </c>
      <c r="CQ55" s="1017">
        <f>IF(CP55&gt;=$F26-SUMIF($CK$35:CN$35,"Кол-во",$CK55:CN55),$F26-SUMIF($CK$35:CN$35,"Кол-во",$CK55:CN55),CP55)</f>
        <v>0</v>
      </c>
      <c r="CR55" s="1017">
        <f t="shared" si="135"/>
        <v>0</v>
      </c>
      <c r="CS55" s="1017">
        <f>IF(OR($G26=0,$B26&lt;&gt;"NSX",$D26&gt;250),0,ROUNDDOWN(($A$51-SUM(CU$36:CU54))/$G26,0))</f>
        <v>0</v>
      </c>
      <c r="CT55" s="1017">
        <f>IF(CS55&gt;=$F26-SUMIF($CK$35:CQ$35,"Кол-во",$CK55:CQ55),$F26-SUMIF($CK$35:CQ$35,"Кол-во",$CK55:CQ55),CS55)</f>
        <v>0</v>
      </c>
      <c r="CU55" s="1017">
        <f t="shared" si="136"/>
        <v>0</v>
      </c>
      <c r="CV55" s="1017">
        <f>IF(OR($G26=0,$B26&lt;&gt;"NSX",$D26&gt;250),0,ROUNDDOWN(($A$51-SUM(CX$36:CX54))/$G26,0))</f>
        <v>0</v>
      </c>
      <c r="CW55" s="1017">
        <f>IF(CV55&gt;=$F26-SUMIF($CK$35:CT$35,"Кол-во",$CK55:CT55),$F26-SUMIF($CK$35:CT$35,"Кол-во",$CK55:CT55),CV55)</f>
        <v>0</v>
      </c>
      <c r="CX55" s="1017">
        <f t="shared" si="137"/>
        <v>0</v>
      </c>
      <c r="CY55" s="1017">
        <f>IF(OR($G26=0,$B26&lt;&gt;"NSX",$D26&gt;250),0,ROUNDDOWN(($A$51-SUM(DA$36:DA54))/$G26,0))</f>
        <v>0</v>
      </c>
      <c r="CZ55" s="1017">
        <f>IF(CY55&gt;=$F26-SUMIF($CK$35:CW$35,"Кол-во",$CK55:CW55),$F26-SUMIF($CK$35:CW$35,"Кол-во",$CK55:CW55),CY55)</f>
        <v>0</v>
      </c>
      <c r="DA55" s="1017">
        <f t="shared" si="138"/>
        <v>0</v>
      </c>
      <c r="DB55" s="1017">
        <f>IF(OR($G26=0,$B26&lt;&gt;"NSX",$D26&gt;250),0,ROUNDDOWN(($A$51-SUM(DD$36:DD54))/$G26,0))</f>
        <v>0</v>
      </c>
      <c r="DC55" s="1017">
        <f>IF(DB55&gt;=$F26-SUMIF($CK$35:CZ$35,"Кол-во",$CK55:CZ55),$F26-SUMIF($CK$35:CZ$35,"Кол-во",$CK55:CZ55),DB55)</f>
        <v>0</v>
      </c>
      <c r="DD55" s="1017">
        <f t="shared" si="139"/>
        <v>0</v>
      </c>
      <c r="DE55" s="1017">
        <f>IF(OR($G26=0,$B26&lt;&gt;"NSX",$D26&gt;250),0,ROUNDDOWN(($A$51-SUM(DG$36:DG54))/$G26,0))</f>
        <v>0</v>
      </c>
      <c r="DF55" s="1017">
        <f>IF(DE55&gt;=$F26-SUMIF($CK$35:DC$35,"Кол-во",$CK55:DC55),$F26-SUMIF($CK$35:DC$35,"Кол-во",$CK55:DC55),DE55)</f>
        <v>0</v>
      </c>
      <c r="DG55" s="1017">
        <f t="shared" si="140"/>
        <v>0</v>
      </c>
      <c r="DH55" s="1017">
        <f>IF(OR($G26=0,$B26&lt;&gt;"NSX",$D26&gt;250),0,ROUNDDOWN(($A$51-SUM(DJ$36:DJ54))/$G26,0))</f>
        <v>0</v>
      </c>
      <c r="DI55" s="1017">
        <f>IF(DH55&gt;=$F26-SUMIF($CK$35:DF$35,"Кол-во",$CK55:DF55),$F26-SUMIF($CK$35:DF$35,"Кол-во",$CK55:DF55),DH55)</f>
        <v>0</v>
      </c>
      <c r="DJ55" s="1017">
        <f t="shared" si="141"/>
        <v>0</v>
      </c>
      <c r="DK55" s="1017">
        <f>IF(OR($G26=0,$B26&lt;&gt;"NSX",$D26&gt;250),0,ROUNDDOWN(($A$51-SUM(DM$36:DM54))/$G26,0))</f>
        <v>0</v>
      </c>
      <c r="DL55" s="1017">
        <f>IF(DK55&gt;=$F26-SUMIF($CK$35:DI$35,"Кол-во",$CK55:DI55),$F26-SUMIF($CK$35:DI$35,"Кол-во",$CK55:DI55),DK55)</f>
        <v>0</v>
      </c>
      <c r="DM55" s="1017">
        <f t="shared" si="142"/>
        <v>0</v>
      </c>
      <c r="ID55" s="879">
        <f ca="1">ROUNDUP(ID53/160,0)</f>
        <v>1</v>
      </c>
      <c r="IE55" s="879">
        <f ca="1">ROUNDUP(IE53/160,0)</f>
        <v>1</v>
      </c>
      <c r="IF55" s="879">
        <f ca="1">ROUNDUP(IF53/160,0)</f>
        <v>1</v>
      </c>
    </row>
    <row r="56" spans="1:245" ht="13.5" thickBot="1" x14ac:dyDescent="0.25">
      <c r="A56" s="151"/>
      <c r="B56" s="1170" t="s">
        <v>974</v>
      </c>
      <c r="C56" s="1171"/>
      <c r="D56" s="1171"/>
      <c r="E56" s="1172"/>
      <c r="F56" s="1191" t="s">
        <v>846</v>
      </c>
      <c r="G56" s="1192"/>
      <c r="H56" s="1191" t="s">
        <v>845</v>
      </c>
      <c r="I56" s="1192"/>
      <c r="J56" s="7"/>
      <c r="K56" s="7"/>
      <c r="CI56" s="1017" t="s">
        <v>1110</v>
      </c>
      <c r="CJ56" s="37"/>
      <c r="CK56" s="37"/>
      <c r="CL56" s="737">
        <f>SUM(CL36:CL50)</f>
        <v>0</v>
      </c>
      <c r="CM56" s="37"/>
      <c r="CN56" s="37"/>
      <c r="CO56" s="737">
        <f t="shared" ref="CO56" si="143">SUM(CO36:CO50)</f>
        <v>0</v>
      </c>
      <c r="CP56" s="37"/>
      <c r="CQ56" s="37"/>
      <c r="CR56" s="737">
        <f t="shared" ref="CR56" si="144">SUM(CR36:CR50)</f>
        <v>0</v>
      </c>
      <c r="CS56" s="37"/>
      <c r="CT56" s="37"/>
      <c r="CU56" s="737">
        <f t="shared" ref="CU56" si="145">SUM(CU36:CU50)</f>
        <v>0</v>
      </c>
      <c r="CV56" s="37"/>
      <c r="CW56" s="37"/>
      <c r="CX56" s="737">
        <f t="shared" ref="CX56" si="146">SUM(CX36:CX50)</f>
        <v>0</v>
      </c>
      <c r="CY56" s="37"/>
      <c r="CZ56" s="37"/>
      <c r="DA56" s="737">
        <f t="shared" ref="DA56" si="147">SUM(DA36:DA50)</f>
        <v>0</v>
      </c>
      <c r="DB56" s="37"/>
      <c r="DC56" s="37"/>
      <c r="DD56" s="737">
        <f t="shared" ref="DD56" si="148">SUM(DD36:DD50)</f>
        <v>0</v>
      </c>
      <c r="DE56" s="37"/>
      <c r="DF56" s="37"/>
      <c r="DG56" s="737">
        <f t="shared" ref="DG56" si="149">SUM(DG36:DG50)</f>
        <v>0</v>
      </c>
      <c r="DH56" s="37"/>
      <c r="DI56" s="37"/>
      <c r="DJ56" s="737">
        <f t="shared" ref="DJ56" si="150">SUM(DJ36:DJ50)</f>
        <v>0</v>
      </c>
      <c r="DK56" s="37"/>
      <c r="DL56" s="37"/>
      <c r="DM56" s="737">
        <f t="shared" ref="DM56" si="151">SUM(DM36:DM50)</f>
        <v>0</v>
      </c>
    </row>
    <row r="57" spans="1:245" ht="12.75" customHeight="1" thickBot="1" x14ac:dyDescent="0.25">
      <c r="A57" s="63" t="s">
        <v>838</v>
      </c>
      <c r="B57" s="728" t="s">
        <v>470</v>
      </c>
      <c r="C57" s="721" t="s">
        <v>455</v>
      </c>
      <c r="D57" s="721" t="s">
        <v>97</v>
      </c>
      <c r="E57" s="729" t="s">
        <v>861</v>
      </c>
      <c r="F57" s="425" t="s">
        <v>98</v>
      </c>
      <c r="G57" s="730" t="s">
        <v>844</v>
      </c>
      <c r="H57" s="425" t="s">
        <v>98</v>
      </c>
      <c r="I57" s="731" t="s">
        <v>844</v>
      </c>
      <c r="J57" s="729" t="s">
        <v>840</v>
      </c>
      <c r="K57" s="705"/>
      <c r="CI57" s="1017" t="s">
        <v>1111</v>
      </c>
      <c r="CJ57" s="565"/>
      <c r="CK57" s="565"/>
      <c r="CL57" s="737">
        <f>$A$60-CL56</f>
        <v>0</v>
      </c>
      <c r="CM57" s="565"/>
      <c r="CN57" s="565"/>
      <c r="CO57" s="737">
        <f t="shared" ref="CO57" si="152">$A$60-CO56</f>
        <v>0</v>
      </c>
      <c r="CP57" s="565"/>
      <c r="CQ57" s="565"/>
      <c r="CR57" s="737">
        <f t="shared" ref="CR57" si="153">$A$60-CR56</f>
        <v>0</v>
      </c>
      <c r="CS57" s="565"/>
      <c r="CT57" s="565"/>
      <c r="CU57" s="737">
        <f t="shared" ref="CU57" si="154">$A$60-CU56</f>
        <v>0</v>
      </c>
      <c r="CV57" s="565"/>
      <c r="CW57" s="565"/>
      <c r="CX57" s="737">
        <f t="shared" ref="CX57" si="155">$A$60-CX56</f>
        <v>0</v>
      </c>
      <c r="CY57" s="565"/>
      <c r="CZ57" s="565"/>
      <c r="DA57" s="737">
        <f t="shared" ref="DA57" si="156">$A$60-DA56</f>
        <v>0</v>
      </c>
      <c r="DB57" s="565"/>
      <c r="DC57" s="565"/>
      <c r="DD57" s="737">
        <f t="shared" ref="DD57" si="157">$A$60-DD56</f>
        <v>0</v>
      </c>
      <c r="DE57" s="565"/>
      <c r="DF57" s="565"/>
      <c r="DG57" s="737">
        <f t="shared" ref="DG57" si="158">$A$60-DG56</f>
        <v>0</v>
      </c>
      <c r="DH57" s="565"/>
      <c r="DI57" s="565"/>
      <c r="DJ57" s="737">
        <f t="shared" ref="DJ57" si="159">$A$60-DJ56</f>
        <v>0</v>
      </c>
      <c r="DK57" s="565"/>
      <c r="DL57" s="565"/>
      <c r="DM57" s="737">
        <f t="shared" ref="DM57" si="160">$A$60-DM56</f>
        <v>0</v>
      </c>
    </row>
    <row r="58" spans="1:245" ht="13.5" thickBot="1" x14ac:dyDescent="0.25">
      <c r="A58" s="701">
        <f>D59*H58</f>
        <v>0</v>
      </c>
      <c r="B58" s="726">
        <v>400</v>
      </c>
      <c r="C58" s="727">
        <v>0</v>
      </c>
      <c r="D58" s="727">
        <v>0</v>
      </c>
      <c r="E58" s="1162">
        <f>SUM(CL83:DM83)</f>
        <v>0</v>
      </c>
      <c r="F58" s="1179">
        <f>COUNTIF(CL83:DM83,"&gt;0")</f>
        <v>0</v>
      </c>
      <c r="G58" s="1181">
        <f>IF($F$58,$A$60-INDEX(CL83:DM83,1,3*$F$58-2),0)</f>
        <v>0</v>
      </c>
      <c r="H58" s="1182">
        <f>F58</f>
        <v>0</v>
      </c>
      <c r="I58" s="1181">
        <f>G58-IF((A51-G49)&lt;G58,A60-G49,0)</f>
        <v>0</v>
      </c>
      <c r="J58" s="1179">
        <f>ROUNDDOWN(I58/46,0)</f>
        <v>0</v>
      </c>
      <c r="K58" s="705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I58" s="7"/>
      <c r="GJ58" s="7"/>
      <c r="GK58" s="7"/>
      <c r="GL58" s="7"/>
      <c r="GM58" s="7"/>
      <c r="GO58" s="7"/>
      <c r="GP58" s="7"/>
      <c r="GQ58" s="7"/>
      <c r="GR58" s="7"/>
      <c r="GS58" s="7"/>
      <c r="GT58" s="7"/>
      <c r="GU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I58" s="7"/>
      <c r="IJ58" s="7"/>
      <c r="IK58" s="7"/>
    </row>
    <row r="59" spans="1:245" x14ac:dyDescent="0.2">
      <c r="A59" s="147" t="s">
        <v>455</v>
      </c>
      <c r="B59" s="146">
        <v>600</v>
      </c>
      <c r="C59" s="717">
        <v>432</v>
      </c>
      <c r="D59" s="717">
        <v>400</v>
      </c>
      <c r="E59" s="1162"/>
      <c r="F59" s="1179"/>
      <c r="G59" s="1162"/>
      <c r="H59" s="1182"/>
      <c r="I59" s="1162"/>
      <c r="J59" s="1179"/>
      <c r="K59" s="705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554"/>
      <c r="BM59" s="554"/>
      <c r="BN59" s="554"/>
      <c r="BO59" s="554"/>
      <c r="BP59" s="554"/>
      <c r="BQ59" s="554"/>
      <c r="BR59" s="554"/>
      <c r="BS59" s="554"/>
      <c r="BT59" s="554"/>
      <c r="BU59" s="554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I59" s="37"/>
      <c r="GJ59" s="37"/>
      <c r="GK59" s="37"/>
      <c r="GL59" s="37"/>
      <c r="GM59" s="37"/>
      <c r="GO59" s="7"/>
      <c r="GP59" s="7"/>
      <c r="GQ59" s="7"/>
      <c r="GR59" s="7"/>
      <c r="GS59" s="7"/>
      <c r="GT59" s="7"/>
      <c r="GU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I59" s="7"/>
      <c r="IJ59" s="7"/>
      <c r="IK59" s="7"/>
    </row>
    <row r="60" spans="1:245" ht="13.5" thickBot="1" x14ac:dyDescent="0.25">
      <c r="A60" s="134">
        <f>VLOOKUP($A$99,B58:C62,2)</f>
        <v>0</v>
      </c>
      <c r="B60" s="716">
        <v>800</v>
      </c>
      <c r="C60" s="717">
        <v>648</v>
      </c>
      <c r="D60" s="732">
        <v>400</v>
      </c>
      <c r="E60" s="1162"/>
      <c r="F60" s="1179"/>
      <c r="G60" s="1162"/>
      <c r="H60" s="1182"/>
      <c r="I60" s="1162"/>
      <c r="J60" s="1179"/>
      <c r="K60" s="705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554"/>
      <c r="BM60" s="554"/>
      <c r="BN60" s="554"/>
      <c r="BO60" s="554"/>
      <c r="BP60" s="554"/>
      <c r="BQ60" s="554"/>
      <c r="BR60" s="554"/>
      <c r="BS60" s="554"/>
      <c r="BT60" s="554"/>
      <c r="BU60" s="554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1265" t="s">
        <v>860</v>
      </c>
      <c r="CJ60" s="1265"/>
      <c r="CK60" s="1265"/>
      <c r="CL60" s="1265"/>
      <c r="CM60" s="1265"/>
      <c r="CN60" s="1265"/>
      <c r="CO60" s="1265"/>
      <c r="CP60" s="1265"/>
      <c r="CQ60" s="1265"/>
      <c r="CR60" s="1265"/>
      <c r="CS60" s="1265"/>
      <c r="CT60" s="1265"/>
      <c r="CU60" s="1265"/>
      <c r="CV60" s="1265"/>
      <c r="CW60" s="1265"/>
      <c r="CX60" s="1265"/>
      <c r="CY60" s="1265"/>
      <c r="CZ60" s="1265"/>
      <c r="DA60" s="1265"/>
      <c r="DB60" s="1265"/>
      <c r="DC60" s="1265"/>
      <c r="DD60" s="1265"/>
      <c r="DE60" s="1265"/>
      <c r="DF60" s="1265"/>
      <c r="DG60" s="1265"/>
      <c r="DH60" s="1265"/>
      <c r="DI60" s="1265"/>
      <c r="DJ60" s="1265"/>
      <c r="DK60" s="1265"/>
      <c r="DL60" s="1265"/>
      <c r="DM60" s="1265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I60" s="37"/>
      <c r="GJ60" s="37"/>
      <c r="GK60" s="37"/>
      <c r="GL60" s="37"/>
      <c r="GM60" s="37"/>
      <c r="GO60" s="7"/>
      <c r="GP60" s="7"/>
      <c r="GQ60" s="7"/>
      <c r="GR60" s="7"/>
      <c r="GS60" s="7"/>
      <c r="GT60" s="7"/>
      <c r="GU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I60" s="7"/>
      <c r="IJ60" s="7"/>
      <c r="IK60" s="7"/>
    </row>
    <row r="61" spans="1:245" x14ac:dyDescent="0.2">
      <c r="A61" s="117"/>
      <c r="B61" s="696">
        <v>1000</v>
      </c>
      <c r="C61" s="696">
        <f>C60+200</f>
        <v>848</v>
      </c>
      <c r="D61" s="537">
        <v>400</v>
      </c>
      <c r="E61" s="1162"/>
      <c r="F61" s="1179"/>
      <c r="G61" s="1162"/>
      <c r="H61" s="1182"/>
      <c r="I61" s="1162"/>
      <c r="J61" s="1179"/>
      <c r="K61" s="705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554"/>
      <c r="BM61" s="554"/>
      <c r="BN61" s="554"/>
      <c r="BO61" s="554"/>
      <c r="BP61" s="554"/>
      <c r="BQ61" s="554"/>
      <c r="BR61" s="554"/>
      <c r="BS61" s="554"/>
      <c r="BT61" s="554"/>
      <c r="BU61" s="554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1274" t="s">
        <v>482</v>
      </c>
      <c r="CJ61" s="1206" t="s">
        <v>460</v>
      </c>
      <c r="CK61" s="1207"/>
      <c r="CL61" s="1208"/>
      <c r="CM61" s="1206" t="s">
        <v>471</v>
      </c>
      <c r="CN61" s="1207"/>
      <c r="CO61" s="1208"/>
      <c r="CP61" s="1206" t="s">
        <v>472</v>
      </c>
      <c r="CQ61" s="1207"/>
      <c r="CR61" s="1208"/>
      <c r="CS61" s="1206" t="s">
        <v>473</v>
      </c>
      <c r="CT61" s="1207"/>
      <c r="CU61" s="1208"/>
      <c r="CV61" s="1206" t="s">
        <v>474</v>
      </c>
      <c r="CW61" s="1207"/>
      <c r="CX61" s="1208"/>
      <c r="CY61" s="1206" t="s">
        <v>479</v>
      </c>
      <c r="CZ61" s="1207"/>
      <c r="DA61" s="1208"/>
      <c r="DB61" s="1206" t="s">
        <v>478</v>
      </c>
      <c r="DC61" s="1207"/>
      <c r="DD61" s="1208"/>
      <c r="DE61" s="1206" t="s">
        <v>477</v>
      </c>
      <c r="DF61" s="1207"/>
      <c r="DG61" s="1208"/>
      <c r="DH61" s="1206" t="s">
        <v>476</v>
      </c>
      <c r="DI61" s="1207"/>
      <c r="DJ61" s="1208"/>
      <c r="DK61" s="1206" t="s">
        <v>480</v>
      </c>
      <c r="DL61" s="1207"/>
      <c r="DM61" s="1208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I61" s="37"/>
      <c r="GJ61" s="37"/>
      <c r="GK61" s="37"/>
      <c r="GL61" s="37"/>
      <c r="GM61" s="37"/>
      <c r="GO61" s="7"/>
      <c r="GP61" s="7"/>
      <c r="GQ61" s="7"/>
      <c r="GR61" s="7"/>
      <c r="GS61" s="7"/>
      <c r="GT61" s="7"/>
      <c r="GU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I61" s="7"/>
      <c r="IJ61" s="7"/>
      <c r="IK61" s="7"/>
    </row>
    <row r="62" spans="1:245" ht="13.5" thickBot="1" x14ac:dyDescent="0.25">
      <c r="A62" s="117"/>
      <c r="B62" s="425">
        <v>1200</v>
      </c>
      <c r="C62" s="557">
        <f>C61+200</f>
        <v>1048</v>
      </c>
      <c r="D62" s="557">
        <v>400</v>
      </c>
      <c r="E62" s="1163"/>
      <c r="F62" s="1180"/>
      <c r="G62" s="1163"/>
      <c r="H62" s="1183"/>
      <c r="I62" s="1163"/>
      <c r="J62" s="1180"/>
      <c r="K62" s="705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554"/>
      <c r="BM62" s="554"/>
      <c r="BN62" s="554"/>
      <c r="BO62" s="554"/>
      <c r="BP62" s="554"/>
      <c r="BQ62" s="554"/>
      <c r="BR62" s="554"/>
      <c r="BS62" s="554"/>
      <c r="BT62" s="554"/>
      <c r="BU62" s="554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1275"/>
      <c r="CJ62" s="441" t="s">
        <v>469</v>
      </c>
      <c r="CK62" s="441" t="s">
        <v>286</v>
      </c>
      <c r="CL62" s="441" t="s">
        <v>99</v>
      </c>
      <c r="CM62" s="441" t="s">
        <v>469</v>
      </c>
      <c r="CN62" s="441" t="s">
        <v>286</v>
      </c>
      <c r="CO62" s="441" t="s">
        <v>99</v>
      </c>
      <c r="CP62" s="441" t="s">
        <v>469</v>
      </c>
      <c r="CQ62" s="441" t="s">
        <v>286</v>
      </c>
      <c r="CR62" s="441" t="s">
        <v>99</v>
      </c>
      <c r="CS62" s="441" t="s">
        <v>469</v>
      </c>
      <c r="CT62" s="441" t="s">
        <v>286</v>
      </c>
      <c r="CU62" s="441" t="s">
        <v>99</v>
      </c>
      <c r="CV62" s="441" t="s">
        <v>469</v>
      </c>
      <c r="CW62" s="441" t="s">
        <v>286</v>
      </c>
      <c r="CX62" s="441" t="s">
        <v>99</v>
      </c>
      <c r="CY62" s="441" t="s">
        <v>469</v>
      </c>
      <c r="CZ62" s="441" t="s">
        <v>286</v>
      </c>
      <c r="DA62" s="441" t="s">
        <v>99</v>
      </c>
      <c r="DB62" s="441" t="s">
        <v>469</v>
      </c>
      <c r="DC62" s="441" t="s">
        <v>286</v>
      </c>
      <c r="DD62" s="441" t="s">
        <v>99</v>
      </c>
      <c r="DE62" s="441" t="s">
        <v>469</v>
      </c>
      <c r="DF62" s="441" t="s">
        <v>286</v>
      </c>
      <c r="DG62" s="441" t="s">
        <v>99</v>
      </c>
      <c r="DH62" s="441" t="s">
        <v>469</v>
      </c>
      <c r="DI62" s="441" t="s">
        <v>286</v>
      </c>
      <c r="DJ62" s="441" t="s">
        <v>99</v>
      </c>
      <c r="DK62" s="441" t="s">
        <v>469</v>
      </c>
      <c r="DL62" s="441" t="s">
        <v>286</v>
      </c>
      <c r="DM62" s="441" t="s">
        <v>99</v>
      </c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I62" s="37"/>
      <c r="GJ62" s="37"/>
      <c r="GK62" s="37"/>
      <c r="GL62" s="37"/>
      <c r="GM62" s="37"/>
      <c r="GO62" s="7"/>
      <c r="GP62" s="7"/>
      <c r="GQ62" s="7"/>
      <c r="GR62" s="7"/>
      <c r="GS62" s="7"/>
      <c r="GT62" s="7"/>
      <c r="GU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I62" s="7"/>
      <c r="IJ62" s="7"/>
      <c r="IK62" s="7"/>
    </row>
    <row r="63" spans="1:245" x14ac:dyDescent="0.2"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554"/>
      <c r="BM63" s="554"/>
      <c r="BN63" s="554"/>
      <c r="BO63" s="554"/>
      <c r="BP63" s="554"/>
      <c r="BQ63" s="554"/>
      <c r="BR63" s="554"/>
      <c r="BS63" s="554"/>
      <c r="BT63" s="554"/>
      <c r="BU63" s="554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442" t="s">
        <v>85</v>
      </c>
      <c r="CJ63" s="462">
        <f>IF(OR($G7=0,$B7&lt;&gt;"NSX",$D7&lt;=250),0,ROUNDDOWN($A$51/$G7,0))</f>
        <v>0</v>
      </c>
      <c r="CK63" s="442">
        <f t="shared" ref="CK63:CK82" si="161">IF(CJ63&gt;=$F7,$F7,CJ63)</f>
        <v>0</v>
      </c>
      <c r="CL63" s="442">
        <f t="shared" ref="CL63:CL82" si="162">CK63*($G7+3)</f>
        <v>0</v>
      </c>
      <c r="CM63" s="462">
        <f>IF(OR($G7=0,$BF5&lt;&gt;"NSX",$D7&gt;250),0,ROUNDDOWN($A$60/$G7,0))</f>
        <v>0</v>
      </c>
      <c r="CN63" s="442">
        <f>IF(CM63&gt;=$F7-SUMIF($CK$62:CK$62,"Кол-во",$CK63:CK63),$F7-SUMIF($CK$62:CK$62,"Кол-во",$CK63:CK63),CM63)</f>
        <v>0</v>
      </c>
      <c r="CO63" s="442">
        <f t="shared" ref="CO63:CO82" si="163">CN63*($G7+3)</f>
        <v>0</v>
      </c>
      <c r="CP63" s="462">
        <f>IF(OR($G7=0,$BF5&lt;&gt;"NSX",$D7&gt;250),0,ROUNDDOWN($A$60/$G7,0))</f>
        <v>0</v>
      </c>
      <c r="CQ63" s="442">
        <f>IF(CP63&gt;=$F7-SUMIF($CK$62:CN$62,"Кол-во",$CK63:CN63),$F7-SUMIF($CK$62:CN$62,"Кол-во",$CK63:CN63),CP63)</f>
        <v>0</v>
      </c>
      <c r="CR63" s="442">
        <f t="shared" ref="CR63:CR82" si="164">CQ63*($G7+3)</f>
        <v>0</v>
      </c>
      <c r="CS63" s="462">
        <f>IF(OR($G7=0,$BF5&lt;&gt;"NSX",$D7&gt;250),0,ROUNDDOWN($A$60/$G7,0))</f>
        <v>0</v>
      </c>
      <c r="CT63" s="442">
        <f>IF(CS63&gt;=$F7-SUMIF($CK$62:CQ$62,"Кол-во",$CK63:CQ63),$F7-SUMIF($CK$62:CQ$62,"Кол-во",$CK63:CQ63),CS63)</f>
        <v>0</v>
      </c>
      <c r="CU63" s="442">
        <f t="shared" ref="CU63:CU82" si="165">CT63*($G7+3)</f>
        <v>0</v>
      </c>
      <c r="CV63" s="462">
        <f>IF(OR($G7=0,$BF5&lt;&gt;"NSX",$D7&gt;250),0,ROUNDDOWN($A$60/$G7,0))</f>
        <v>0</v>
      </c>
      <c r="CW63" s="442">
        <f>IF(CV63&gt;=$F7-SUMIF($CK$62:CT$62,"Кол-во",$CK63:CT63),$F7-SUMIF($CK$62:CT$62,"Кол-во",$CK63:CT63),CV63)</f>
        <v>0</v>
      </c>
      <c r="CX63" s="442">
        <f t="shared" ref="CX63:CX82" si="166">CW63*($G7+3)</f>
        <v>0</v>
      </c>
      <c r="CY63" s="462">
        <f>IF(OR($G7=0,$BF5&lt;&gt;"NSX",$D7&gt;250),0,ROUNDDOWN($A$60/$G7,0))</f>
        <v>0</v>
      </c>
      <c r="CZ63" s="442">
        <f>IF(CY63&gt;=$F7-SUMIF($CK$62:CW$62,"Кол-во",$CK63:CW63),$F7-SUMIF($CK$62:CW$62,"Кол-во",$CK63:CW63),CY63)</f>
        <v>0</v>
      </c>
      <c r="DA63" s="442">
        <f t="shared" ref="DA63:DA82" si="167">CZ63*($G7+3)</f>
        <v>0</v>
      </c>
      <c r="DB63" s="462">
        <f>IF(OR($G7=0,$BF5&lt;&gt;"NSX",$D7&gt;250),0,ROUNDDOWN($A$60/$G7,0))</f>
        <v>0</v>
      </c>
      <c r="DC63" s="442">
        <f>IF(DB63&gt;=$F7-SUMIF($CK$62:CZ$62,"Кол-во",$CK63:CZ63),$F7-SUMIF($CK$62:CZ$62,"Кол-во",$CK63:CZ63),DB63)</f>
        <v>0</v>
      </c>
      <c r="DD63" s="442">
        <f t="shared" ref="DD63:DD82" si="168">DC63*($G7+3)</f>
        <v>0</v>
      </c>
      <c r="DE63" s="462">
        <f>IF(OR($G7=0,$BF5&lt;&gt;"NSX",$D7&gt;250),0,ROUNDDOWN($A$60/$G7,0))</f>
        <v>0</v>
      </c>
      <c r="DF63" s="442">
        <f>IF(DE63&gt;=$F7-SUMIF($CK$62:DC$62,"Кол-во",$CK63:DC63),$F7-SUMIF($CK$62:DC$62,"Кол-во",$CK63:DC63),DE63)</f>
        <v>0</v>
      </c>
      <c r="DG63" s="442">
        <f t="shared" ref="DG63:DG82" si="169">DF63*($G7+3)</f>
        <v>0</v>
      </c>
      <c r="DH63" s="462">
        <f>IF(OR($G7=0,$BF5&lt;&gt;"NSX",$D7&gt;250),0,ROUNDDOWN($A$60/$G7,0))</f>
        <v>0</v>
      </c>
      <c r="DI63" s="442">
        <f>IF(DH63&gt;=$F7-SUMIF($CK$62:DF$62,"Кол-во",$CK63:DF63),$F7-SUMIF($CK$62:DF$62,"Кол-во",$CK63:DF63),DH63)</f>
        <v>0</v>
      </c>
      <c r="DJ63" s="442">
        <f t="shared" ref="DJ63:DJ82" si="170">DI63*($G7+3)</f>
        <v>0</v>
      </c>
      <c r="DK63" s="462">
        <f>IF(OR($G7=0,$BF5&lt;&gt;"NSX",$D7&gt;250),0,ROUNDDOWN($A$60/$G7,0))</f>
        <v>0</v>
      </c>
      <c r="DL63" s="442">
        <f>IF(DK63&gt;=$F7-SUMIF($CK$62:DI$62,"Кол-во",$CK63:DI63),$F7-SUMIF($CK$62:DI$62,"Кол-во",$CK63:DI63),DK63)</f>
        <v>0</v>
      </c>
      <c r="DM63" s="442">
        <f t="shared" ref="DM63:DM82" si="171">DL63*($G7+3)</f>
        <v>0</v>
      </c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I63" s="37"/>
      <c r="GJ63" s="37"/>
      <c r="GK63" s="37"/>
      <c r="GL63" s="37"/>
      <c r="GM63" s="37"/>
      <c r="GO63" s="7"/>
      <c r="GP63" s="7"/>
      <c r="GQ63" s="7"/>
      <c r="GR63" s="7"/>
      <c r="GS63" s="7"/>
      <c r="GT63" s="7"/>
      <c r="GU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I63" s="7"/>
      <c r="IJ63" s="7"/>
      <c r="IK63" s="7"/>
    </row>
    <row r="64" spans="1:245" ht="13.5" thickBot="1" x14ac:dyDescent="0.25">
      <c r="S64" s="27"/>
      <c r="T64" s="27"/>
      <c r="U64" s="27"/>
      <c r="V64" s="27"/>
      <c r="W64" s="27"/>
      <c r="X64" s="27"/>
      <c r="Y64" s="27"/>
      <c r="Z64" s="27"/>
      <c r="AA64" s="2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554"/>
      <c r="BM64" s="554"/>
      <c r="BN64" s="554"/>
      <c r="BO64" s="554"/>
      <c r="BP64" s="554"/>
      <c r="BQ64" s="554"/>
      <c r="BR64" s="554"/>
      <c r="BS64" s="554"/>
      <c r="BT64" s="554"/>
      <c r="BU64" s="554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442" t="s">
        <v>86</v>
      </c>
      <c r="CJ64" s="442">
        <f>IF(OR($G8=0,$B8&lt;&gt;"NSX",$D8&lt;=250),0,ROUNDDOWN(($A$51-SUM($CL$63:$CL63))/$G8,0))</f>
        <v>0</v>
      </c>
      <c r="CK64" s="442">
        <f t="shared" si="161"/>
        <v>0</v>
      </c>
      <c r="CL64" s="442">
        <f t="shared" si="162"/>
        <v>0</v>
      </c>
      <c r="CM64" s="442">
        <f>IF(OR($G8=0,$BF6&lt;&gt;"NSX",$D8&gt;250),0,ROUNDDOWN(($A$60-SUM(CO$63:CO63))/$G8,0))</f>
        <v>0</v>
      </c>
      <c r="CN64" s="442">
        <f>IF(CM64&gt;=$F8-SUMIF($CK$62:CK$62,"Кол-во",$CK64:CK64),$F8-SUMIF($CK$62:CK$62,"Кол-во",$CK64:CK64),CM64)</f>
        <v>0</v>
      </c>
      <c r="CO64" s="442">
        <f t="shared" si="163"/>
        <v>0</v>
      </c>
      <c r="CP64" s="442">
        <f>IF(OR($G8=0,$BF6&lt;&gt;"NSX",$D8&gt;250),0,ROUNDDOWN(($A$60-SUM(CR$63:CR63))/$G8,0))</f>
        <v>0</v>
      </c>
      <c r="CQ64" s="442">
        <f>IF(CP64&gt;=$F8-SUMIF($CK$62:CN$62,"Кол-во",$CK64:CN64),$F8-SUMIF($CK$62:CN$62,"Кол-во",$CK64:CN64),CP64)</f>
        <v>0</v>
      </c>
      <c r="CR64" s="442">
        <f t="shared" si="164"/>
        <v>0</v>
      </c>
      <c r="CS64" s="442">
        <f>IF(OR($G8=0,$BF6&lt;&gt;"NSX",$D8&gt;250),0,ROUNDDOWN(($A$60-SUM(CU$63:CU63))/$G8,0))</f>
        <v>0</v>
      </c>
      <c r="CT64" s="442">
        <f>IF(CS64&gt;=$F8-SUMIF($CK$62:CQ$62,"Кол-во",$CK64:CQ64),$F8-SUMIF($CK$62:CQ$62,"Кол-во",$CK64:CQ64),CS64)</f>
        <v>0</v>
      </c>
      <c r="CU64" s="442">
        <f t="shared" si="165"/>
        <v>0</v>
      </c>
      <c r="CV64" s="787">
        <f>IF(OR($G8=0,$BF6&lt;&gt;"NSX",$D8&gt;250),0,ROUNDDOWN(($A$60-SUM(CX$63:CX63))/$G8,0))</f>
        <v>0</v>
      </c>
      <c r="CW64" s="442">
        <f>IF(CV64&gt;=$F8-SUMIF($CK$62:CT$62,"Кол-во",$CK64:CT64),$F8-SUMIF($CK$62:CT$62,"Кол-во",$CK64:CT64),CV64)</f>
        <v>0</v>
      </c>
      <c r="CX64" s="442">
        <f t="shared" si="166"/>
        <v>0</v>
      </c>
      <c r="CY64" s="787">
        <f>IF(OR($G8=0,$BF6&lt;&gt;"NSX",$D8&gt;250),0,ROUNDDOWN(($A$60-SUM(DA$63:DA63))/$G8,0))</f>
        <v>0</v>
      </c>
      <c r="CZ64" s="442">
        <f>IF(CY64&gt;=$F8-SUMIF($CK$62:CW$62,"Кол-во",$CK64:CW64),$F8-SUMIF($CK$62:CW$62,"Кол-во",$CK64:CW64),CY64)</f>
        <v>0</v>
      </c>
      <c r="DA64" s="442">
        <f t="shared" si="167"/>
        <v>0</v>
      </c>
      <c r="DB64" s="787">
        <f>IF(OR($G8=0,$BF6&lt;&gt;"NSX",$D8&gt;250),0,ROUNDDOWN(($A$60-SUM(DD$63:DD63))/$G8,0))</f>
        <v>0</v>
      </c>
      <c r="DC64" s="442">
        <f>IF(DB64&gt;=$F8-SUMIF($CK$62:CZ$62,"Кол-во",$CK64:CZ64),$F8-SUMIF($CK$62:CZ$62,"Кол-во",$CK64:CZ64),DB64)</f>
        <v>0</v>
      </c>
      <c r="DD64" s="442">
        <f t="shared" si="168"/>
        <v>0</v>
      </c>
      <c r="DE64" s="787">
        <f>IF(OR($G8=0,$BF6&lt;&gt;"NSX",$D8&gt;250),0,ROUNDDOWN(($A$60-SUM(DG$63:DG63))/$G8,0))</f>
        <v>0</v>
      </c>
      <c r="DF64" s="442">
        <f>IF(DE64&gt;=$F8-SUMIF($CK$62:DC$62,"Кол-во",$CK64:DC64),$F8-SUMIF($CK$62:DC$62,"Кол-во",$CK64:DC64),DE64)</f>
        <v>0</v>
      </c>
      <c r="DG64" s="442">
        <f t="shared" si="169"/>
        <v>0</v>
      </c>
      <c r="DH64" s="787">
        <f>IF(OR($G8=0,$BF6&lt;&gt;"NSX",$D8&gt;250),0,ROUNDDOWN(($A$60-SUM(DJ$63:DJ63))/$G8,0))</f>
        <v>0</v>
      </c>
      <c r="DI64" s="442">
        <f>IF(DH64&gt;=$F8-SUMIF($CK$62:DF$62,"Кол-во",$CK64:DF64),$F8-SUMIF($CK$62:DF$62,"Кол-во",$CK64:DF64),DH64)</f>
        <v>0</v>
      </c>
      <c r="DJ64" s="442">
        <f t="shared" si="170"/>
        <v>0</v>
      </c>
      <c r="DK64" s="787">
        <f>IF(OR($G8=0,$BF6&lt;&gt;"NSX",$D8&gt;250),0,ROUNDDOWN(($A$60-SUM(DM$63:DM63))/$G8,0))</f>
        <v>0</v>
      </c>
      <c r="DL64" s="442">
        <f>IF(DK64&gt;=$F8-SUMIF($CK$62:DI$62,"Кол-во",$CK64:DI64),$F8-SUMIF($CK$62:DI$62,"Кол-во",$CK64:DI64),DK64)</f>
        <v>0</v>
      </c>
      <c r="DM64" s="442">
        <f t="shared" si="171"/>
        <v>0</v>
      </c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I64" s="37"/>
      <c r="GJ64" s="37"/>
      <c r="GK64" s="37"/>
      <c r="GL64" s="37"/>
      <c r="GM64" s="37"/>
      <c r="GO64" s="7"/>
      <c r="GP64" s="7"/>
      <c r="GQ64" s="7"/>
      <c r="GR64" s="7"/>
      <c r="GS64" s="7"/>
      <c r="GT64" s="7"/>
      <c r="GU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I64" s="7"/>
      <c r="IJ64" s="7"/>
      <c r="IK64" s="7"/>
    </row>
    <row r="65" spans="1:245" ht="13.5" thickBot="1" x14ac:dyDescent="0.25">
      <c r="A65" s="133" t="s">
        <v>1071</v>
      </c>
      <c r="B65" s="702" t="s">
        <v>470</v>
      </c>
      <c r="C65" s="703" t="s">
        <v>454</v>
      </c>
      <c r="D65" s="721" t="s">
        <v>97</v>
      </c>
      <c r="E65" s="720" t="s">
        <v>861</v>
      </c>
      <c r="F65" s="711"/>
      <c r="G65" s="710"/>
      <c r="H65" s="723" t="s">
        <v>98</v>
      </c>
      <c r="I65" s="724" t="s">
        <v>475</v>
      </c>
      <c r="J65" s="148" t="s">
        <v>346</v>
      </c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554"/>
      <c r="BM65" s="554"/>
      <c r="BN65" s="554"/>
      <c r="BO65" s="554"/>
      <c r="BP65" s="554"/>
      <c r="BQ65" s="554"/>
      <c r="BR65" s="554"/>
      <c r="BS65" s="554"/>
      <c r="BT65" s="554"/>
      <c r="BU65" s="554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442" t="s">
        <v>87</v>
      </c>
      <c r="CJ65" s="442">
        <f>IF(OR($G9=0,$B9&lt;&gt;"NSX",$D9&lt;=250),0,ROUNDDOWN(($A$51-SUM($CL$63:$CL64))/$G9,0))</f>
        <v>0</v>
      </c>
      <c r="CK65" s="442">
        <f t="shared" si="161"/>
        <v>0</v>
      </c>
      <c r="CL65" s="442">
        <f t="shared" si="162"/>
        <v>0</v>
      </c>
      <c r="CM65" s="442">
        <f>IF(OR($G9=0,$BF7&lt;&gt;"NSX",$D9&gt;250),0,ROUNDDOWN(($A$60-SUM(CO$63:CO64))/$G9,0))</f>
        <v>0</v>
      </c>
      <c r="CN65" s="442">
        <f>IF(CM65&gt;=$F9-SUMIF($CK$62:CK$62,"Кол-во",$CK65:CK65),$F9-SUMIF($CK$62:CK$62,"Кол-во",$CK65:CK65),CM65)</f>
        <v>0</v>
      </c>
      <c r="CO65" s="442">
        <f t="shared" si="163"/>
        <v>0</v>
      </c>
      <c r="CP65" s="442">
        <f>IF(OR($G9=0,$BF7&lt;&gt;"NSX",$D9&gt;250),0,ROUNDDOWN(($A$60-SUM(CR$63:CR64))/$G9,0))</f>
        <v>0</v>
      </c>
      <c r="CQ65" s="442">
        <f>IF(CP65&gt;=$F9-SUMIF($CK$62:CN$62,"Кол-во",$CK65:CN65),$F9-SUMIF($CK$62:CN$62,"Кол-во",$CK65:CN65),CP65)</f>
        <v>0</v>
      </c>
      <c r="CR65" s="442">
        <f t="shared" si="164"/>
        <v>0</v>
      </c>
      <c r="CS65" s="442">
        <f>IF(OR($G9=0,$BF7&lt;&gt;"NSX",$D9&gt;250),0,ROUNDDOWN(($A$60-SUM(CU$63:CU64))/$G9,0))</f>
        <v>0</v>
      </c>
      <c r="CT65" s="442">
        <f>IF(CS65&gt;=$F9-SUMIF($CK$62:CQ$62,"Кол-во",$CK65:CQ65),$F9-SUMIF($CK$62:CQ$62,"Кол-во",$CK65:CQ65),CS65)</f>
        <v>0</v>
      </c>
      <c r="CU65" s="442">
        <f t="shared" si="165"/>
        <v>0</v>
      </c>
      <c r="CV65" s="787">
        <f>IF(OR($G9=0,$BF7&lt;&gt;"NSX",$D9&gt;250),0,ROUNDDOWN(($A$60-SUM(CX$63:CX64))/$G9,0))</f>
        <v>0</v>
      </c>
      <c r="CW65" s="442">
        <f>IF(CV65&gt;=$F9-SUMIF($CK$62:CT$62,"Кол-во",$CK65:CT65),$F9-SUMIF($CK$62:CT$62,"Кол-во",$CK65:CT65),CV65)</f>
        <v>0</v>
      </c>
      <c r="CX65" s="442">
        <f t="shared" si="166"/>
        <v>0</v>
      </c>
      <c r="CY65" s="787">
        <f>IF(OR($G9=0,$BF7&lt;&gt;"NSX",$D9&gt;250),0,ROUNDDOWN(($A$60-SUM(DA$63:DA64))/$G9,0))</f>
        <v>0</v>
      </c>
      <c r="CZ65" s="442">
        <f>IF(CY65&gt;=$F9-SUMIF($CK$62:CW$62,"Кол-во",$CK65:CW65),$F9-SUMIF($CK$62:CW$62,"Кол-во",$CK65:CW65),CY65)</f>
        <v>0</v>
      </c>
      <c r="DA65" s="442">
        <f t="shared" si="167"/>
        <v>0</v>
      </c>
      <c r="DB65" s="787">
        <f>IF(OR($G9=0,$BF7&lt;&gt;"NSX",$D9&gt;250),0,ROUNDDOWN(($A$60-SUM(DD$63:DD64))/$G9,0))</f>
        <v>0</v>
      </c>
      <c r="DC65" s="442">
        <f>IF(DB65&gt;=$F9-SUMIF($CK$62:CZ$62,"Кол-во",$CK65:CZ65),$F9-SUMIF($CK$62:CZ$62,"Кол-во",$CK65:CZ65),DB65)</f>
        <v>0</v>
      </c>
      <c r="DD65" s="442">
        <f t="shared" si="168"/>
        <v>0</v>
      </c>
      <c r="DE65" s="787">
        <f>IF(OR($G9=0,$BF7&lt;&gt;"NSX",$D9&gt;250),0,ROUNDDOWN(($A$60-SUM(DG$63:DG64))/$G9,0))</f>
        <v>0</v>
      </c>
      <c r="DF65" s="442">
        <f>IF(DE65&gt;=$F9-SUMIF($CK$62:DC$62,"Кол-во",$CK65:DC65),$F9-SUMIF($CK$62:DC$62,"Кол-во",$CK65:DC65),DE65)</f>
        <v>0</v>
      </c>
      <c r="DG65" s="442">
        <f t="shared" si="169"/>
        <v>0</v>
      </c>
      <c r="DH65" s="787">
        <f>IF(OR($G9=0,$BF7&lt;&gt;"NSX",$D9&gt;250),0,ROUNDDOWN(($A$60-SUM(DJ$63:DJ64))/$G9,0))</f>
        <v>0</v>
      </c>
      <c r="DI65" s="442">
        <f>IF(DH65&gt;=$F9-SUMIF($CK$62:DF$62,"Кол-во",$CK65:DF65),$F9-SUMIF($CK$62:DF$62,"Кол-во",$CK65:DF65),DH65)</f>
        <v>0</v>
      </c>
      <c r="DJ65" s="442">
        <f t="shared" si="170"/>
        <v>0</v>
      </c>
      <c r="DK65" s="787">
        <f>IF(OR($G9=0,$BF7&lt;&gt;"NSX",$D9&gt;250),0,ROUNDDOWN(($A$60-SUM(DM$63:DM64))/$G9,0))</f>
        <v>0</v>
      </c>
      <c r="DL65" s="442">
        <f>IF(DK65&gt;=$F9-SUMIF($CK$62:DI$62,"Кол-во",$CK65:DI65),$F9-SUMIF($CK$62:DI$62,"Кол-во",$CK65:DI65),DK65)</f>
        <v>0</v>
      </c>
      <c r="DM65" s="442">
        <f t="shared" si="171"/>
        <v>0</v>
      </c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I65" s="37"/>
      <c r="GJ65" s="37"/>
      <c r="GK65" s="37"/>
      <c r="GL65" s="37"/>
      <c r="GM65" s="37"/>
      <c r="GO65" s="7"/>
      <c r="GP65" s="7"/>
      <c r="GQ65" s="7"/>
      <c r="GR65" s="7"/>
      <c r="GS65" s="7"/>
      <c r="GT65" s="7"/>
      <c r="GU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I65" s="7"/>
      <c r="IJ65" s="7"/>
      <c r="IK65" s="7"/>
    </row>
    <row r="66" spans="1:245" ht="13.5" thickBot="1" x14ac:dyDescent="0.25">
      <c r="A66" s="701">
        <f>D66*H66</f>
        <v>200</v>
      </c>
      <c r="B66" s="704">
        <v>400</v>
      </c>
      <c r="C66" s="67">
        <v>279</v>
      </c>
      <c r="D66" s="1184">
        <v>200</v>
      </c>
      <c r="E66" s="1187">
        <f>SUM(CL29:DM29)</f>
        <v>216</v>
      </c>
      <c r="F66" s="707"/>
      <c r="G66" s="706"/>
      <c r="H66" s="1188">
        <f>COUNTIF(CL29:DM29,"&gt;0")</f>
        <v>1</v>
      </c>
      <c r="I66" s="1173">
        <f>IFERROR(INDEX(CL30:DM30,1,3*$H$66-2),0)</f>
        <v>63</v>
      </c>
      <c r="J66" s="1176">
        <f>ROUNDDOWN(I66/9,0)</f>
        <v>7</v>
      </c>
      <c r="S66" s="22"/>
      <c r="T66" s="22"/>
      <c r="U66" s="22"/>
      <c r="V66" s="22"/>
      <c r="W66" s="22"/>
      <c r="X66" s="22"/>
      <c r="Y66" s="417"/>
      <c r="Z66" s="417"/>
      <c r="AA66" s="22"/>
      <c r="AB66" s="37"/>
      <c r="AC66" s="37"/>
      <c r="AD66" s="37"/>
      <c r="AE66" s="37"/>
      <c r="AF66" s="37"/>
      <c r="AG66" s="37"/>
      <c r="AH66" s="27"/>
      <c r="AI66" s="36"/>
      <c r="AJ66" s="38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554"/>
      <c r="BM66" s="554"/>
      <c r="BN66" s="554"/>
      <c r="BO66" s="554"/>
      <c r="BP66" s="554"/>
      <c r="BQ66" s="554"/>
      <c r="BR66" s="554"/>
      <c r="BS66" s="554"/>
      <c r="BT66" s="554"/>
      <c r="BU66" s="554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442" t="s">
        <v>88</v>
      </c>
      <c r="CJ66" s="442">
        <f>IF(OR($G10=0,$B10&lt;&gt;"NSX",$D10&lt;=250),0,ROUNDDOWN(($A$51-SUM($CL$63:$CL65))/$G10,0))</f>
        <v>0</v>
      </c>
      <c r="CK66" s="442">
        <f t="shared" si="161"/>
        <v>0</v>
      </c>
      <c r="CL66" s="442">
        <f t="shared" si="162"/>
        <v>0</v>
      </c>
      <c r="CM66" s="442">
        <f>IF(OR($G10=0,$BF8&lt;&gt;"NSX",$D10&gt;250),0,ROUNDDOWN(($A$60-SUM(CO$63:CO65))/$G10,0))</f>
        <v>0</v>
      </c>
      <c r="CN66" s="442">
        <f>IF(CM66&gt;=$F10-SUMIF($CK$62:CK$62,"Кол-во",$CK66:CK66),$F10-SUMIF($CK$62:CK$62,"Кол-во",$CK66:CK66),CM66)</f>
        <v>0</v>
      </c>
      <c r="CO66" s="442">
        <f t="shared" si="163"/>
        <v>0</v>
      </c>
      <c r="CP66" s="442">
        <f>IF(OR($G10=0,$BF8&lt;&gt;"NSX",$D10&gt;250),0,ROUNDDOWN(($A$60-SUM(CR$63:CR65))/$G10,0))</f>
        <v>0</v>
      </c>
      <c r="CQ66" s="442">
        <f>IF(CP66&gt;=$F10-SUMIF($CK$62:CN$62,"Кол-во",$CK66:CN66),$F10-SUMIF($CK$62:CN$62,"Кол-во",$CK66:CN66),CP66)</f>
        <v>0</v>
      </c>
      <c r="CR66" s="442">
        <f t="shared" si="164"/>
        <v>0</v>
      </c>
      <c r="CS66" s="442">
        <f>IF(OR($G10=0,$BF8&lt;&gt;"NSX",$D10&gt;250),0,ROUNDDOWN(($A$60-SUM(CU$63:CU65))/$G10,0))</f>
        <v>0</v>
      </c>
      <c r="CT66" s="442">
        <f>IF(CS66&gt;=$F10-SUMIF($CK$62:CQ$62,"Кол-во",$CK66:CQ66),$F10-SUMIF($CK$62:CQ$62,"Кол-во",$CK66:CQ66),CS66)</f>
        <v>0</v>
      </c>
      <c r="CU66" s="442">
        <f t="shared" si="165"/>
        <v>0</v>
      </c>
      <c r="CV66" s="787">
        <f>IF(OR($G10=0,$BF8&lt;&gt;"NSX",$D10&gt;250),0,ROUNDDOWN(($A$60-SUM(CX$63:CX65))/$G10,0))</f>
        <v>0</v>
      </c>
      <c r="CW66" s="442">
        <f>IF(CV66&gt;=$F10-SUMIF($CK$62:CT$62,"Кол-во",$CK66:CT66),$F10-SUMIF($CK$62:CT$62,"Кол-во",$CK66:CT66),CV66)</f>
        <v>0</v>
      </c>
      <c r="CX66" s="442">
        <f t="shared" si="166"/>
        <v>0</v>
      </c>
      <c r="CY66" s="787">
        <f>IF(OR($G10=0,$BF8&lt;&gt;"NSX",$D10&gt;250),0,ROUNDDOWN(($A$60-SUM(DA$63:DA65))/$G10,0))</f>
        <v>0</v>
      </c>
      <c r="CZ66" s="442">
        <f>IF(CY66&gt;=$F10-SUMIF($CK$62:CW$62,"Кол-во",$CK66:CW66),$F10-SUMIF($CK$62:CW$62,"Кол-во",$CK66:CW66),CY66)</f>
        <v>0</v>
      </c>
      <c r="DA66" s="442">
        <f t="shared" si="167"/>
        <v>0</v>
      </c>
      <c r="DB66" s="787">
        <f>IF(OR($G10=0,$BF8&lt;&gt;"NSX",$D10&gt;250),0,ROUNDDOWN(($A$60-SUM(DD$63:DD65))/$G10,0))</f>
        <v>0</v>
      </c>
      <c r="DC66" s="442">
        <f>IF(DB66&gt;=$F10-SUMIF($CK$62:CZ$62,"Кол-во",$CK66:CZ66),$F10-SUMIF($CK$62:CZ$62,"Кол-во",$CK66:CZ66),DB66)</f>
        <v>0</v>
      </c>
      <c r="DD66" s="442">
        <f t="shared" si="168"/>
        <v>0</v>
      </c>
      <c r="DE66" s="787">
        <f>IF(OR($G10=0,$BF8&lt;&gt;"NSX",$D10&gt;250),0,ROUNDDOWN(($A$60-SUM(DG$63:DG65))/$G10,0))</f>
        <v>0</v>
      </c>
      <c r="DF66" s="442">
        <f>IF(DE66&gt;=$F10-SUMIF($CK$62:DC$62,"Кол-во",$CK66:DC66),$F10-SUMIF($CK$62:DC$62,"Кол-во",$CK66:DC66),DE66)</f>
        <v>0</v>
      </c>
      <c r="DG66" s="442">
        <f t="shared" si="169"/>
        <v>0</v>
      </c>
      <c r="DH66" s="787">
        <f>IF(OR($G10=0,$BF8&lt;&gt;"NSX",$D10&gt;250),0,ROUNDDOWN(($A$60-SUM(DJ$63:DJ65))/$G10,0))</f>
        <v>0</v>
      </c>
      <c r="DI66" s="442">
        <f>IF(DH66&gt;=$F10-SUMIF($CK$62:DF$62,"Кол-во",$CK66:DF66),$F10-SUMIF($CK$62:DF$62,"Кол-во",$CK66:DF66),DH66)</f>
        <v>0</v>
      </c>
      <c r="DJ66" s="442">
        <f t="shared" si="170"/>
        <v>0</v>
      </c>
      <c r="DK66" s="787">
        <f>IF(OR($G10=0,$BF8&lt;&gt;"NSX",$D10&gt;250),0,ROUNDDOWN(($A$60-SUM(DM$63:DM65))/$G10,0))</f>
        <v>0</v>
      </c>
      <c r="DL66" s="442">
        <f>IF(DK66&gt;=$F10-SUMIF($CK$62:DI$62,"Кол-во",$CK66:DI66),$F10-SUMIF($CK$62:DI$62,"Кол-во",$CK66:DI66),DK66)</f>
        <v>0</v>
      </c>
      <c r="DM66" s="442">
        <f t="shared" si="171"/>
        <v>0</v>
      </c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I66" s="37"/>
      <c r="GJ66" s="37"/>
      <c r="GK66" s="37"/>
      <c r="GL66" s="37"/>
      <c r="GM66" s="37"/>
      <c r="GO66" s="7"/>
      <c r="GP66" s="7"/>
      <c r="GQ66" s="7"/>
      <c r="GR66" s="7"/>
      <c r="GS66" s="7"/>
      <c r="GT66" s="7"/>
      <c r="GU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I66" s="7"/>
      <c r="IJ66" s="7"/>
      <c r="IK66" s="7"/>
    </row>
    <row r="67" spans="1:245" x14ac:dyDescent="0.2">
      <c r="A67" s="905" t="s">
        <v>454</v>
      </c>
      <c r="B67" s="130">
        <v>600</v>
      </c>
      <c r="C67" s="695">
        <v>450</v>
      </c>
      <c r="D67" s="1185"/>
      <c r="E67" s="1179"/>
      <c r="F67" s="707"/>
      <c r="G67" s="712"/>
      <c r="H67" s="1165"/>
      <c r="I67" s="1174"/>
      <c r="J67" s="1177"/>
      <c r="L67" s="7"/>
      <c r="M67" s="7"/>
      <c r="N67" s="7"/>
      <c r="O67" s="7"/>
      <c r="P67" s="7"/>
      <c r="Q67" s="7"/>
      <c r="R67" s="7"/>
      <c r="S67" s="22"/>
      <c r="T67" s="22"/>
      <c r="U67" s="22"/>
      <c r="V67" s="22"/>
      <c r="W67" s="22"/>
      <c r="X67" s="22"/>
      <c r="Y67" s="417"/>
      <c r="Z67" s="417"/>
      <c r="AA67" s="22"/>
      <c r="AB67" s="37"/>
      <c r="AC67" s="37"/>
      <c r="AD67" s="37"/>
      <c r="AE67" s="37"/>
      <c r="AF67" s="37"/>
      <c r="AG67" s="37"/>
      <c r="AH67" s="27"/>
      <c r="AI67" s="36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554"/>
      <c r="BM67" s="554"/>
      <c r="BN67" s="554"/>
      <c r="BO67" s="554"/>
      <c r="BP67" s="554"/>
      <c r="BQ67" s="554"/>
      <c r="BR67" s="554"/>
      <c r="BS67" s="554"/>
      <c r="BT67" s="554"/>
      <c r="BU67" s="554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442" t="s">
        <v>89</v>
      </c>
      <c r="CJ67" s="442">
        <f>IF(OR($G11=0,$B11&lt;&gt;"NSX",$D11&lt;=250),0,ROUNDDOWN(($A$51-SUM($CL$63:$CL66))/$G11,0))</f>
        <v>0</v>
      </c>
      <c r="CK67" s="442">
        <f t="shared" si="161"/>
        <v>0</v>
      </c>
      <c r="CL67" s="442">
        <f t="shared" si="162"/>
        <v>0</v>
      </c>
      <c r="CM67" s="442">
        <f>IF(OR($G11=0,$BF9&lt;&gt;"NSX",$D11&gt;250),0,ROUNDDOWN(($A$60-SUM(CO$63:CO66))/$G11,0))</f>
        <v>0</v>
      </c>
      <c r="CN67" s="442">
        <f>IF(CM67&gt;=$F11-SUMIF($CK$62:CK$62,"Кол-во",$CK67:CK67),$F11-SUMIF($CK$62:CK$62,"Кол-во",$CK67:CK67),CM67)</f>
        <v>0</v>
      </c>
      <c r="CO67" s="442">
        <f t="shared" si="163"/>
        <v>0</v>
      </c>
      <c r="CP67" s="442">
        <f>IF(OR($G11=0,$BF9&lt;&gt;"NSX",$D11&gt;250),0,ROUNDDOWN(($A$60-SUM(CR$63:CR66))/$G11,0))</f>
        <v>0</v>
      </c>
      <c r="CQ67" s="442">
        <f>IF(CP67&gt;=$F11-SUMIF($CK$62:CN$62,"Кол-во",$CK67:CN67),$F11-SUMIF($CK$62:CN$62,"Кол-во",$CK67:CN67),CP67)</f>
        <v>0</v>
      </c>
      <c r="CR67" s="442">
        <f t="shared" si="164"/>
        <v>0</v>
      </c>
      <c r="CS67" s="442">
        <f>IF(OR($G11=0,$BF9&lt;&gt;"NSX",$D11&gt;250),0,ROUNDDOWN(($A$60-SUM(CU$63:CU66))/$G11,0))</f>
        <v>0</v>
      </c>
      <c r="CT67" s="442">
        <f>IF(CS67&gt;=$F11-SUMIF($CK$62:CQ$62,"Кол-во",$CK67:CQ67),$F11-SUMIF($CK$62:CQ$62,"Кол-во",$CK67:CQ67),CS67)</f>
        <v>0</v>
      </c>
      <c r="CU67" s="442">
        <f t="shared" si="165"/>
        <v>0</v>
      </c>
      <c r="CV67" s="787">
        <f>IF(OR($G11=0,$BF9&lt;&gt;"NSX",$D11&gt;250),0,ROUNDDOWN(($A$60-SUM(CX$63:CX66))/$G11,0))</f>
        <v>0</v>
      </c>
      <c r="CW67" s="442">
        <f>IF(CV67&gt;=$F11-SUMIF($CK$62:CT$62,"Кол-во",$CK67:CT67),$F11-SUMIF($CK$62:CT$62,"Кол-во",$CK67:CT67),CV67)</f>
        <v>0</v>
      </c>
      <c r="CX67" s="442">
        <f t="shared" si="166"/>
        <v>0</v>
      </c>
      <c r="CY67" s="787">
        <f>IF(OR($G11=0,$BF9&lt;&gt;"NSX",$D11&gt;250),0,ROUNDDOWN(($A$60-SUM(DA$63:DA66))/$G11,0))</f>
        <v>0</v>
      </c>
      <c r="CZ67" s="442">
        <f>IF(CY67&gt;=$F11-SUMIF($CK$62:CW$62,"Кол-во",$CK67:CW67),$F11-SUMIF($CK$62:CW$62,"Кол-во",$CK67:CW67),CY67)</f>
        <v>0</v>
      </c>
      <c r="DA67" s="442">
        <f t="shared" si="167"/>
        <v>0</v>
      </c>
      <c r="DB67" s="787">
        <f>IF(OR($G11=0,$BF9&lt;&gt;"NSX",$D11&gt;250),0,ROUNDDOWN(($A$60-SUM(DD$63:DD66))/$G11,0))</f>
        <v>0</v>
      </c>
      <c r="DC67" s="442">
        <f>IF(DB67&gt;=$F11-SUMIF($CK$62:CZ$62,"Кол-во",$CK67:CZ67),$F11-SUMIF($CK$62:CZ$62,"Кол-во",$CK67:CZ67),DB67)</f>
        <v>0</v>
      </c>
      <c r="DD67" s="442">
        <f t="shared" si="168"/>
        <v>0</v>
      </c>
      <c r="DE67" s="787">
        <f>IF(OR($G11=0,$BF9&lt;&gt;"NSX",$D11&gt;250),0,ROUNDDOWN(($A$60-SUM(DG$63:DG66))/$G11,0))</f>
        <v>0</v>
      </c>
      <c r="DF67" s="442">
        <f>IF(DE67&gt;=$F11-SUMIF($CK$62:DC$62,"Кол-во",$CK67:DC67),$F11-SUMIF($CK$62:DC$62,"Кол-во",$CK67:DC67),DE67)</f>
        <v>0</v>
      </c>
      <c r="DG67" s="442">
        <f t="shared" si="169"/>
        <v>0</v>
      </c>
      <c r="DH67" s="787">
        <f>IF(OR($G11=0,$BF9&lt;&gt;"NSX",$D11&gt;250),0,ROUNDDOWN(($A$60-SUM(DJ$63:DJ66))/$G11,0))</f>
        <v>0</v>
      </c>
      <c r="DI67" s="442">
        <f>IF(DH67&gt;=$F11-SUMIF($CK$62:DF$62,"Кол-во",$CK67:DF67),$F11-SUMIF($CK$62:DF$62,"Кол-во",$CK67:DF67),DH67)</f>
        <v>0</v>
      </c>
      <c r="DJ67" s="442">
        <f t="shared" si="170"/>
        <v>0</v>
      </c>
      <c r="DK67" s="787">
        <f>IF(OR($G11=0,$BF9&lt;&gt;"NSX",$D11&gt;250),0,ROUNDDOWN(($A$60-SUM(DM$63:DM66))/$G11,0))</f>
        <v>0</v>
      </c>
      <c r="DL67" s="442">
        <f>IF(DK67&gt;=$F11-SUMIF($CK$62:DI$62,"Кол-во",$CK67:DI67),$F11-SUMIF($CK$62:DI$62,"Кол-во",$CK67:DI67),DK67)</f>
        <v>0</v>
      </c>
      <c r="DM67" s="442">
        <f t="shared" si="171"/>
        <v>0</v>
      </c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I67" s="37"/>
      <c r="GJ67" s="37"/>
      <c r="GK67" s="37"/>
      <c r="GL67" s="37"/>
      <c r="GM67" s="37"/>
      <c r="GO67" s="7"/>
      <c r="GP67" s="7"/>
      <c r="GQ67" s="7"/>
      <c r="GR67" s="7"/>
      <c r="GS67" s="7"/>
      <c r="GT67" s="7"/>
      <c r="GU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I67" s="7"/>
      <c r="IJ67" s="7"/>
      <c r="IK67" s="7"/>
    </row>
    <row r="68" spans="1:245" ht="13.5" customHeight="1" thickBot="1" x14ac:dyDescent="0.25">
      <c r="A68" s="134">
        <f>VLOOKUP($A$99,B66:C70,2)</f>
        <v>279</v>
      </c>
      <c r="B68" s="130">
        <v>800</v>
      </c>
      <c r="C68" s="695">
        <v>648</v>
      </c>
      <c r="D68" s="1185"/>
      <c r="E68" s="1179"/>
      <c r="F68" s="705"/>
      <c r="G68" s="117"/>
      <c r="H68" s="1165"/>
      <c r="I68" s="1174"/>
      <c r="J68" s="1177"/>
      <c r="L68" s="448"/>
      <c r="M68" s="448"/>
      <c r="N68" s="448"/>
      <c r="O68" s="448"/>
      <c r="P68" s="448"/>
      <c r="Q68" s="27"/>
      <c r="R68" s="27"/>
      <c r="S68" s="22"/>
      <c r="T68" s="22"/>
      <c r="U68" s="22"/>
      <c r="V68" s="22"/>
      <c r="W68" s="22"/>
      <c r="X68" s="22"/>
      <c r="Y68" s="417"/>
      <c r="Z68" s="417"/>
      <c r="AA68" s="22"/>
      <c r="AB68" s="37"/>
      <c r="AC68" s="37"/>
      <c r="AD68" s="37"/>
      <c r="AE68" s="37"/>
      <c r="AF68" s="37"/>
      <c r="AG68" s="37"/>
      <c r="AH68" s="27"/>
      <c r="AI68" s="36"/>
      <c r="AJ68" s="39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554"/>
      <c r="BM68" s="554"/>
      <c r="BN68" s="554"/>
      <c r="BO68" s="554"/>
      <c r="BP68" s="554"/>
      <c r="BQ68" s="554"/>
      <c r="BR68" s="554"/>
      <c r="BS68" s="554"/>
      <c r="BT68" s="554"/>
      <c r="BU68" s="554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442" t="s">
        <v>90</v>
      </c>
      <c r="CJ68" s="442">
        <f>IF(OR($G12=0,$B12&lt;&gt;"NSX",$D12&lt;=250),0,ROUNDDOWN(($A$51-SUM($CL$63:$CL67))/$G12,0))</f>
        <v>0</v>
      </c>
      <c r="CK68" s="442">
        <f t="shared" si="161"/>
        <v>0</v>
      </c>
      <c r="CL68" s="442">
        <f t="shared" si="162"/>
        <v>0</v>
      </c>
      <c r="CM68" s="442">
        <f>IF(OR($G12=0,$BF10&lt;&gt;"NSX",$D12&gt;250),0,ROUNDDOWN(($A$60-SUM(CO$63:CO67))/$G12,0))</f>
        <v>0</v>
      </c>
      <c r="CN68" s="442">
        <f>IF(CM68&gt;=$F12-SUMIF($CK$62:CK$62,"Кол-во",$CK68:CK68),$F12-SUMIF($CK$62:CK$62,"Кол-во",$CK68:CK68),CM68)</f>
        <v>0</v>
      </c>
      <c r="CO68" s="442">
        <f t="shared" si="163"/>
        <v>0</v>
      </c>
      <c r="CP68" s="442">
        <f>IF(OR($G12=0,$BF10&lt;&gt;"NSX",$D12&gt;250),0,ROUNDDOWN(($A$60-SUM(CR$63:CR67))/$G12,0))</f>
        <v>0</v>
      </c>
      <c r="CQ68" s="442">
        <f>IF(CP68&gt;=$F12-SUMIF($CK$62:CN$62,"Кол-во",$CK68:CN68),$F12-SUMIF($CK$62:CN$62,"Кол-во",$CK68:CN68),CP68)</f>
        <v>0</v>
      </c>
      <c r="CR68" s="442">
        <f t="shared" si="164"/>
        <v>0</v>
      </c>
      <c r="CS68" s="442">
        <f>IF(OR($G12=0,$BF10&lt;&gt;"NSX",$D12&gt;250),0,ROUNDDOWN(($A$60-SUM(CU$63:CU67))/$G12,0))</f>
        <v>0</v>
      </c>
      <c r="CT68" s="442">
        <f>IF(CS68&gt;=$F12-SUMIF($CK$62:CQ$62,"Кол-во",$CK68:CQ68),$F12-SUMIF($CK$62:CQ$62,"Кол-во",$CK68:CQ68),CS68)</f>
        <v>0</v>
      </c>
      <c r="CU68" s="442">
        <f t="shared" si="165"/>
        <v>0</v>
      </c>
      <c r="CV68" s="787">
        <f>IF(OR($G12=0,$BF10&lt;&gt;"NSX",$D12&gt;250),0,ROUNDDOWN(($A$60-SUM(CX$63:CX67))/$G12,0))</f>
        <v>0</v>
      </c>
      <c r="CW68" s="442">
        <f>IF(CV68&gt;=$F12-SUMIF($CK$62:CT$62,"Кол-во",$CK68:CT68),$F12-SUMIF($CK$62:CT$62,"Кол-во",$CK68:CT68),CV68)</f>
        <v>0</v>
      </c>
      <c r="CX68" s="442">
        <f t="shared" si="166"/>
        <v>0</v>
      </c>
      <c r="CY68" s="787">
        <f>IF(OR($G12=0,$BF10&lt;&gt;"NSX",$D12&gt;250),0,ROUNDDOWN(($A$60-SUM(DA$63:DA67))/$G12,0))</f>
        <v>0</v>
      </c>
      <c r="CZ68" s="442">
        <f>IF(CY68&gt;=$F12-SUMIF($CK$62:CW$62,"Кол-во",$CK68:CW68),$F12-SUMIF($CK$62:CW$62,"Кол-во",$CK68:CW68),CY68)</f>
        <v>0</v>
      </c>
      <c r="DA68" s="442">
        <f t="shared" si="167"/>
        <v>0</v>
      </c>
      <c r="DB68" s="787">
        <f>IF(OR($G12=0,$BF10&lt;&gt;"NSX",$D12&gt;250),0,ROUNDDOWN(($A$60-SUM(DD$63:DD67))/$G12,0))</f>
        <v>0</v>
      </c>
      <c r="DC68" s="442">
        <f>IF(DB68&gt;=$F12-SUMIF($CK$62:CZ$62,"Кол-во",$CK68:CZ68),$F12-SUMIF($CK$62:CZ$62,"Кол-во",$CK68:CZ68),DB68)</f>
        <v>0</v>
      </c>
      <c r="DD68" s="442">
        <f t="shared" si="168"/>
        <v>0</v>
      </c>
      <c r="DE68" s="787">
        <f>IF(OR($G12=0,$BF10&lt;&gt;"NSX",$D12&gt;250),0,ROUNDDOWN(($A$60-SUM(DG$63:DG67))/$G12,0))</f>
        <v>0</v>
      </c>
      <c r="DF68" s="442">
        <f>IF(DE68&gt;=$F12-SUMIF($CK$62:DC$62,"Кол-во",$CK68:DC68),$F12-SUMIF($CK$62:DC$62,"Кол-во",$CK68:DC68),DE68)</f>
        <v>0</v>
      </c>
      <c r="DG68" s="442">
        <f t="shared" si="169"/>
        <v>0</v>
      </c>
      <c r="DH68" s="787">
        <f>IF(OR($G12=0,$BF10&lt;&gt;"NSX",$D12&gt;250),0,ROUNDDOWN(($A$60-SUM(DJ$63:DJ67))/$G12,0))</f>
        <v>0</v>
      </c>
      <c r="DI68" s="442">
        <f>IF(DH68&gt;=$F12-SUMIF($CK$62:DF$62,"Кол-во",$CK68:DF68),$F12-SUMIF($CK$62:DF$62,"Кол-во",$CK68:DF68),DH68)</f>
        <v>0</v>
      </c>
      <c r="DJ68" s="442">
        <f t="shared" si="170"/>
        <v>0</v>
      </c>
      <c r="DK68" s="787">
        <f>IF(OR($G12=0,$BF10&lt;&gt;"NSX",$D12&gt;250),0,ROUNDDOWN(($A$60-SUM(DM$63:DM67))/$G12,0))</f>
        <v>0</v>
      </c>
      <c r="DL68" s="442">
        <f>IF(DK68&gt;=$F12-SUMIF($CK$62:DI$62,"Кол-во",$CK68:DI68),$F12-SUMIF($CK$62:DI$62,"Кол-во",$CK68:DI68),DK68)</f>
        <v>0</v>
      </c>
      <c r="DM68" s="442">
        <f t="shared" si="171"/>
        <v>0</v>
      </c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I68" s="37"/>
      <c r="GJ68" s="37"/>
      <c r="GK68" s="37"/>
      <c r="GL68" s="37"/>
      <c r="GM68" s="37"/>
      <c r="GO68" s="7"/>
      <c r="GP68" s="7"/>
      <c r="GQ68" s="7"/>
      <c r="GR68" s="7"/>
      <c r="GS68" s="7"/>
      <c r="GT68" s="7"/>
      <c r="GU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G68" s="7"/>
      <c r="IH68" s="7"/>
      <c r="II68" s="7"/>
      <c r="IJ68" s="7"/>
      <c r="IK68" s="7"/>
    </row>
    <row r="69" spans="1:245" x14ac:dyDescent="0.2">
      <c r="A69" s="117"/>
      <c r="B69" s="714">
        <v>1000</v>
      </c>
      <c r="C69" s="718">
        <f>C68+200</f>
        <v>848</v>
      </c>
      <c r="D69" s="1185"/>
      <c r="E69" s="1179"/>
      <c r="F69" s="705"/>
      <c r="G69" s="117"/>
      <c r="H69" s="1165"/>
      <c r="I69" s="1174"/>
      <c r="J69" s="1177"/>
      <c r="L69" s="448"/>
      <c r="M69" s="448"/>
      <c r="N69" s="448"/>
      <c r="O69" s="448"/>
      <c r="P69" s="448"/>
      <c r="Q69" s="37"/>
      <c r="R69" s="37"/>
      <c r="S69" s="22"/>
      <c r="T69" s="22"/>
      <c r="U69" s="22"/>
      <c r="V69" s="22"/>
      <c r="W69" s="22"/>
      <c r="X69" s="22"/>
      <c r="Y69" s="417"/>
      <c r="Z69" s="417"/>
      <c r="AA69" s="22"/>
      <c r="AB69" s="37"/>
      <c r="AC69" s="37"/>
      <c r="AD69" s="37"/>
      <c r="AE69" s="37"/>
      <c r="AF69" s="37"/>
      <c r="AG69" s="37"/>
      <c r="AH69" s="27"/>
      <c r="AI69" s="36"/>
      <c r="AJ69" s="38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554"/>
      <c r="BM69" s="554"/>
      <c r="BN69" s="554"/>
      <c r="BO69" s="554"/>
      <c r="BP69" s="554"/>
      <c r="BQ69" s="554"/>
      <c r="BR69" s="554"/>
      <c r="BS69" s="554"/>
      <c r="BT69" s="554"/>
      <c r="BU69" s="554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442" t="s">
        <v>91</v>
      </c>
      <c r="CJ69" s="442">
        <f>IF(OR($G13=0,$B13&lt;&gt;"NSX",$D13&lt;=250),0,ROUNDDOWN(($A$51-SUM($CL$63:$CL68))/$G13,0))</f>
        <v>0</v>
      </c>
      <c r="CK69" s="442">
        <f t="shared" si="161"/>
        <v>0</v>
      </c>
      <c r="CL69" s="442">
        <f t="shared" si="162"/>
        <v>0</v>
      </c>
      <c r="CM69" s="442">
        <f>IF(OR($G13=0,$BF11&lt;&gt;"NSX",$D13&gt;250),0,ROUNDDOWN(($A$60-SUM(CO$63:CO68))/$G13,0))</f>
        <v>0</v>
      </c>
      <c r="CN69" s="442">
        <f>IF(CM69&gt;=$F13-SUMIF($CK$62:CK$62,"Кол-во",$CK69:CK69),$F13-SUMIF($CK$62:CK$62,"Кол-во",$CK69:CK69),CM69)</f>
        <v>0</v>
      </c>
      <c r="CO69" s="442">
        <f t="shared" si="163"/>
        <v>0</v>
      </c>
      <c r="CP69" s="442">
        <f>IF(OR($G13=0,$BF11&lt;&gt;"NSX",$D13&gt;250),0,ROUNDDOWN(($A$60-SUM(CR$63:CR68))/$G13,0))</f>
        <v>0</v>
      </c>
      <c r="CQ69" s="442">
        <f>IF(CP69&gt;=$F13-SUMIF($CK$62:CN$62,"Кол-во",$CK69:CN69),$F13-SUMIF($CK$62:CN$62,"Кол-во",$CK69:CN69),CP69)</f>
        <v>0</v>
      </c>
      <c r="CR69" s="442">
        <f t="shared" si="164"/>
        <v>0</v>
      </c>
      <c r="CS69" s="442">
        <f>IF(OR($G13=0,$BF11&lt;&gt;"NSX",$D13&gt;250),0,ROUNDDOWN(($A$60-SUM(CU$63:CU68))/$G13,0))</f>
        <v>0</v>
      </c>
      <c r="CT69" s="442">
        <f>IF(CS69&gt;=$F13-SUMIF($CK$62:CQ$62,"Кол-во",$CK69:CQ69),$F13-SUMIF($CK$62:CQ$62,"Кол-во",$CK69:CQ69),CS69)</f>
        <v>0</v>
      </c>
      <c r="CU69" s="442">
        <f t="shared" si="165"/>
        <v>0</v>
      </c>
      <c r="CV69" s="787">
        <f>IF(OR($G13=0,$BF11&lt;&gt;"NSX",$D13&gt;250),0,ROUNDDOWN(($A$60-SUM(CX$63:CX68))/$G13,0))</f>
        <v>0</v>
      </c>
      <c r="CW69" s="442">
        <f>IF(CV69&gt;=$F13-SUMIF($CK$62:CT$62,"Кол-во",$CK69:CT69),$F13-SUMIF($CK$62:CT$62,"Кол-во",$CK69:CT69),CV69)</f>
        <v>0</v>
      </c>
      <c r="CX69" s="442">
        <f t="shared" si="166"/>
        <v>0</v>
      </c>
      <c r="CY69" s="787">
        <f>IF(OR($G13=0,$BF11&lt;&gt;"NSX",$D13&gt;250),0,ROUNDDOWN(($A$60-SUM(DA$63:DA68))/$G13,0))</f>
        <v>0</v>
      </c>
      <c r="CZ69" s="442">
        <f>IF(CY69&gt;=$F13-SUMIF($CK$62:CW$62,"Кол-во",$CK69:CW69),$F13-SUMIF($CK$62:CW$62,"Кол-во",$CK69:CW69),CY69)</f>
        <v>0</v>
      </c>
      <c r="DA69" s="442">
        <f t="shared" si="167"/>
        <v>0</v>
      </c>
      <c r="DB69" s="787">
        <f>IF(OR($G13=0,$BF11&lt;&gt;"NSX",$D13&gt;250),0,ROUNDDOWN(($A$60-SUM(DD$63:DD68))/$G13,0))</f>
        <v>0</v>
      </c>
      <c r="DC69" s="442">
        <f>IF(DB69&gt;=$F13-SUMIF($CK$62:CZ$62,"Кол-во",$CK69:CZ69),$F13-SUMIF($CK$62:CZ$62,"Кол-во",$CK69:CZ69),DB69)</f>
        <v>0</v>
      </c>
      <c r="DD69" s="442">
        <f t="shared" si="168"/>
        <v>0</v>
      </c>
      <c r="DE69" s="787">
        <f>IF(OR($G13=0,$BF11&lt;&gt;"NSX",$D13&gt;250),0,ROUNDDOWN(($A$60-SUM(DG$63:DG68))/$G13,0))</f>
        <v>0</v>
      </c>
      <c r="DF69" s="442">
        <f>IF(DE69&gt;=$F13-SUMIF($CK$62:DC$62,"Кол-во",$CK69:DC69),$F13-SUMIF($CK$62:DC$62,"Кол-во",$CK69:DC69),DE69)</f>
        <v>0</v>
      </c>
      <c r="DG69" s="442">
        <f t="shared" si="169"/>
        <v>0</v>
      </c>
      <c r="DH69" s="787">
        <f>IF(OR($G13=0,$BF11&lt;&gt;"NSX",$D13&gt;250),0,ROUNDDOWN(($A$60-SUM(DJ$63:DJ68))/$G13,0))</f>
        <v>0</v>
      </c>
      <c r="DI69" s="442">
        <f>IF(DH69&gt;=$F13-SUMIF($CK$62:DF$62,"Кол-во",$CK69:DF69),$F13-SUMIF($CK$62:DF$62,"Кол-во",$CK69:DF69),DH69)</f>
        <v>0</v>
      </c>
      <c r="DJ69" s="442">
        <f t="shared" si="170"/>
        <v>0</v>
      </c>
      <c r="DK69" s="787">
        <f>IF(OR($G13=0,$BF11&lt;&gt;"NSX",$D13&gt;250),0,ROUNDDOWN(($A$60-SUM(DM$63:DM68))/$G13,0))</f>
        <v>0</v>
      </c>
      <c r="DL69" s="442">
        <f>IF(DK69&gt;=$F13-SUMIF($CK$62:DI$62,"Кол-во",$CK69:DI69),$F13-SUMIF($CK$62:DI$62,"Кол-во",$CK69:DI69),DK69)</f>
        <v>0</v>
      </c>
      <c r="DM69" s="442">
        <f t="shared" si="171"/>
        <v>0</v>
      </c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I69" s="37"/>
      <c r="GJ69" s="37"/>
      <c r="GK69" s="37"/>
      <c r="GL69" s="37"/>
      <c r="GM69" s="37"/>
      <c r="GO69" s="7"/>
      <c r="GP69" s="7"/>
      <c r="GQ69" s="7"/>
      <c r="GR69" s="7"/>
      <c r="GS69" s="7"/>
      <c r="GT69" s="7"/>
      <c r="GU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G69" s="7"/>
      <c r="IH69" s="7"/>
      <c r="II69" s="7"/>
      <c r="IJ69" s="7"/>
      <c r="IK69" s="7"/>
    </row>
    <row r="70" spans="1:245" ht="13.5" thickBot="1" x14ac:dyDescent="0.25">
      <c r="A70" s="117"/>
      <c r="B70" s="715">
        <v>1200</v>
      </c>
      <c r="C70" s="719">
        <f>C69+200</f>
        <v>1048</v>
      </c>
      <c r="D70" s="1186"/>
      <c r="E70" s="1178"/>
      <c r="F70" s="708"/>
      <c r="G70" s="709"/>
      <c r="H70" s="1166"/>
      <c r="I70" s="1175"/>
      <c r="J70" s="1178"/>
      <c r="L70" s="37"/>
      <c r="M70" s="37"/>
      <c r="N70" s="448"/>
      <c r="O70" s="37"/>
      <c r="P70" s="37"/>
      <c r="Q70" s="448"/>
      <c r="R70" s="448"/>
      <c r="S70" s="22"/>
      <c r="T70" s="22"/>
      <c r="U70" s="22"/>
      <c r="V70" s="22"/>
      <c r="W70" s="22"/>
      <c r="X70" s="22"/>
      <c r="Y70" s="417"/>
      <c r="Z70" s="417"/>
      <c r="AA70" s="22"/>
      <c r="AB70" s="37"/>
      <c r="AC70" s="37"/>
      <c r="AD70" s="37"/>
      <c r="AE70" s="37"/>
      <c r="AF70" s="37"/>
      <c r="AG70" s="37"/>
      <c r="AH70" s="27"/>
      <c r="AI70" s="36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554"/>
      <c r="BM70" s="554"/>
      <c r="BN70" s="554"/>
      <c r="BO70" s="554"/>
      <c r="BP70" s="554"/>
      <c r="BQ70" s="554"/>
      <c r="BR70" s="554"/>
      <c r="BS70" s="554"/>
      <c r="BT70" s="554"/>
      <c r="BU70" s="554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442" t="s">
        <v>92</v>
      </c>
      <c r="CJ70" s="442">
        <f>IF(OR($G14=0,$B14&lt;&gt;"NSX",$D14&lt;=250),0,ROUNDDOWN(($A$51-SUM($CL$63:$CL69))/$G14,0))</f>
        <v>0</v>
      </c>
      <c r="CK70" s="442">
        <f t="shared" si="161"/>
        <v>0</v>
      </c>
      <c r="CL70" s="442">
        <f t="shared" si="162"/>
        <v>0</v>
      </c>
      <c r="CM70" s="442">
        <f>IF(OR($G14=0,$BF12&lt;&gt;"NSX",$D14&gt;250),0,ROUNDDOWN(($A$60-SUM(CO$63:CO69))/$G14,0))</f>
        <v>0</v>
      </c>
      <c r="CN70" s="442">
        <f>IF(CM70&gt;=$F14-SUMIF($CK$62:CK$62,"Кол-во",$CK70:CK70),$F14-SUMIF($CK$62:CK$62,"Кол-во",$CK70:CK70),CM70)</f>
        <v>0</v>
      </c>
      <c r="CO70" s="442">
        <f t="shared" si="163"/>
        <v>0</v>
      </c>
      <c r="CP70" s="442">
        <f>IF(OR($G14=0,$BF12&lt;&gt;"NSX",$D14&gt;250),0,ROUNDDOWN(($A$60-SUM(CR$63:CR69))/$G14,0))</f>
        <v>0</v>
      </c>
      <c r="CQ70" s="442">
        <f>IF(CP70&gt;=$F14-SUMIF($CK$62:CN$62,"Кол-во",$CK70:CN70),$F14-SUMIF($CK$62:CN$62,"Кол-во",$CK70:CN70),CP70)</f>
        <v>0</v>
      </c>
      <c r="CR70" s="442">
        <f t="shared" si="164"/>
        <v>0</v>
      </c>
      <c r="CS70" s="442">
        <f>IF(OR($G14=0,$BF12&lt;&gt;"NSX",$D14&gt;250),0,ROUNDDOWN(($A$60-SUM(CU$63:CU69))/$G14,0))</f>
        <v>0</v>
      </c>
      <c r="CT70" s="442">
        <f>IF(CS70&gt;=$F14-SUMIF($CK$62:CQ$62,"Кол-во",$CK70:CQ70),$F14-SUMIF($CK$62:CQ$62,"Кол-во",$CK70:CQ70),CS70)</f>
        <v>0</v>
      </c>
      <c r="CU70" s="442">
        <f t="shared" si="165"/>
        <v>0</v>
      </c>
      <c r="CV70" s="787">
        <f>IF(OR($G14=0,$BF12&lt;&gt;"NSX",$D14&gt;250),0,ROUNDDOWN(($A$60-SUM(CX$63:CX69))/$G14,0))</f>
        <v>0</v>
      </c>
      <c r="CW70" s="442">
        <f>IF(CV70&gt;=$F14-SUMIF($CK$62:CT$62,"Кол-во",$CK70:CT70),$F14-SUMIF($CK$62:CT$62,"Кол-во",$CK70:CT70),CV70)</f>
        <v>0</v>
      </c>
      <c r="CX70" s="442">
        <f t="shared" si="166"/>
        <v>0</v>
      </c>
      <c r="CY70" s="787">
        <f>IF(OR($G14=0,$BF12&lt;&gt;"NSX",$D14&gt;250),0,ROUNDDOWN(($A$60-SUM(DA$63:DA69))/$G14,0))</f>
        <v>0</v>
      </c>
      <c r="CZ70" s="442">
        <f>IF(CY70&gt;=$F14-SUMIF($CK$62:CW$62,"Кол-во",$CK70:CW70),$F14-SUMIF($CK$62:CW$62,"Кол-во",$CK70:CW70),CY70)</f>
        <v>0</v>
      </c>
      <c r="DA70" s="442">
        <f t="shared" si="167"/>
        <v>0</v>
      </c>
      <c r="DB70" s="787">
        <f>IF(OR($G14=0,$BF12&lt;&gt;"NSX",$D14&gt;250),0,ROUNDDOWN(($A$60-SUM(DD$63:DD69))/$G14,0))</f>
        <v>0</v>
      </c>
      <c r="DC70" s="442">
        <f>IF(DB70&gt;=$F14-SUMIF($CK$62:CZ$62,"Кол-во",$CK70:CZ70),$F14-SUMIF($CK$62:CZ$62,"Кол-во",$CK70:CZ70),DB70)</f>
        <v>0</v>
      </c>
      <c r="DD70" s="442">
        <f t="shared" si="168"/>
        <v>0</v>
      </c>
      <c r="DE70" s="787">
        <f>IF(OR($G14=0,$BF12&lt;&gt;"NSX",$D14&gt;250),0,ROUNDDOWN(($A$60-SUM(DG$63:DG69))/$G14,0))</f>
        <v>0</v>
      </c>
      <c r="DF70" s="442">
        <f>IF(DE70&gt;=$F14-SUMIF($CK$62:DC$62,"Кол-во",$CK70:DC70),$F14-SUMIF($CK$62:DC$62,"Кол-во",$CK70:DC70),DE70)</f>
        <v>0</v>
      </c>
      <c r="DG70" s="442">
        <f t="shared" si="169"/>
        <v>0</v>
      </c>
      <c r="DH70" s="787">
        <f>IF(OR($G14=0,$BF12&lt;&gt;"NSX",$D14&gt;250),0,ROUNDDOWN(($A$60-SUM(DJ$63:DJ69))/$G14,0))</f>
        <v>0</v>
      </c>
      <c r="DI70" s="442">
        <f>IF(DH70&gt;=$F14-SUMIF($CK$62:DF$62,"Кол-во",$CK70:DF70),$F14-SUMIF($CK$62:DF$62,"Кол-во",$CK70:DF70),DH70)</f>
        <v>0</v>
      </c>
      <c r="DJ70" s="442">
        <f t="shared" si="170"/>
        <v>0</v>
      </c>
      <c r="DK70" s="787">
        <f>IF(OR($G14=0,$BF12&lt;&gt;"NSX",$D14&gt;250),0,ROUNDDOWN(($A$60-SUM(DM$63:DM69))/$G14,0))</f>
        <v>0</v>
      </c>
      <c r="DL70" s="442">
        <f>IF(DK70&gt;=$F14-SUMIF($CK$62:DI$62,"Кол-во",$CK70:DI70),$F14-SUMIF($CK$62:DI$62,"Кол-во",$CK70:DI70),DK70)</f>
        <v>0</v>
      </c>
      <c r="DM70" s="442">
        <f t="shared" si="171"/>
        <v>0</v>
      </c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I70" s="37"/>
      <c r="GJ70" s="37"/>
      <c r="GK70" s="37"/>
      <c r="GL70" s="37"/>
      <c r="GM70" s="37"/>
      <c r="GO70" s="7"/>
      <c r="GP70" s="7"/>
      <c r="GQ70" s="7"/>
      <c r="GR70" s="7"/>
      <c r="GS70" s="7"/>
      <c r="GT70" s="7"/>
      <c r="GU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G70" s="7"/>
      <c r="IH70" s="7"/>
      <c r="II70" s="7"/>
      <c r="IJ70" s="7"/>
      <c r="IK70" s="7"/>
    </row>
    <row r="71" spans="1:245" x14ac:dyDescent="0.2">
      <c r="G71" s="37"/>
      <c r="H71" s="37"/>
      <c r="I71" s="448"/>
      <c r="J71" s="37"/>
      <c r="L71" s="37"/>
      <c r="M71" s="37"/>
      <c r="N71" s="448"/>
      <c r="O71" s="37"/>
      <c r="P71" s="37"/>
      <c r="Q71" s="448"/>
      <c r="R71" s="448"/>
      <c r="S71" s="22"/>
      <c r="T71" s="22"/>
      <c r="U71" s="22"/>
      <c r="V71" s="22"/>
      <c r="W71" s="22"/>
      <c r="X71" s="22"/>
      <c r="Y71" s="417"/>
      <c r="Z71" s="417"/>
      <c r="AA71" s="22"/>
      <c r="AB71" s="37"/>
      <c r="AC71" s="37"/>
      <c r="AD71" s="37"/>
      <c r="AE71" s="37"/>
      <c r="AF71" s="37"/>
      <c r="AG71" s="37"/>
      <c r="AH71" s="27"/>
      <c r="AI71" s="36"/>
      <c r="AJ71" s="39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554"/>
      <c r="BM71" s="554"/>
      <c r="BN71" s="554"/>
      <c r="BO71" s="554"/>
      <c r="BP71" s="554"/>
      <c r="BQ71" s="554"/>
      <c r="BR71" s="554"/>
      <c r="BS71" s="554"/>
      <c r="BT71" s="554"/>
      <c r="BU71" s="554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442" t="s">
        <v>93</v>
      </c>
      <c r="CJ71" s="442">
        <f>IF(OR($G15=0,$B15&lt;&gt;"NSX",$D15&lt;=250),0,ROUNDDOWN(($A$51-SUM($CL$63:$CL70))/$G15,0))</f>
        <v>0</v>
      </c>
      <c r="CK71" s="442">
        <f t="shared" si="161"/>
        <v>0</v>
      </c>
      <c r="CL71" s="442">
        <f t="shared" si="162"/>
        <v>0</v>
      </c>
      <c r="CM71" s="442">
        <f>IF(OR($G15=0,$BF13&lt;&gt;"NSX",$D15&gt;250),0,ROUNDDOWN(($A$60-SUM(CO$63:CO70))/$G15,0))</f>
        <v>0</v>
      </c>
      <c r="CN71" s="442">
        <f>IF(CM71&gt;=$F15-SUMIF($CK$62:CK$62,"Кол-во",$CK71:CK71),$F15-SUMIF($CK$62:CK$62,"Кол-во",$CK71:CK71),CM71)</f>
        <v>0</v>
      </c>
      <c r="CO71" s="442">
        <f t="shared" si="163"/>
        <v>0</v>
      </c>
      <c r="CP71" s="442">
        <f>IF(OR($G15=0,$BF13&lt;&gt;"NSX",$D15&gt;250),0,ROUNDDOWN(($A$60-SUM(CR$63:CR70))/$G15,0))</f>
        <v>0</v>
      </c>
      <c r="CQ71" s="442">
        <f>IF(CP71&gt;=$F15-SUMIF($CK$62:CN$62,"Кол-во",$CK71:CN71),$F15-SUMIF($CK$62:CN$62,"Кол-во",$CK71:CN71),CP71)</f>
        <v>0</v>
      </c>
      <c r="CR71" s="442">
        <f t="shared" si="164"/>
        <v>0</v>
      </c>
      <c r="CS71" s="442">
        <f>IF(OR($G15=0,$BF13&lt;&gt;"NSX",$D15&gt;250),0,ROUNDDOWN(($A$60-SUM(CU$63:CU70))/$G15,0))</f>
        <v>0</v>
      </c>
      <c r="CT71" s="442">
        <f>IF(CS71&gt;=$F15-SUMIF($CK$62:CQ$62,"Кол-во",$CK71:CQ71),$F15-SUMIF($CK$62:CQ$62,"Кол-во",$CK71:CQ71),CS71)</f>
        <v>0</v>
      </c>
      <c r="CU71" s="442">
        <f t="shared" si="165"/>
        <v>0</v>
      </c>
      <c r="CV71" s="787">
        <f>IF(OR($G15=0,$BF13&lt;&gt;"NSX",$D15&gt;250),0,ROUNDDOWN(($A$60-SUM(CX$63:CX70))/$G15,0))</f>
        <v>0</v>
      </c>
      <c r="CW71" s="442">
        <f>IF(CV71&gt;=$F15-SUMIF($CK$62:CT$62,"Кол-во",$CK71:CT71),$F15-SUMIF($CK$62:CT$62,"Кол-во",$CK71:CT71),CV71)</f>
        <v>0</v>
      </c>
      <c r="CX71" s="442">
        <f t="shared" si="166"/>
        <v>0</v>
      </c>
      <c r="CY71" s="787">
        <f>IF(OR($G15=0,$BF13&lt;&gt;"NSX",$D15&gt;250),0,ROUNDDOWN(($A$60-SUM(DA$63:DA70))/$G15,0))</f>
        <v>0</v>
      </c>
      <c r="CZ71" s="442">
        <f>IF(CY71&gt;=$F15-SUMIF($CK$62:CW$62,"Кол-во",$CK71:CW71),$F15-SUMIF($CK$62:CW$62,"Кол-во",$CK71:CW71),CY71)</f>
        <v>0</v>
      </c>
      <c r="DA71" s="442">
        <f t="shared" si="167"/>
        <v>0</v>
      </c>
      <c r="DB71" s="787">
        <f>IF(OR($G15=0,$BF13&lt;&gt;"NSX",$D15&gt;250),0,ROUNDDOWN(($A$60-SUM(DD$63:DD70))/$G15,0))</f>
        <v>0</v>
      </c>
      <c r="DC71" s="442">
        <f>IF(DB71&gt;=$F15-SUMIF($CK$62:CZ$62,"Кол-во",$CK71:CZ71),$F15-SUMIF($CK$62:CZ$62,"Кол-во",$CK71:CZ71),DB71)</f>
        <v>0</v>
      </c>
      <c r="DD71" s="442">
        <f t="shared" si="168"/>
        <v>0</v>
      </c>
      <c r="DE71" s="787">
        <f>IF(OR($G15=0,$BF13&lt;&gt;"NSX",$D15&gt;250),0,ROUNDDOWN(($A$60-SUM(DG$63:DG70))/$G15,0))</f>
        <v>0</v>
      </c>
      <c r="DF71" s="442">
        <f>IF(DE71&gt;=$F15-SUMIF($CK$62:DC$62,"Кол-во",$CK71:DC71),$F15-SUMIF($CK$62:DC$62,"Кол-во",$CK71:DC71),DE71)</f>
        <v>0</v>
      </c>
      <c r="DG71" s="442">
        <f t="shared" si="169"/>
        <v>0</v>
      </c>
      <c r="DH71" s="787">
        <f>IF(OR($G15=0,$BF13&lt;&gt;"NSX",$D15&gt;250),0,ROUNDDOWN(($A$60-SUM(DJ$63:DJ70))/$G15,0))</f>
        <v>0</v>
      </c>
      <c r="DI71" s="442">
        <f>IF(DH71&gt;=$F15-SUMIF($CK$62:DF$62,"Кол-во",$CK71:DF71),$F15-SUMIF($CK$62:DF$62,"Кол-во",$CK71:DF71),DH71)</f>
        <v>0</v>
      </c>
      <c r="DJ71" s="442">
        <f t="shared" si="170"/>
        <v>0</v>
      </c>
      <c r="DK71" s="787">
        <f>IF(OR($G15=0,$BF13&lt;&gt;"NSX",$D15&gt;250),0,ROUNDDOWN(($A$60-SUM(DM$63:DM70))/$G15,0))</f>
        <v>0</v>
      </c>
      <c r="DL71" s="442">
        <f>IF(DK71&gt;=$F15-SUMIF($CK$62:DI$62,"Кол-во",$CK71:DI71),$F15-SUMIF($CK$62:DI$62,"Кол-во",$CK71:DI71),DK71)</f>
        <v>0</v>
      </c>
      <c r="DM71" s="442">
        <f t="shared" si="171"/>
        <v>0</v>
      </c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I71" s="37"/>
      <c r="GJ71" s="37"/>
      <c r="GK71" s="37"/>
      <c r="GL71" s="37"/>
      <c r="GM71" s="37"/>
      <c r="GO71" s="7"/>
      <c r="GP71" s="7"/>
      <c r="GQ71" s="7"/>
      <c r="GR71" s="7"/>
      <c r="GS71" s="7"/>
      <c r="GT71" s="7"/>
      <c r="GU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G71" s="7"/>
      <c r="IH71" s="7"/>
      <c r="II71" s="7"/>
      <c r="IJ71" s="7"/>
      <c r="IK71" s="7"/>
    </row>
    <row r="72" spans="1:245" x14ac:dyDescent="0.2">
      <c r="A72" s="537" t="s">
        <v>103</v>
      </c>
      <c r="B72" s="537" t="s">
        <v>1112</v>
      </c>
      <c r="C72" s="537" t="s">
        <v>1113</v>
      </c>
      <c r="D72" s="22"/>
      <c r="E72" s="22"/>
      <c r="F72" s="22"/>
      <c r="G72" s="22"/>
      <c r="H72" s="22"/>
      <c r="I72" s="448"/>
      <c r="J72" s="37"/>
      <c r="L72" s="37"/>
      <c r="M72" s="37"/>
      <c r="N72" s="517"/>
      <c r="O72" s="37"/>
      <c r="P72" s="3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37"/>
      <c r="AC72" s="37"/>
      <c r="AD72" s="37"/>
      <c r="AE72" s="37"/>
      <c r="AF72" s="37"/>
      <c r="AG72" s="37"/>
      <c r="AH72" s="27"/>
      <c r="AI72" s="36"/>
      <c r="AJ72" s="39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554"/>
      <c r="BM72" s="554"/>
      <c r="BN72" s="554"/>
      <c r="BO72" s="554"/>
      <c r="BP72" s="554"/>
      <c r="BQ72" s="554"/>
      <c r="BR72" s="554"/>
      <c r="BS72" s="554"/>
      <c r="BT72" s="554"/>
      <c r="BU72" s="554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442" t="s">
        <v>94</v>
      </c>
      <c r="CJ72" s="442">
        <f>IF(OR($G16=0,$B16&lt;&gt;"NSX",$D16&lt;=250),0,ROUNDDOWN(($A$51-SUM($CL$63:$CL71))/$G16,0))</f>
        <v>0</v>
      </c>
      <c r="CK72" s="442">
        <f t="shared" si="161"/>
        <v>0</v>
      </c>
      <c r="CL72" s="442">
        <f t="shared" si="162"/>
        <v>0</v>
      </c>
      <c r="CM72" s="442">
        <f>IF(OR($G16=0,$BF14&lt;&gt;"NSX",$D16&gt;250),0,ROUNDDOWN(($A$60-SUM(CO$63:CO71))/$G16,0))</f>
        <v>0</v>
      </c>
      <c r="CN72" s="442">
        <f>IF(CM72&gt;=$F16-SUMIF($CK$62:CK$62,"Кол-во",$CK72:CK72),$F16-SUMIF($CK$62:CK$62,"Кол-во",$CK72:CK72),CM72)</f>
        <v>0</v>
      </c>
      <c r="CO72" s="442">
        <f t="shared" si="163"/>
        <v>0</v>
      </c>
      <c r="CP72" s="442">
        <f>IF(OR($G16=0,$BF14&lt;&gt;"NSX",$D16&gt;250),0,ROUNDDOWN(($A$60-SUM(CR$63:CR71))/$G16,0))</f>
        <v>0</v>
      </c>
      <c r="CQ72" s="442">
        <f>IF(CP72&gt;=$F16-SUMIF($CK$62:CN$62,"Кол-во",$CK72:CN72),$F16-SUMIF($CK$62:CN$62,"Кол-во",$CK72:CN72),CP72)</f>
        <v>0</v>
      </c>
      <c r="CR72" s="442">
        <f t="shared" si="164"/>
        <v>0</v>
      </c>
      <c r="CS72" s="442">
        <f>IF(OR($G16=0,$BF14&lt;&gt;"NSX",$D16&gt;250),0,ROUNDDOWN(($A$60-SUM(CU$63:CU71))/$G16,0))</f>
        <v>0</v>
      </c>
      <c r="CT72" s="442">
        <f>IF(CS72&gt;=$F16-SUMIF($CK$62:CQ$62,"Кол-во",$CK72:CQ72),$F16-SUMIF($CK$62:CQ$62,"Кол-во",$CK72:CQ72),CS72)</f>
        <v>0</v>
      </c>
      <c r="CU72" s="442">
        <f t="shared" si="165"/>
        <v>0</v>
      </c>
      <c r="CV72" s="787">
        <f>IF(OR($G16=0,$BF14&lt;&gt;"NSX",$D16&gt;250),0,ROUNDDOWN(($A$60-SUM(CX$63:CX71))/$G16,0))</f>
        <v>0</v>
      </c>
      <c r="CW72" s="442">
        <f>IF(CV72&gt;=$F16-SUMIF($CK$62:CT$62,"Кол-во",$CK72:CT72),$F16-SUMIF($CK$62:CT$62,"Кол-во",$CK72:CT72),CV72)</f>
        <v>0</v>
      </c>
      <c r="CX72" s="442">
        <f t="shared" si="166"/>
        <v>0</v>
      </c>
      <c r="CY72" s="787">
        <f>IF(OR($G16=0,$BF14&lt;&gt;"NSX",$D16&gt;250),0,ROUNDDOWN(($A$60-SUM(DA$63:DA71))/$G16,0))</f>
        <v>0</v>
      </c>
      <c r="CZ72" s="442">
        <f>IF(CY72&gt;=$F16-SUMIF($CK$62:CW$62,"Кол-во",$CK72:CW72),$F16-SUMIF($CK$62:CW$62,"Кол-во",$CK72:CW72),CY72)</f>
        <v>0</v>
      </c>
      <c r="DA72" s="442">
        <f t="shared" si="167"/>
        <v>0</v>
      </c>
      <c r="DB72" s="787">
        <f>IF(OR($G16=0,$BF14&lt;&gt;"NSX",$D16&gt;250),0,ROUNDDOWN(($A$60-SUM(DD$63:DD71))/$G16,0))</f>
        <v>0</v>
      </c>
      <c r="DC72" s="442">
        <f>IF(DB72&gt;=$F16-SUMIF($CK$62:CZ$62,"Кол-во",$CK72:CZ72),$F16-SUMIF($CK$62:CZ$62,"Кол-во",$CK72:CZ72),DB72)</f>
        <v>0</v>
      </c>
      <c r="DD72" s="442">
        <f t="shared" si="168"/>
        <v>0</v>
      </c>
      <c r="DE72" s="787">
        <f>IF(OR($G16=0,$BF14&lt;&gt;"NSX",$D16&gt;250),0,ROUNDDOWN(($A$60-SUM(DG$63:DG71))/$G16,0))</f>
        <v>0</v>
      </c>
      <c r="DF72" s="442">
        <f>IF(DE72&gt;=$F16-SUMIF($CK$62:DC$62,"Кол-во",$CK72:DC72),$F16-SUMIF($CK$62:DC$62,"Кол-во",$CK72:DC72),DE72)</f>
        <v>0</v>
      </c>
      <c r="DG72" s="442">
        <f t="shared" si="169"/>
        <v>0</v>
      </c>
      <c r="DH72" s="787">
        <f>IF(OR($G16=0,$BF14&lt;&gt;"NSX",$D16&gt;250),0,ROUNDDOWN(($A$60-SUM(DJ$63:DJ71))/$G16,0))</f>
        <v>0</v>
      </c>
      <c r="DI72" s="442">
        <f>IF(DH72&gt;=$F16-SUMIF($CK$62:DF$62,"Кол-во",$CK72:DF72),$F16-SUMIF($CK$62:DF$62,"Кол-во",$CK72:DF72),DH72)</f>
        <v>0</v>
      </c>
      <c r="DJ72" s="442">
        <f t="shared" si="170"/>
        <v>0</v>
      </c>
      <c r="DK72" s="787">
        <f>IF(OR($G16=0,$BF14&lt;&gt;"NSX",$D16&gt;250),0,ROUNDDOWN(($A$60-SUM(DM$63:DM71))/$G16,0))</f>
        <v>0</v>
      </c>
      <c r="DL72" s="442">
        <f>IF(DK72&gt;=$F16-SUMIF($CK$62:DI$62,"Кол-во",$CK72:DI72),$F16-SUMIF($CK$62:DI$62,"Кол-во",$CK72:DI72),DK72)</f>
        <v>0</v>
      </c>
      <c r="DM72" s="442">
        <f t="shared" si="171"/>
        <v>0</v>
      </c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I72" s="37"/>
      <c r="GJ72" s="37"/>
      <c r="GK72" s="37"/>
      <c r="GL72" s="37"/>
      <c r="GM72" s="37"/>
      <c r="GO72" s="7"/>
      <c r="GP72" s="7"/>
      <c r="GQ72" s="7"/>
      <c r="GR72" s="7"/>
      <c r="GS72" s="7"/>
      <c r="GT72" s="7"/>
      <c r="GU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G72" s="7"/>
      <c r="IH72" s="7"/>
      <c r="II72" s="7"/>
      <c r="IJ72" s="7"/>
      <c r="IK72" s="7"/>
    </row>
    <row r="73" spans="1:245" x14ac:dyDescent="0.2">
      <c r="A73" s="544" t="s">
        <v>278</v>
      </c>
      <c r="B73" s="537">
        <v>135</v>
      </c>
      <c r="C73" s="537">
        <v>243</v>
      </c>
      <c r="D73" s="565"/>
      <c r="G73" s="22"/>
      <c r="H73" s="22"/>
      <c r="I73" s="517"/>
      <c r="J73" s="37"/>
      <c r="L73" s="37"/>
      <c r="M73" s="37"/>
      <c r="N73" s="517"/>
      <c r="O73" s="37"/>
      <c r="P73" s="3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37"/>
      <c r="AC73" s="37"/>
      <c r="AD73" s="37"/>
      <c r="AE73" s="37"/>
      <c r="AF73" s="37"/>
      <c r="AG73" s="37"/>
      <c r="AH73" s="27"/>
      <c r="AI73" s="36"/>
      <c r="AJ73" s="39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554"/>
      <c r="BM73" s="554"/>
      <c r="BN73" s="554"/>
      <c r="BO73" s="554"/>
      <c r="BP73" s="554"/>
      <c r="BQ73" s="554"/>
      <c r="BR73" s="554"/>
      <c r="BS73" s="554"/>
      <c r="BT73" s="554"/>
      <c r="BU73" s="554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442" t="s">
        <v>162</v>
      </c>
      <c r="CJ73" s="442">
        <f>IF(OR($G17=0,$B17&lt;&gt;"NSX",$D17&lt;=250),0,ROUNDDOWN(($A$51-SUM($CL$63:$CL72))/$G17,0))</f>
        <v>0</v>
      </c>
      <c r="CK73" s="442">
        <f t="shared" si="161"/>
        <v>0</v>
      </c>
      <c r="CL73" s="442">
        <f t="shared" si="162"/>
        <v>0</v>
      </c>
      <c r="CM73" s="442">
        <f>IF(OR($G17=0,$BF15&lt;&gt;"NSX",$D17&gt;250),0,ROUNDDOWN(($A$60-SUM(CO$63:CO72))/$G17,0))</f>
        <v>0</v>
      </c>
      <c r="CN73" s="442">
        <f>IF(CM73&gt;=$F17-SUMIF($CK$62:CK$62,"Кол-во",$CK73:CK73),$F17-SUMIF($CK$62:CK$62,"Кол-во",$CK73:CK73),CM73)</f>
        <v>0</v>
      </c>
      <c r="CO73" s="442">
        <f t="shared" si="163"/>
        <v>0</v>
      </c>
      <c r="CP73" s="442">
        <f>IF(OR($G17=0,$BF15&lt;&gt;"NSX",$D17&gt;250),0,ROUNDDOWN(($A$60-SUM(CR$63:CR72))/$G17,0))</f>
        <v>0</v>
      </c>
      <c r="CQ73" s="442">
        <f>IF(CP73&gt;=$F17-SUMIF($CK$62:CN$62,"Кол-во",$CK73:CN73),$F17-SUMIF($CK$62:CN$62,"Кол-во",$CK73:CN73),CP73)</f>
        <v>0</v>
      </c>
      <c r="CR73" s="442">
        <f t="shared" si="164"/>
        <v>0</v>
      </c>
      <c r="CS73" s="442">
        <f>IF(OR($G17=0,$BF15&lt;&gt;"NSX",$D17&gt;250),0,ROUNDDOWN(($A$60-SUM(CU$63:CU72))/$G17,0))</f>
        <v>0</v>
      </c>
      <c r="CT73" s="442">
        <f>IF(CS73&gt;=$F17-SUMIF($CK$62:CQ$62,"Кол-во",$CK73:CQ73),$F17-SUMIF($CK$62:CQ$62,"Кол-во",$CK73:CQ73),CS73)</f>
        <v>0</v>
      </c>
      <c r="CU73" s="442">
        <f t="shared" si="165"/>
        <v>0</v>
      </c>
      <c r="CV73" s="787">
        <f>IF(OR($G17=0,$BF15&lt;&gt;"NSX",$D17&gt;250),0,ROUNDDOWN(($A$60-SUM(CX$63:CX72))/$G17,0))</f>
        <v>0</v>
      </c>
      <c r="CW73" s="442">
        <f>IF(CV73&gt;=$F17-SUMIF($CK$62:CT$62,"Кол-во",$CK73:CT73),$F17-SUMIF($CK$62:CT$62,"Кол-во",$CK73:CT73),CV73)</f>
        <v>0</v>
      </c>
      <c r="CX73" s="442">
        <f t="shared" si="166"/>
        <v>0</v>
      </c>
      <c r="CY73" s="787">
        <f>IF(OR($G17=0,$BF15&lt;&gt;"NSX",$D17&gt;250),0,ROUNDDOWN(($A$60-SUM(DA$63:DA72))/$G17,0))</f>
        <v>0</v>
      </c>
      <c r="CZ73" s="442">
        <f>IF(CY73&gt;=$F17-SUMIF($CK$62:CW$62,"Кол-во",$CK73:CW73),$F17-SUMIF($CK$62:CW$62,"Кол-во",$CK73:CW73),CY73)</f>
        <v>0</v>
      </c>
      <c r="DA73" s="442">
        <f t="shared" si="167"/>
        <v>0</v>
      </c>
      <c r="DB73" s="787">
        <f>IF(OR($G17=0,$BF15&lt;&gt;"NSX",$D17&gt;250),0,ROUNDDOWN(($A$60-SUM(DD$63:DD72))/$G17,0))</f>
        <v>0</v>
      </c>
      <c r="DC73" s="442">
        <f>IF(DB73&gt;=$F17-SUMIF($CK$62:CZ$62,"Кол-во",$CK73:CZ73),$F17-SUMIF($CK$62:CZ$62,"Кол-во",$CK73:CZ73),DB73)</f>
        <v>0</v>
      </c>
      <c r="DD73" s="442">
        <f t="shared" si="168"/>
        <v>0</v>
      </c>
      <c r="DE73" s="787">
        <f>IF(OR($G17=0,$BF15&lt;&gt;"NSX",$D17&gt;250),0,ROUNDDOWN(($A$60-SUM(DG$63:DG72))/$G17,0))</f>
        <v>0</v>
      </c>
      <c r="DF73" s="442">
        <f>IF(DE73&gt;=$F17-SUMIF($CK$62:DC$62,"Кол-во",$CK73:DC73),$F17-SUMIF($CK$62:DC$62,"Кол-во",$CK73:DC73),DE73)</f>
        <v>0</v>
      </c>
      <c r="DG73" s="442">
        <f t="shared" si="169"/>
        <v>0</v>
      </c>
      <c r="DH73" s="787">
        <f>IF(OR($G17=0,$BF15&lt;&gt;"NSX",$D17&gt;250),0,ROUNDDOWN(($A$60-SUM(DJ$63:DJ72))/$G17,0))</f>
        <v>0</v>
      </c>
      <c r="DI73" s="442">
        <f>IF(DH73&gt;=$F17-SUMIF($CK$62:DF$62,"Кол-во",$CK73:DF73),$F17-SUMIF($CK$62:DF$62,"Кол-во",$CK73:DF73),DH73)</f>
        <v>0</v>
      </c>
      <c r="DJ73" s="442">
        <f t="shared" si="170"/>
        <v>0</v>
      </c>
      <c r="DK73" s="787">
        <f>IF(OR($G17=0,$BF15&lt;&gt;"NSX",$D17&gt;250),0,ROUNDDOWN(($A$60-SUM(DM$63:DM72))/$G17,0))</f>
        <v>0</v>
      </c>
      <c r="DL73" s="442">
        <f>IF(DK73&gt;=$F17-SUMIF($CK$62:DI$62,"Кол-во",$CK73:DI73),$F17-SUMIF($CK$62:DI$62,"Кол-во",$CK73:DI73),DK73)</f>
        <v>0</v>
      </c>
      <c r="DM73" s="442">
        <f t="shared" si="171"/>
        <v>0</v>
      </c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I73" s="37"/>
      <c r="GJ73" s="37"/>
      <c r="GK73" s="37"/>
      <c r="GL73" s="37"/>
      <c r="GM73" s="37"/>
      <c r="GO73" s="7"/>
      <c r="GP73" s="7"/>
      <c r="GQ73" s="7"/>
      <c r="GR73" s="7"/>
      <c r="GS73" s="7"/>
      <c r="GT73" s="7"/>
      <c r="GU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G73" s="7"/>
      <c r="IH73" s="7"/>
      <c r="II73" s="7"/>
      <c r="IJ73" s="7"/>
      <c r="IK73" s="7"/>
    </row>
    <row r="74" spans="1:245" x14ac:dyDescent="0.2">
      <c r="D74" s="565"/>
      <c r="G74" s="22"/>
      <c r="H74" s="22"/>
      <c r="L74" s="37"/>
      <c r="M74" s="37"/>
      <c r="N74" s="448"/>
      <c r="O74" s="37"/>
      <c r="P74" s="37"/>
      <c r="Q74" s="448"/>
      <c r="R74" s="448"/>
      <c r="S74" s="22"/>
      <c r="T74" s="22"/>
      <c r="U74" s="22"/>
      <c r="V74" s="22"/>
      <c r="W74" s="22"/>
      <c r="X74" s="22"/>
      <c r="Y74" s="417"/>
      <c r="Z74" s="417"/>
      <c r="AA74" s="22"/>
      <c r="AB74" s="37"/>
      <c r="AC74" s="37"/>
      <c r="AD74" s="37"/>
      <c r="AE74" s="37"/>
      <c r="AF74" s="37"/>
      <c r="AG74" s="37"/>
      <c r="AH74" s="27"/>
      <c r="AI74" s="36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554"/>
      <c r="BM74" s="554"/>
      <c r="BN74" s="554"/>
      <c r="BO74" s="554"/>
      <c r="BP74" s="554"/>
      <c r="BQ74" s="554"/>
      <c r="BR74" s="554"/>
      <c r="BS74" s="554"/>
      <c r="BT74" s="554"/>
      <c r="BU74" s="554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442" t="s">
        <v>163</v>
      </c>
      <c r="CJ74" s="442">
        <f>IF(OR($G18=0,$B18&lt;&gt;"NSX",$D18&lt;=250),0,ROUNDDOWN(($A$51-SUM($CL$63:$CL73))/$G18,0))</f>
        <v>0</v>
      </c>
      <c r="CK74" s="442">
        <f t="shared" si="161"/>
        <v>0</v>
      </c>
      <c r="CL74" s="442">
        <f t="shared" si="162"/>
        <v>0</v>
      </c>
      <c r="CM74" s="442">
        <f>IF(OR($G18=0,$BF16&lt;&gt;"NSX",$D18&gt;250),0,ROUNDDOWN(($A$60-SUM(CO$63:CO73))/$G18,0))</f>
        <v>0</v>
      </c>
      <c r="CN74" s="442">
        <f>IF(CM74&gt;=$F18-SUMIF($CK$62:CK$62,"Кол-во",$CK74:CK74),$F18-SUMIF($CK$62:CK$62,"Кол-во",$CK74:CK74),CM74)</f>
        <v>0</v>
      </c>
      <c r="CO74" s="442">
        <f t="shared" si="163"/>
        <v>0</v>
      </c>
      <c r="CP74" s="442">
        <f>IF(OR($G18=0,$BF16&lt;&gt;"NSX",$D18&gt;250),0,ROUNDDOWN(($A$60-SUM(CR$63:CR73))/$G18,0))</f>
        <v>0</v>
      </c>
      <c r="CQ74" s="442">
        <f>IF(CP74&gt;=$F18-SUMIF($CK$62:CN$62,"Кол-во",$CK74:CN74),$F18-SUMIF($CK$62:CN$62,"Кол-во",$CK74:CN74),CP74)</f>
        <v>0</v>
      </c>
      <c r="CR74" s="442">
        <f t="shared" si="164"/>
        <v>0</v>
      </c>
      <c r="CS74" s="442">
        <f>IF(OR($G18=0,$BF16&lt;&gt;"NSX",$D18&gt;250),0,ROUNDDOWN(($A$60-SUM(CU$63:CU73))/$G18,0))</f>
        <v>0</v>
      </c>
      <c r="CT74" s="442">
        <f>IF(CS74&gt;=$F18-SUMIF($CK$62:CQ$62,"Кол-во",$CK74:CQ74),$F18-SUMIF($CK$62:CQ$62,"Кол-во",$CK74:CQ74),CS74)</f>
        <v>0</v>
      </c>
      <c r="CU74" s="442">
        <f t="shared" si="165"/>
        <v>0</v>
      </c>
      <c r="CV74" s="787">
        <f>IF(OR($G18=0,$BF16&lt;&gt;"NSX",$D18&gt;250),0,ROUNDDOWN(($A$60-SUM(CX$63:CX73))/$G18,0))</f>
        <v>0</v>
      </c>
      <c r="CW74" s="442">
        <f>IF(CV74&gt;=$F18-SUMIF($CK$62:CT$62,"Кол-во",$CK74:CT74),$F18-SUMIF($CK$62:CT$62,"Кол-во",$CK74:CT74),CV74)</f>
        <v>0</v>
      </c>
      <c r="CX74" s="442">
        <f t="shared" si="166"/>
        <v>0</v>
      </c>
      <c r="CY74" s="787">
        <f>IF(OR($G18=0,$BF16&lt;&gt;"NSX",$D18&gt;250),0,ROUNDDOWN(($A$60-SUM(DA$63:DA73))/$G18,0))</f>
        <v>0</v>
      </c>
      <c r="CZ74" s="442">
        <f>IF(CY74&gt;=$F18-SUMIF($CK$62:CW$62,"Кол-во",$CK74:CW74),$F18-SUMIF($CK$62:CW$62,"Кол-во",$CK74:CW74),CY74)</f>
        <v>0</v>
      </c>
      <c r="DA74" s="442">
        <f t="shared" si="167"/>
        <v>0</v>
      </c>
      <c r="DB74" s="787">
        <f>IF(OR($G18=0,$BF16&lt;&gt;"NSX",$D18&gt;250),0,ROUNDDOWN(($A$60-SUM(DD$63:DD73))/$G18,0))</f>
        <v>0</v>
      </c>
      <c r="DC74" s="442">
        <f>IF(DB74&gt;=$F18-SUMIF($CK$62:CZ$62,"Кол-во",$CK74:CZ74),$F18-SUMIF($CK$62:CZ$62,"Кол-во",$CK74:CZ74),DB74)</f>
        <v>0</v>
      </c>
      <c r="DD74" s="442">
        <f t="shared" si="168"/>
        <v>0</v>
      </c>
      <c r="DE74" s="787">
        <f>IF(OR($G18=0,$BF16&lt;&gt;"NSX",$D18&gt;250),0,ROUNDDOWN(($A$60-SUM(DG$63:DG73))/$G18,0))</f>
        <v>0</v>
      </c>
      <c r="DF74" s="442">
        <f>IF(DE74&gt;=$F18-SUMIF($CK$62:DC$62,"Кол-во",$CK74:DC74),$F18-SUMIF($CK$62:DC$62,"Кол-во",$CK74:DC74),DE74)</f>
        <v>0</v>
      </c>
      <c r="DG74" s="442">
        <f t="shared" si="169"/>
        <v>0</v>
      </c>
      <c r="DH74" s="787">
        <f>IF(OR($G18=0,$BF16&lt;&gt;"NSX",$D18&gt;250),0,ROUNDDOWN(($A$60-SUM(DJ$63:DJ73))/$G18,0))</f>
        <v>0</v>
      </c>
      <c r="DI74" s="442">
        <f>IF(DH74&gt;=$F18-SUMIF($CK$62:DF$62,"Кол-во",$CK74:DF74),$F18-SUMIF($CK$62:DF$62,"Кол-во",$CK74:DF74),DH74)</f>
        <v>0</v>
      </c>
      <c r="DJ74" s="442">
        <f t="shared" si="170"/>
        <v>0</v>
      </c>
      <c r="DK74" s="787">
        <f>IF(OR($G18=0,$BF16&lt;&gt;"NSX",$D18&gt;250),0,ROUNDDOWN(($A$60-SUM(DM$63:DM73))/$G18,0))</f>
        <v>0</v>
      </c>
      <c r="DL74" s="442">
        <f>IF(DK74&gt;=$F18-SUMIF($CK$62:DI$62,"Кол-во",$CK74:DI74),$F18-SUMIF($CK$62:DI$62,"Кол-во",$CK74:DI74),DK74)</f>
        <v>0</v>
      </c>
      <c r="DM74" s="442">
        <f t="shared" si="171"/>
        <v>0</v>
      </c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I74" s="37"/>
      <c r="GJ74" s="37"/>
      <c r="GK74" s="37"/>
      <c r="GL74" s="37"/>
      <c r="GM74" s="37"/>
      <c r="GO74" s="7"/>
      <c r="GP74" s="7"/>
      <c r="GQ74" s="7"/>
      <c r="GR74" s="7"/>
      <c r="GS74" s="7"/>
      <c r="GT74" s="7"/>
      <c r="GU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G74" s="7"/>
      <c r="IH74" s="7"/>
      <c r="II74" s="7"/>
      <c r="IJ74" s="7"/>
      <c r="IK74" s="7"/>
    </row>
    <row r="75" spans="1:245" ht="13.5" thickBot="1" x14ac:dyDescent="0.25">
      <c r="L75" s="37"/>
      <c r="M75" s="37"/>
      <c r="N75" s="448"/>
      <c r="O75" s="37"/>
      <c r="P75" s="37"/>
      <c r="Q75" s="448"/>
      <c r="R75" s="448"/>
      <c r="S75" s="22"/>
      <c r="T75" s="22"/>
      <c r="U75" s="22"/>
      <c r="V75" s="22"/>
      <c r="W75" s="22"/>
      <c r="X75" s="22"/>
      <c r="Y75" s="417"/>
      <c r="Z75" s="417"/>
      <c r="AA75" s="22"/>
      <c r="AB75" s="37"/>
      <c r="AC75" s="37"/>
      <c r="AD75" s="37"/>
      <c r="AE75" s="37"/>
      <c r="AF75" s="37"/>
      <c r="AG75" s="37"/>
      <c r="AH75" s="27"/>
      <c r="AI75" s="36"/>
      <c r="AJ75" s="39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554"/>
      <c r="BM75" s="554"/>
      <c r="BN75" s="554"/>
      <c r="BO75" s="554"/>
      <c r="BP75" s="554"/>
      <c r="BQ75" s="554"/>
      <c r="BR75" s="554"/>
      <c r="BS75" s="554"/>
      <c r="BT75" s="554"/>
      <c r="BU75" s="554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442" t="s">
        <v>164</v>
      </c>
      <c r="CJ75" s="442">
        <f>IF(OR($G19=0,$B19&lt;&gt;"NSX",$D19&lt;=250),0,ROUNDDOWN(($A$51-SUM($CL$63:$CL74))/$G19,0))</f>
        <v>0</v>
      </c>
      <c r="CK75" s="442">
        <f t="shared" si="161"/>
        <v>0</v>
      </c>
      <c r="CL75" s="442">
        <f t="shared" si="162"/>
        <v>0</v>
      </c>
      <c r="CM75" s="442">
        <f>IF(OR($G19=0,$BF17&lt;&gt;"NSX",$D19&gt;250),0,ROUNDDOWN(($A$60-SUM(CO$63:CO74))/$G19,0))</f>
        <v>0</v>
      </c>
      <c r="CN75" s="442">
        <f>IF(CM75&gt;=$F19-SUMIF($CK$62:CK$62,"Кол-во",$CK75:CK75),$F19-SUMIF($CK$62:CK$62,"Кол-во",$CK75:CK75),CM75)</f>
        <v>0</v>
      </c>
      <c r="CO75" s="442">
        <f t="shared" si="163"/>
        <v>0</v>
      </c>
      <c r="CP75" s="442">
        <f>IF(OR($G19=0,$BF17&lt;&gt;"NSX",$D19&gt;250),0,ROUNDDOWN(($A$60-SUM(CR$63:CR74))/$G19,0))</f>
        <v>0</v>
      </c>
      <c r="CQ75" s="442">
        <f>IF(CP75&gt;=$F19-SUMIF($CK$62:CN$62,"Кол-во",$CK75:CN75),$F19-SUMIF($CK$62:CN$62,"Кол-во",$CK75:CN75),CP75)</f>
        <v>0</v>
      </c>
      <c r="CR75" s="442">
        <f t="shared" si="164"/>
        <v>0</v>
      </c>
      <c r="CS75" s="442">
        <f>IF(OR($G19=0,$BF17&lt;&gt;"NSX",$D19&gt;250),0,ROUNDDOWN(($A$60-SUM(CU$63:CU74))/$G19,0))</f>
        <v>0</v>
      </c>
      <c r="CT75" s="442">
        <f>IF(CS75&gt;=$F19-SUMIF($CK$62:CQ$62,"Кол-во",$CK75:CQ75),$F19-SUMIF($CK$62:CQ$62,"Кол-во",$CK75:CQ75),CS75)</f>
        <v>0</v>
      </c>
      <c r="CU75" s="442">
        <f t="shared" si="165"/>
        <v>0</v>
      </c>
      <c r="CV75" s="787">
        <f>IF(OR($G19=0,$BF17&lt;&gt;"NSX",$D19&gt;250),0,ROUNDDOWN(($A$60-SUM(CX$63:CX74))/$G19,0))</f>
        <v>0</v>
      </c>
      <c r="CW75" s="442">
        <f>IF(CV75&gt;=$F19-SUMIF($CK$62:CT$62,"Кол-во",$CK75:CT75),$F19-SUMIF($CK$62:CT$62,"Кол-во",$CK75:CT75),CV75)</f>
        <v>0</v>
      </c>
      <c r="CX75" s="442">
        <f t="shared" si="166"/>
        <v>0</v>
      </c>
      <c r="CY75" s="787">
        <f>IF(OR($G19=0,$BF17&lt;&gt;"NSX",$D19&gt;250),0,ROUNDDOWN(($A$60-SUM(DA$63:DA74))/$G19,0))</f>
        <v>0</v>
      </c>
      <c r="CZ75" s="442">
        <f>IF(CY75&gt;=$F19-SUMIF($CK$62:CW$62,"Кол-во",$CK75:CW75),$F19-SUMIF($CK$62:CW$62,"Кол-во",$CK75:CW75),CY75)</f>
        <v>0</v>
      </c>
      <c r="DA75" s="442">
        <f t="shared" si="167"/>
        <v>0</v>
      </c>
      <c r="DB75" s="787">
        <f>IF(OR($G19=0,$BF17&lt;&gt;"NSX",$D19&gt;250),0,ROUNDDOWN(($A$60-SUM(DD$63:DD74))/$G19,0))</f>
        <v>0</v>
      </c>
      <c r="DC75" s="442">
        <f>IF(DB75&gt;=$F19-SUMIF($CK$62:CZ$62,"Кол-во",$CK75:CZ75),$F19-SUMIF($CK$62:CZ$62,"Кол-во",$CK75:CZ75),DB75)</f>
        <v>0</v>
      </c>
      <c r="DD75" s="442">
        <f t="shared" si="168"/>
        <v>0</v>
      </c>
      <c r="DE75" s="787">
        <f>IF(OR($G19=0,$BF17&lt;&gt;"NSX",$D19&gt;250),0,ROUNDDOWN(($A$60-SUM(DG$63:DG74))/$G19,0))</f>
        <v>0</v>
      </c>
      <c r="DF75" s="442">
        <f>IF(DE75&gt;=$F19-SUMIF($CK$62:DC$62,"Кол-во",$CK75:DC75),$F19-SUMIF($CK$62:DC$62,"Кол-во",$CK75:DC75),DE75)</f>
        <v>0</v>
      </c>
      <c r="DG75" s="442">
        <f t="shared" si="169"/>
        <v>0</v>
      </c>
      <c r="DH75" s="787">
        <f>IF(OR($G19=0,$BF17&lt;&gt;"NSX",$D19&gt;250),0,ROUNDDOWN(($A$60-SUM(DJ$63:DJ74))/$G19,0))</f>
        <v>0</v>
      </c>
      <c r="DI75" s="442">
        <f>IF(DH75&gt;=$F19-SUMIF($CK$62:DF$62,"Кол-во",$CK75:DF75),$F19-SUMIF($CK$62:DF$62,"Кол-во",$CK75:DF75),DH75)</f>
        <v>0</v>
      </c>
      <c r="DJ75" s="442">
        <f t="shared" si="170"/>
        <v>0</v>
      </c>
      <c r="DK75" s="787">
        <f>IF(OR($G19=0,$BF17&lt;&gt;"NSX",$D19&gt;250),0,ROUNDDOWN(($A$60-SUM(DM$63:DM74))/$G19,0))</f>
        <v>0</v>
      </c>
      <c r="DL75" s="442">
        <f>IF(DK75&gt;=$F19-SUMIF($CK$62:DI$62,"Кол-во",$CK75:DI75),$F19-SUMIF($CK$62:DI$62,"Кол-во",$CK75:DI75),DK75)</f>
        <v>0</v>
      </c>
      <c r="DM75" s="442">
        <f t="shared" si="171"/>
        <v>0</v>
      </c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I75" s="37"/>
      <c r="GJ75" s="37"/>
      <c r="GK75" s="37"/>
      <c r="GL75" s="37"/>
      <c r="GM75" s="37"/>
      <c r="GO75" s="7"/>
      <c r="GP75" s="7"/>
      <c r="GQ75" s="7"/>
      <c r="GR75" s="7"/>
      <c r="GS75" s="7"/>
      <c r="GT75" s="7"/>
      <c r="GU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G75" s="7"/>
      <c r="IH75" s="7"/>
      <c r="II75" s="7"/>
      <c r="IJ75" s="7"/>
      <c r="IK75" s="7"/>
    </row>
    <row r="76" spans="1:245" ht="13.5" thickBot="1" x14ac:dyDescent="0.25">
      <c r="A76" s="526" t="s">
        <v>104</v>
      </c>
      <c r="B76" s="541" t="s">
        <v>879</v>
      </c>
      <c r="C76" s="541" t="s">
        <v>880</v>
      </c>
      <c r="S76" s="22"/>
      <c r="T76" s="22"/>
      <c r="U76" s="22"/>
      <c r="V76" s="22"/>
      <c r="W76" s="22"/>
      <c r="X76" s="22"/>
      <c r="Y76" s="417"/>
      <c r="Z76" s="417"/>
      <c r="AA76" s="22"/>
      <c r="AB76" s="37"/>
      <c r="AC76" s="37"/>
      <c r="AD76" s="37"/>
      <c r="AE76" s="37"/>
      <c r="AF76" s="37"/>
      <c r="AG76" s="37"/>
      <c r="AH76" s="27"/>
      <c r="AI76" s="36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554"/>
      <c r="BM76" s="554"/>
      <c r="BN76" s="554"/>
      <c r="BO76" s="554"/>
      <c r="BP76" s="554"/>
      <c r="BQ76" s="554"/>
      <c r="BR76" s="554"/>
      <c r="BS76" s="554"/>
      <c r="BT76" s="554"/>
      <c r="BU76" s="554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442" t="s">
        <v>165</v>
      </c>
      <c r="CJ76" s="442">
        <f>IF(OR($G20=0,$B20&lt;&gt;"NSX",$D20&lt;=250),0,ROUNDDOWN(($A$51-SUM($CL$63:$CL75))/$G20,0))</f>
        <v>0</v>
      </c>
      <c r="CK76" s="442">
        <f t="shared" si="161"/>
        <v>0</v>
      </c>
      <c r="CL76" s="442">
        <f t="shared" si="162"/>
        <v>0</v>
      </c>
      <c r="CM76" s="442">
        <f>IF(OR($G20=0,$BF18&lt;&gt;"NSX",$D20&gt;250),0,ROUNDDOWN(($A$60-SUM(CO$63:CO75))/$G20,0))</f>
        <v>0</v>
      </c>
      <c r="CN76" s="442">
        <f>IF(CM76&gt;=$F20-SUMIF($CK$62:CK$62,"Кол-во",$CK76:CK76),$F20-SUMIF($CK$62:CK$62,"Кол-во",$CK76:CK76),CM76)</f>
        <v>0</v>
      </c>
      <c r="CO76" s="442">
        <f t="shared" si="163"/>
        <v>0</v>
      </c>
      <c r="CP76" s="442">
        <f>IF(OR($G20=0,$BF18&lt;&gt;"NSX",$D20&gt;250),0,ROUNDDOWN(($A$60-SUM(CR$63:CR75))/$G20,0))</f>
        <v>0</v>
      </c>
      <c r="CQ76" s="442">
        <f>IF(CP76&gt;=$F20-SUMIF($CK$62:CN$62,"Кол-во",$CK76:CN76),$F20-SUMIF($CK$62:CN$62,"Кол-во",$CK76:CN76),CP76)</f>
        <v>0</v>
      </c>
      <c r="CR76" s="442">
        <f t="shared" si="164"/>
        <v>0</v>
      </c>
      <c r="CS76" s="442">
        <f>IF(OR($G20=0,$BF18&lt;&gt;"NSX",$D20&gt;250),0,ROUNDDOWN(($A$60-SUM(CU$63:CU75))/$G20,0))</f>
        <v>0</v>
      </c>
      <c r="CT76" s="442">
        <f>IF(CS76&gt;=$F20-SUMIF($CK$62:CQ$62,"Кол-во",$CK76:CQ76),$F20-SUMIF($CK$62:CQ$62,"Кол-во",$CK76:CQ76),CS76)</f>
        <v>0</v>
      </c>
      <c r="CU76" s="442">
        <f t="shared" si="165"/>
        <v>0</v>
      </c>
      <c r="CV76" s="787">
        <f>IF(OR($G20=0,$BF18&lt;&gt;"NSX",$D20&gt;250),0,ROUNDDOWN(($A$60-SUM(CX$63:CX75))/$G20,0))</f>
        <v>0</v>
      </c>
      <c r="CW76" s="442">
        <f>IF(CV76&gt;=$F20-SUMIF($CK$62:CT$62,"Кол-во",$CK76:CT76),$F20-SUMIF($CK$62:CT$62,"Кол-во",$CK76:CT76),CV76)</f>
        <v>0</v>
      </c>
      <c r="CX76" s="442">
        <f t="shared" si="166"/>
        <v>0</v>
      </c>
      <c r="CY76" s="787">
        <f>IF(OR($G20=0,$BF18&lt;&gt;"NSX",$D20&gt;250),0,ROUNDDOWN(($A$60-SUM(DA$63:DA75))/$G20,0))</f>
        <v>0</v>
      </c>
      <c r="CZ76" s="442">
        <f>IF(CY76&gt;=$F20-SUMIF($CK$62:CW$62,"Кол-во",$CK76:CW76),$F20-SUMIF($CK$62:CW$62,"Кол-во",$CK76:CW76),CY76)</f>
        <v>0</v>
      </c>
      <c r="DA76" s="442">
        <f t="shared" si="167"/>
        <v>0</v>
      </c>
      <c r="DB76" s="787">
        <f>IF(OR($G20=0,$BF18&lt;&gt;"NSX",$D20&gt;250),0,ROUNDDOWN(($A$60-SUM(DD$63:DD75))/$G20,0))</f>
        <v>0</v>
      </c>
      <c r="DC76" s="442">
        <f>IF(DB76&gt;=$F20-SUMIF($CK$62:CZ$62,"Кол-во",$CK76:CZ76),$F20-SUMIF($CK$62:CZ$62,"Кол-во",$CK76:CZ76),DB76)</f>
        <v>0</v>
      </c>
      <c r="DD76" s="442">
        <f t="shared" si="168"/>
        <v>0</v>
      </c>
      <c r="DE76" s="787">
        <f>IF(OR($G20=0,$BF18&lt;&gt;"NSX",$D20&gt;250),0,ROUNDDOWN(($A$60-SUM(DG$63:DG75))/$G20,0))</f>
        <v>0</v>
      </c>
      <c r="DF76" s="442">
        <f>IF(DE76&gt;=$F20-SUMIF($CK$62:DC$62,"Кол-во",$CK76:DC76),$F20-SUMIF($CK$62:DC$62,"Кол-во",$CK76:DC76),DE76)</f>
        <v>0</v>
      </c>
      <c r="DG76" s="442">
        <f t="shared" si="169"/>
        <v>0</v>
      </c>
      <c r="DH76" s="787">
        <f>IF(OR($G20=0,$BF18&lt;&gt;"NSX",$D20&gt;250),0,ROUNDDOWN(($A$60-SUM(DJ$63:DJ75))/$G20,0))</f>
        <v>0</v>
      </c>
      <c r="DI76" s="442">
        <f>IF(DH76&gt;=$F20-SUMIF($CK$62:DF$62,"Кол-во",$CK76:DF76),$F20-SUMIF($CK$62:DF$62,"Кол-во",$CK76:DF76),DH76)</f>
        <v>0</v>
      </c>
      <c r="DJ76" s="442">
        <f t="shared" si="170"/>
        <v>0</v>
      </c>
      <c r="DK76" s="787">
        <f>IF(OR($G20=0,$BF18&lt;&gt;"NSX",$D20&gt;250),0,ROUNDDOWN(($A$60-SUM(DM$63:DM75))/$G20,0))</f>
        <v>0</v>
      </c>
      <c r="DL76" s="442">
        <f>IF(DK76&gt;=$F20-SUMIF($CK$62:DI$62,"Кол-во",$CK76:DI76),$F20-SUMIF($CK$62:DI$62,"Кол-во",$CK76:DI76),DK76)</f>
        <v>0</v>
      </c>
      <c r="DM76" s="442">
        <f t="shared" si="171"/>
        <v>0</v>
      </c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I76" s="37"/>
      <c r="GJ76" s="37"/>
      <c r="GK76" s="37"/>
      <c r="GL76" s="37"/>
      <c r="GM76" s="37"/>
      <c r="GO76" s="7"/>
      <c r="GP76" s="7"/>
      <c r="GQ76" s="7"/>
      <c r="GR76" s="7"/>
      <c r="GS76" s="7"/>
      <c r="GT76" s="7"/>
      <c r="GU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G76" s="7"/>
      <c r="IH76" s="7"/>
      <c r="II76" s="7"/>
      <c r="IJ76" s="7"/>
      <c r="IK76" s="7"/>
    </row>
    <row r="77" spans="1:245" ht="13.5" thickBot="1" x14ac:dyDescent="0.25">
      <c r="A77" s="139">
        <f ca="1">IF($B$91,B77,C77)</f>
        <v>125</v>
      </c>
      <c r="B77" s="531">
        <v>125</v>
      </c>
      <c r="C77" s="531">
        <f>IF(Бланк!$C$48="+",400,300)</f>
        <v>400</v>
      </c>
      <c r="S77" s="22"/>
      <c r="T77" s="22"/>
      <c r="U77" s="22"/>
      <c r="V77" s="22"/>
      <c r="W77" s="22"/>
      <c r="X77" s="22"/>
      <c r="Y77" s="417"/>
      <c r="Z77" s="417"/>
      <c r="AA77" s="22"/>
      <c r="AB77" s="37"/>
      <c r="AC77" s="37"/>
      <c r="AD77" s="37"/>
      <c r="AE77" s="37"/>
      <c r="AF77" s="37"/>
      <c r="AG77" s="37"/>
      <c r="AH77" s="27"/>
      <c r="AI77" s="36"/>
      <c r="AJ77" s="39"/>
      <c r="AK77" s="37"/>
      <c r="AL77" s="37"/>
      <c r="AM77" s="37"/>
      <c r="AN77" s="37"/>
      <c r="AO77" s="37"/>
      <c r="AP77" s="37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554"/>
      <c r="BM77" s="554"/>
      <c r="BN77" s="554"/>
      <c r="BO77" s="554"/>
      <c r="BP77" s="554"/>
      <c r="BQ77" s="554"/>
      <c r="BR77" s="554"/>
      <c r="BS77" s="554"/>
      <c r="BT77" s="554"/>
      <c r="BU77" s="554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442" t="s">
        <v>166</v>
      </c>
      <c r="CJ77" s="442">
        <f>IF(OR($G21=0,$B21&lt;&gt;"NSX",$D21&lt;=250),0,ROUNDDOWN(($A$51-SUM($CL$63:$CL76))/$G21,0))</f>
        <v>0</v>
      </c>
      <c r="CK77" s="442">
        <f t="shared" si="161"/>
        <v>0</v>
      </c>
      <c r="CL77" s="442">
        <f t="shared" si="162"/>
        <v>0</v>
      </c>
      <c r="CM77" s="442">
        <f>IF(OR($G21=0,$BF19&lt;&gt;"NSX",$D21&gt;250),0,ROUNDDOWN(($A$60-SUM(CO$63:CO76))/$G21,0))</f>
        <v>0</v>
      </c>
      <c r="CN77" s="442">
        <f>IF(CM77&gt;=$F21-SUMIF($CK$62:CK$62,"Кол-во",$CK77:CK77),$F21-SUMIF($CK$62:CK$62,"Кол-во",$CK77:CK77),CM77)</f>
        <v>0</v>
      </c>
      <c r="CO77" s="442">
        <f t="shared" si="163"/>
        <v>0</v>
      </c>
      <c r="CP77" s="442">
        <f>IF(OR($G21=0,$BF19&lt;&gt;"NSX",$D21&gt;250),0,ROUNDDOWN(($A$60-SUM(CR$63:CR76))/$G21,0))</f>
        <v>0</v>
      </c>
      <c r="CQ77" s="442">
        <f>IF(CP77&gt;=$F21-SUMIF($CK$62:CN$62,"Кол-во",$CK77:CN77),$F21-SUMIF($CK$62:CN$62,"Кол-во",$CK77:CN77),CP77)</f>
        <v>0</v>
      </c>
      <c r="CR77" s="442">
        <f t="shared" si="164"/>
        <v>0</v>
      </c>
      <c r="CS77" s="442">
        <f>IF(OR($G21=0,$BF19&lt;&gt;"NSX",$D21&gt;250),0,ROUNDDOWN(($A$60-SUM(CU$63:CU76))/$G21,0))</f>
        <v>0</v>
      </c>
      <c r="CT77" s="442">
        <f>IF(CS77&gt;=$F21-SUMIF($CK$62:CQ$62,"Кол-во",$CK77:CQ77),$F21-SUMIF($CK$62:CQ$62,"Кол-во",$CK77:CQ77),CS77)</f>
        <v>0</v>
      </c>
      <c r="CU77" s="442">
        <f t="shared" si="165"/>
        <v>0</v>
      </c>
      <c r="CV77" s="787">
        <f>IF(OR($G21=0,$BF19&lt;&gt;"NSX",$D21&gt;250),0,ROUNDDOWN(($A$60-SUM(CX$63:CX76))/$G21,0))</f>
        <v>0</v>
      </c>
      <c r="CW77" s="442">
        <f>IF(CV77&gt;=$F21-SUMIF($CK$62:CT$62,"Кол-во",$CK77:CT77),$F21-SUMIF($CK$62:CT$62,"Кол-во",$CK77:CT77),CV77)</f>
        <v>0</v>
      </c>
      <c r="CX77" s="442">
        <f t="shared" si="166"/>
        <v>0</v>
      </c>
      <c r="CY77" s="787">
        <f>IF(OR($G21=0,$BF19&lt;&gt;"NSX",$D21&gt;250),0,ROUNDDOWN(($A$60-SUM(DA$63:DA76))/$G21,0))</f>
        <v>0</v>
      </c>
      <c r="CZ77" s="442">
        <f>IF(CY77&gt;=$F21-SUMIF($CK$62:CW$62,"Кол-во",$CK77:CW77),$F21-SUMIF($CK$62:CW$62,"Кол-во",$CK77:CW77),CY77)</f>
        <v>0</v>
      </c>
      <c r="DA77" s="442">
        <f t="shared" si="167"/>
        <v>0</v>
      </c>
      <c r="DB77" s="787">
        <f>IF(OR($G21=0,$BF19&lt;&gt;"NSX",$D21&gt;250),0,ROUNDDOWN(($A$60-SUM(DD$63:DD76))/$G21,0))</f>
        <v>0</v>
      </c>
      <c r="DC77" s="442">
        <f>IF(DB77&gt;=$F21-SUMIF($CK$62:CZ$62,"Кол-во",$CK77:CZ77),$F21-SUMIF($CK$62:CZ$62,"Кол-во",$CK77:CZ77),DB77)</f>
        <v>0</v>
      </c>
      <c r="DD77" s="442">
        <f t="shared" si="168"/>
        <v>0</v>
      </c>
      <c r="DE77" s="787">
        <f>IF(OR($G21=0,$BF19&lt;&gt;"NSX",$D21&gt;250),0,ROUNDDOWN(($A$60-SUM(DG$63:DG76))/$G21,0))</f>
        <v>0</v>
      </c>
      <c r="DF77" s="442">
        <f>IF(DE77&gt;=$F21-SUMIF($CK$62:DC$62,"Кол-во",$CK77:DC77),$F21-SUMIF($CK$62:DC$62,"Кол-во",$CK77:DC77),DE77)</f>
        <v>0</v>
      </c>
      <c r="DG77" s="442">
        <f t="shared" si="169"/>
        <v>0</v>
      </c>
      <c r="DH77" s="787">
        <f>IF(OR($G21=0,$BF19&lt;&gt;"NSX",$D21&gt;250),0,ROUNDDOWN(($A$60-SUM(DJ$63:DJ76))/$G21,0))</f>
        <v>0</v>
      </c>
      <c r="DI77" s="442">
        <f>IF(DH77&gt;=$F21-SUMIF($CK$62:DF$62,"Кол-во",$CK77:DF77),$F21-SUMIF($CK$62:DF$62,"Кол-во",$CK77:DF77),DH77)</f>
        <v>0</v>
      </c>
      <c r="DJ77" s="442">
        <f t="shared" si="170"/>
        <v>0</v>
      </c>
      <c r="DK77" s="787">
        <f>IF(OR($G21=0,$BF19&lt;&gt;"NSX",$D21&gt;250),0,ROUNDDOWN(($A$60-SUM(DM$63:DM76))/$G21,0))</f>
        <v>0</v>
      </c>
      <c r="DL77" s="442">
        <f>IF(DK77&gt;=$F21-SUMIF($CK$62:DI$62,"Кол-во",$CK77:DI77),$F21-SUMIF($CK$62:DI$62,"Кол-во",$CK77:DI77),DK77)</f>
        <v>0</v>
      </c>
      <c r="DM77" s="442">
        <f t="shared" si="171"/>
        <v>0</v>
      </c>
      <c r="DN77" s="9"/>
      <c r="DO77" s="9"/>
      <c r="DP77" s="9"/>
      <c r="DQ77" s="9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FX77" s="9"/>
      <c r="FY77" s="9"/>
      <c r="FZ77" s="9"/>
      <c r="GA77" s="9"/>
      <c r="GB77" s="9"/>
      <c r="GC77" s="9"/>
      <c r="GD77" s="9"/>
      <c r="GE77" s="9"/>
      <c r="GF77" s="9"/>
      <c r="GG77" s="9"/>
      <c r="GI77" s="9"/>
      <c r="GJ77" s="9"/>
      <c r="GK77" s="9"/>
      <c r="GL77" s="9"/>
      <c r="GM77" s="9"/>
    </row>
    <row r="78" spans="1:245" x14ac:dyDescent="0.2">
      <c r="C78" s="700">
        <f>600-D85/2-IF(A66,D66/2,IF(A49,D50/2,D59/2))</f>
        <v>415</v>
      </c>
      <c r="S78" s="22"/>
      <c r="T78" s="22"/>
      <c r="U78" s="22"/>
      <c r="V78" s="22"/>
      <c r="W78" s="22"/>
      <c r="X78" s="22"/>
      <c r="Y78" s="417"/>
      <c r="Z78" s="417"/>
      <c r="AA78" s="22"/>
      <c r="AB78" s="37"/>
      <c r="AC78" s="37"/>
      <c r="AD78" s="37"/>
      <c r="AE78" s="37"/>
      <c r="AF78" s="37"/>
      <c r="AG78" s="37"/>
      <c r="AH78" s="27"/>
      <c r="AI78" s="36"/>
      <c r="AJ78" s="37"/>
      <c r="AK78" s="37"/>
      <c r="AL78" s="37"/>
      <c r="AM78" s="37"/>
      <c r="AN78" s="37"/>
      <c r="AO78" s="37"/>
      <c r="AP78" s="37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554"/>
      <c r="BM78" s="554"/>
      <c r="BN78" s="554"/>
      <c r="BO78" s="554"/>
      <c r="BP78" s="554"/>
      <c r="BQ78" s="554"/>
      <c r="BR78" s="554"/>
      <c r="BS78" s="554"/>
      <c r="BT78" s="554"/>
      <c r="BU78" s="554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1017" t="s">
        <v>1305</v>
      </c>
      <c r="CJ78" s="1017">
        <f>IF(OR($G22=0,$B22&lt;&gt;"NSX",$D22&lt;=250),0,ROUNDDOWN(($A$51-SUM($CL$63:$CL77))/$G22,0))</f>
        <v>0</v>
      </c>
      <c r="CK78" s="1017">
        <f t="shared" si="161"/>
        <v>0</v>
      </c>
      <c r="CL78" s="1017">
        <f t="shared" si="162"/>
        <v>0</v>
      </c>
      <c r="CM78" s="1017">
        <f>IF(OR($G22=0,$BF20&lt;&gt;"NSX",$D22&gt;250),0,ROUNDDOWN(($A$60-SUM(CO$63:CO77))/$G22,0))</f>
        <v>0</v>
      </c>
      <c r="CN78" s="1017">
        <f>IF(CM78&gt;=$F22-SUMIF($CK$62:CK$62,"Кол-во",$CK78:CK78),$F22-SUMIF($CK$62:CK$62,"Кол-во",$CK78:CK78),CM78)</f>
        <v>0</v>
      </c>
      <c r="CO78" s="1017">
        <f t="shared" si="163"/>
        <v>0</v>
      </c>
      <c r="CP78" s="1017">
        <f>IF(OR($G22=0,$BF20&lt;&gt;"NSX",$D22&gt;250),0,ROUNDDOWN(($A$60-SUM(CR$63:CR77))/$G22,0))</f>
        <v>0</v>
      </c>
      <c r="CQ78" s="1017">
        <f>IF(CP78&gt;=$F22-SUMIF($CK$62:CN$62,"Кол-во",$CK78:CN78),$F22-SUMIF($CK$62:CN$62,"Кол-во",$CK78:CN78),CP78)</f>
        <v>0</v>
      </c>
      <c r="CR78" s="1017">
        <f t="shared" si="164"/>
        <v>0</v>
      </c>
      <c r="CS78" s="1017">
        <f>IF(OR($G22=0,$BF20&lt;&gt;"NSX",$D22&gt;250),0,ROUNDDOWN(($A$60-SUM(CU$63:CU77))/$G22,0))</f>
        <v>0</v>
      </c>
      <c r="CT78" s="1017">
        <f>IF(CS78&gt;=$F22-SUMIF($CK$62:CQ$62,"Кол-во",$CK78:CQ78),$F22-SUMIF($CK$62:CQ$62,"Кол-во",$CK78:CQ78),CS78)</f>
        <v>0</v>
      </c>
      <c r="CU78" s="1017">
        <f t="shared" si="165"/>
        <v>0</v>
      </c>
      <c r="CV78" s="1017">
        <f>IF(OR($G22=0,$BF20&lt;&gt;"NSX",$D22&gt;250),0,ROUNDDOWN(($A$60-SUM(CX$63:CX77))/$G22,0))</f>
        <v>0</v>
      </c>
      <c r="CW78" s="1017">
        <f>IF(CV78&gt;=$F22-SUMIF($CK$62:CT$62,"Кол-во",$CK78:CT78),$F22-SUMIF($CK$62:CT$62,"Кол-во",$CK78:CT78),CV78)</f>
        <v>0</v>
      </c>
      <c r="CX78" s="1017">
        <f t="shared" si="166"/>
        <v>0</v>
      </c>
      <c r="CY78" s="1017">
        <f>IF(OR($G22=0,$BF20&lt;&gt;"NSX",$D22&gt;250),0,ROUNDDOWN(($A$60-SUM(DA$63:DA77))/$G22,0))</f>
        <v>0</v>
      </c>
      <c r="CZ78" s="1017">
        <f>IF(CY78&gt;=$F22-SUMIF($CK$62:CW$62,"Кол-во",$CK78:CW78),$F22-SUMIF($CK$62:CW$62,"Кол-во",$CK78:CW78),CY78)</f>
        <v>0</v>
      </c>
      <c r="DA78" s="1017">
        <f t="shared" si="167"/>
        <v>0</v>
      </c>
      <c r="DB78" s="1017">
        <f>IF(OR($G22=0,$BF20&lt;&gt;"NSX",$D22&gt;250),0,ROUNDDOWN(($A$60-SUM(DD$63:DD77))/$G22,0))</f>
        <v>0</v>
      </c>
      <c r="DC78" s="1017">
        <f>IF(DB78&gt;=$F22-SUMIF($CK$62:CZ$62,"Кол-во",$CK78:CZ78),$F22-SUMIF($CK$62:CZ$62,"Кол-во",$CK78:CZ78),DB78)</f>
        <v>0</v>
      </c>
      <c r="DD78" s="1017">
        <f t="shared" si="168"/>
        <v>0</v>
      </c>
      <c r="DE78" s="1017">
        <f>IF(OR($G22=0,$BF20&lt;&gt;"NSX",$D22&gt;250),0,ROUNDDOWN(($A$60-SUM(DG$63:DG77))/$G22,0))</f>
        <v>0</v>
      </c>
      <c r="DF78" s="1017">
        <f>IF(DE78&gt;=$F22-SUMIF($CK$62:DC$62,"Кол-во",$CK78:DC78),$F22-SUMIF($CK$62:DC$62,"Кол-во",$CK78:DC78),DE78)</f>
        <v>0</v>
      </c>
      <c r="DG78" s="1017">
        <f t="shared" si="169"/>
        <v>0</v>
      </c>
      <c r="DH78" s="1017">
        <f>IF(OR($G22=0,$BF20&lt;&gt;"NSX",$D22&gt;250),0,ROUNDDOWN(($A$60-SUM(DJ$63:DJ77))/$G22,0))</f>
        <v>0</v>
      </c>
      <c r="DI78" s="1017">
        <f>IF(DH78&gt;=$F22-SUMIF($CK$62:DF$62,"Кол-во",$CK78:DF78),$F22-SUMIF($CK$62:DF$62,"Кол-во",$CK78:DF78),DH78)</f>
        <v>0</v>
      </c>
      <c r="DJ78" s="1017">
        <f t="shared" si="170"/>
        <v>0</v>
      </c>
      <c r="DK78" s="1017">
        <f>IF(OR($G22=0,$BF20&lt;&gt;"NSX",$D22&gt;250),0,ROUNDDOWN(($A$60-SUM(DM$63:DM77))/$G22,0))</f>
        <v>0</v>
      </c>
      <c r="DL78" s="1017">
        <f>IF(DK78&gt;=$F22-SUMIF($CK$62:DI$62,"Кол-во",$CK78:DI78),$F22-SUMIF($CK$62:DI$62,"Кол-во",$CK78:DI78),DK78)</f>
        <v>0</v>
      </c>
      <c r="DM78" s="1017">
        <f t="shared" si="171"/>
        <v>0</v>
      </c>
      <c r="DN78" s="9"/>
      <c r="DO78" s="9"/>
      <c r="DP78" s="9"/>
      <c r="DQ78" s="9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FX78" s="9"/>
      <c r="FY78" s="9"/>
      <c r="FZ78" s="9"/>
      <c r="GA78" s="9"/>
      <c r="GB78" s="9"/>
      <c r="GC78" s="9"/>
      <c r="GD78" s="9"/>
      <c r="GE78" s="9"/>
      <c r="GF78" s="9"/>
      <c r="GG78" s="9"/>
      <c r="GI78" s="9"/>
      <c r="GJ78" s="9"/>
      <c r="GK78" s="9"/>
      <c r="GL78" s="9"/>
      <c r="GM78" s="9"/>
    </row>
    <row r="79" spans="1:245" x14ac:dyDescent="0.2">
      <c r="S79" s="22"/>
      <c r="T79" s="22"/>
      <c r="U79" s="22"/>
      <c r="V79" s="22"/>
      <c r="W79" s="22"/>
      <c r="X79" s="22"/>
      <c r="Y79" s="417"/>
      <c r="Z79" s="417"/>
      <c r="AA79" s="22"/>
      <c r="AB79" s="37"/>
      <c r="AC79" s="37"/>
      <c r="AD79" s="37"/>
      <c r="AE79" s="37"/>
      <c r="AF79" s="37"/>
      <c r="AG79" s="37"/>
      <c r="AH79" s="37"/>
      <c r="AI79" s="37"/>
      <c r="AJ79" s="39"/>
      <c r="AK79" s="37"/>
      <c r="AL79" s="37"/>
      <c r="AM79" s="37"/>
      <c r="AN79" s="37"/>
      <c r="AO79" s="37"/>
      <c r="AP79" s="37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554"/>
      <c r="BM79" s="554"/>
      <c r="BN79" s="554"/>
      <c r="BO79" s="554"/>
      <c r="BP79" s="554"/>
      <c r="BQ79" s="554"/>
      <c r="BR79" s="554"/>
      <c r="BS79" s="554"/>
      <c r="BT79" s="554"/>
      <c r="BU79" s="554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1017" t="s">
        <v>1306</v>
      </c>
      <c r="CJ79" s="1017">
        <f>IF(OR($G23=0,$B23&lt;&gt;"NSX",$D23&lt;=250),0,ROUNDDOWN(($A$51-SUM($CL$63:$CL78))/$G23,0))</f>
        <v>0</v>
      </c>
      <c r="CK79" s="1017">
        <f t="shared" si="161"/>
        <v>0</v>
      </c>
      <c r="CL79" s="1017">
        <f t="shared" si="162"/>
        <v>0</v>
      </c>
      <c r="CM79" s="1017">
        <f>IF(OR($G23=0,$BF21&lt;&gt;"NSX",$D23&gt;250),0,ROUNDDOWN(($A$60-SUM(CO$63:CO78))/$G23,0))</f>
        <v>0</v>
      </c>
      <c r="CN79" s="1017">
        <f>IF(CM79&gt;=$F23-SUMIF($CK$62:CK$62,"Кол-во",$CK79:CK79),$F23-SUMIF($CK$62:CK$62,"Кол-во",$CK79:CK79),CM79)</f>
        <v>0</v>
      </c>
      <c r="CO79" s="1017">
        <f t="shared" si="163"/>
        <v>0</v>
      </c>
      <c r="CP79" s="1017">
        <f>IF(OR($G23=0,$BF21&lt;&gt;"NSX",$D23&gt;250),0,ROUNDDOWN(($A$60-SUM(CR$63:CR78))/$G23,0))</f>
        <v>0</v>
      </c>
      <c r="CQ79" s="1017">
        <f>IF(CP79&gt;=$F23-SUMIF($CK$62:CN$62,"Кол-во",$CK79:CN79),$F23-SUMIF($CK$62:CN$62,"Кол-во",$CK79:CN79),CP79)</f>
        <v>0</v>
      </c>
      <c r="CR79" s="1017">
        <f t="shared" si="164"/>
        <v>0</v>
      </c>
      <c r="CS79" s="1017">
        <f>IF(OR($G23=0,$BF21&lt;&gt;"NSX",$D23&gt;250),0,ROUNDDOWN(($A$60-SUM(CU$63:CU78))/$G23,0))</f>
        <v>0</v>
      </c>
      <c r="CT79" s="1017">
        <f>IF(CS79&gt;=$F23-SUMIF($CK$62:CQ$62,"Кол-во",$CK79:CQ79),$F23-SUMIF($CK$62:CQ$62,"Кол-во",$CK79:CQ79),CS79)</f>
        <v>0</v>
      </c>
      <c r="CU79" s="1017">
        <f t="shared" si="165"/>
        <v>0</v>
      </c>
      <c r="CV79" s="1017">
        <f>IF(OR($G23=0,$BF21&lt;&gt;"NSX",$D23&gt;250),0,ROUNDDOWN(($A$60-SUM(CX$63:CX78))/$G23,0))</f>
        <v>0</v>
      </c>
      <c r="CW79" s="1017">
        <f>IF(CV79&gt;=$F23-SUMIF($CK$62:CT$62,"Кол-во",$CK79:CT79),$F23-SUMIF($CK$62:CT$62,"Кол-во",$CK79:CT79),CV79)</f>
        <v>0</v>
      </c>
      <c r="CX79" s="1017">
        <f t="shared" si="166"/>
        <v>0</v>
      </c>
      <c r="CY79" s="1017">
        <f>IF(OR($G23=0,$BF21&lt;&gt;"NSX",$D23&gt;250),0,ROUNDDOWN(($A$60-SUM(DA$63:DA78))/$G23,0))</f>
        <v>0</v>
      </c>
      <c r="CZ79" s="1017">
        <f>IF(CY79&gt;=$F23-SUMIF($CK$62:CW$62,"Кол-во",$CK79:CW79),$F23-SUMIF($CK$62:CW$62,"Кол-во",$CK79:CW79),CY79)</f>
        <v>0</v>
      </c>
      <c r="DA79" s="1017">
        <f t="shared" si="167"/>
        <v>0</v>
      </c>
      <c r="DB79" s="1017">
        <f>IF(OR($G23=0,$BF21&lt;&gt;"NSX",$D23&gt;250),0,ROUNDDOWN(($A$60-SUM(DD$63:DD78))/$G23,0))</f>
        <v>0</v>
      </c>
      <c r="DC79" s="1017">
        <f>IF(DB79&gt;=$F23-SUMIF($CK$62:CZ$62,"Кол-во",$CK79:CZ79),$F23-SUMIF($CK$62:CZ$62,"Кол-во",$CK79:CZ79),DB79)</f>
        <v>0</v>
      </c>
      <c r="DD79" s="1017">
        <f t="shared" si="168"/>
        <v>0</v>
      </c>
      <c r="DE79" s="1017">
        <f>IF(OR($G23=0,$BF21&lt;&gt;"NSX",$D23&gt;250),0,ROUNDDOWN(($A$60-SUM(DG$63:DG78))/$G23,0))</f>
        <v>0</v>
      </c>
      <c r="DF79" s="1017">
        <f>IF(DE79&gt;=$F23-SUMIF($CK$62:DC$62,"Кол-во",$CK79:DC79),$F23-SUMIF($CK$62:DC$62,"Кол-во",$CK79:DC79),DE79)</f>
        <v>0</v>
      </c>
      <c r="DG79" s="1017">
        <f t="shared" si="169"/>
        <v>0</v>
      </c>
      <c r="DH79" s="1017">
        <f>IF(OR($G23=0,$BF21&lt;&gt;"NSX",$D23&gt;250),0,ROUNDDOWN(($A$60-SUM(DJ$63:DJ78))/$G23,0))</f>
        <v>0</v>
      </c>
      <c r="DI79" s="1017">
        <f>IF(DH79&gt;=$F23-SUMIF($CK$62:DF$62,"Кол-во",$CK79:DF79),$F23-SUMIF($CK$62:DF$62,"Кол-во",$CK79:DF79),DH79)</f>
        <v>0</v>
      </c>
      <c r="DJ79" s="1017">
        <f t="shared" si="170"/>
        <v>0</v>
      </c>
      <c r="DK79" s="1017">
        <f>IF(OR($G23=0,$BF21&lt;&gt;"NSX",$D23&gt;250),0,ROUNDDOWN(($A$60-SUM(DM$63:DM78))/$G23,0))</f>
        <v>0</v>
      </c>
      <c r="DL79" s="1017">
        <f>IF(DK79&gt;=$F23-SUMIF($CK$62:DI$62,"Кол-во",$CK79:DI79),$F23-SUMIF($CK$62:DI$62,"Кол-во",$CK79:DI79),DK79)</f>
        <v>0</v>
      </c>
      <c r="DM79" s="1017">
        <f t="shared" si="171"/>
        <v>0</v>
      </c>
      <c r="DN79" s="9"/>
      <c r="DO79" s="9"/>
      <c r="DP79" s="9"/>
      <c r="DQ79" s="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FX79" s="9"/>
      <c r="FY79" s="9"/>
      <c r="FZ79" s="9"/>
      <c r="GA79" s="9"/>
      <c r="GB79" s="9"/>
      <c r="GC79" s="9"/>
      <c r="GD79" s="9"/>
      <c r="GE79" s="9"/>
      <c r="GF79" s="9"/>
      <c r="GG79" s="9"/>
      <c r="GI79" s="9"/>
      <c r="GJ79" s="9"/>
      <c r="GK79" s="9"/>
      <c r="GL79" s="9"/>
      <c r="GM79" s="9"/>
    </row>
    <row r="80" spans="1:245" ht="13.5" thickBot="1" x14ac:dyDescent="0.25">
      <c r="B80" s="1167" t="s">
        <v>890</v>
      </c>
      <c r="C80" s="1168"/>
      <c r="D80" s="1169"/>
      <c r="E80" s="1218" t="s">
        <v>1090</v>
      </c>
      <c r="S80" s="22"/>
      <c r="T80" s="22"/>
      <c r="U80" s="22"/>
      <c r="V80" s="22"/>
      <c r="W80" s="22"/>
      <c r="X80" s="22"/>
      <c r="Y80" s="417"/>
      <c r="Z80" s="417"/>
      <c r="AA80" s="22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554"/>
      <c r="BM80" s="554"/>
      <c r="BN80" s="554"/>
      <c r="BO80" s="554"/>
      <c r="BP80" s="554"/>
      <c r="BQ80" s="554"/>
      <c r="BR80" s="554"/>
      <c r="BS80" s="554"/>
      <c r="BT80" s="554"/>
      <c r="BU80" s="554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1017" t="s">
        <v>1307</v>
      </c>
      <c r="CJ80" s="1017">
        <f>IF(OR($G24=0,$B24&lt;&gt;"NSX",$D24&lt;=250),0,ROUNDDOWN(($A$51-SUM($CL$63:$CL79))/$G24,0))</f>
        <v>0</v>
      </c>
      <c r="CK80" s="1017">
        <f t="shared" si="161"/>
        <v>0</v>
      </c>
      <c r="CL80" s="1017">
        <f t="shared" si="162"/>
        <v>0</v>
      </c>
      <c r="CM80" s="1017">
        <f>IF(OR($G24=0,$BF22&lt;&gt;"NSX",$D24&gt;250),0,ROUNDDOWN(($A$60-SUM(CO$63:CO79))/$G24,0))</f>
        <v>0</v>
      </c>
      <c r="CN80" s="1017">
        <f>IF(CM80&gt;=$F24-SUMIF($CK$62:CK$62,"Кол-во",$CK80:CK80),$F24-SUMIF($CK$62:CK$62,"Кол-во",$CK80:CK80),CM80)</f>
        <v>0</v>
      </c>
      <c r="CO80" s="1017">
        <f t="shared" si="163"/>
        <v>0</v>
      </c>
      <c r="CP80" s="1017">
        <f>IF(OR($G24=0,$BF22&lt;&gt;"NSX",$D24&gt;250),0,ROUNDDOWN(($A$60-SUM(CR$63:CR79))/$G24,0))</f>
        <v>0</v>
      </c>
      <c r="CQ80" s="1017">
        <f>IF(CP80&gt;=$F24-SUMIF($CK$62:CN$62,"Кол-во",$CK80:CN80),$F24-SUMIF($CK$62:CN$62,"Кол-во",$CK80:CN80),CP80)</f>
        <v>0</v>
      </c>
      <c r="CR80" s="1017">
        <f t="shared" si="164"/>
        <v>0</v>
      </c>
      <c r="CS80" s="1017">
        <f>IF(OR($G24=0,$BF22&lt;&gt;"NSX",$D24&gt;250),0,ROUNDDOWN(($A$60-SUM(CU$63:CU79))/$G24,0))</f>
        <v>0</v>
      </c>
      <c r="CT80" s="1017">
        <f>IF(CS80&gt;=$F24-SUMIF($CK$62:CQ$62,"Кол-во",$CK80:CQ80),$F24-SUMIF($CK$62:CQ$62,"Кол-во",$CK80:CQ80),CS80)</f>
        <v>0</v>
      </c>
      <c r="CU80" s="1017">
        <f t="shared" si="165"/>
        <v>0</v>
      </c>
      <c r="CV80" s="1017">
        <f>IF(OR($G24=0,$BF22&lt;&gt;"NSX",$D24&gt;250),0,ROUNDDOWN(($A$60-SUM(CX$63:CX79))/$G24,0))</f>
        <v>0</v>
      </c>
      <c r="CW80" s="1017">
        <f>IF(CV80&gt;=$F24-SUMIF($CK$62:CT$62,"Кол-во",$CK80:CT80),$F24-SUMIF($CK$62:CT$62,"Кол-во",$CK80:CT80),CV80)</f>
        <v>0</v>
      </c>
      <c r="CX80" s="1017">
        <f t="shared" si="166"/>
        <v>0</v>
      </c>
      <c r="CY80" s="1017">
        <f>IF(OR($G24=0,$BF22&lt;&gt;"NSX",$D24&gt;250),0,ROUNDDOWN(($A$60-SUM(DA$63:DA79))/$G24,0))</f>
        <v>0</v>
      </c>
      <c r="CZ80" s="1017">
        <f>IF(CY80&gt;=$F24-SUMIF($CK$62:CW$62,"Кол-во",$CK80:CW80),$F24-SUMIF($CK$62:CW$62,"Кол-во",$CK80:CW80),CY80)</f>
        <v>0</v>
      </c>
      <c r="DA80" s="1017">
        <f t="shared" si="167"/>
        <v>0</v>
      </c>
      <c r="DB80" s="1017">
        <f>IF(OR($G24=0,$BF22&lt;&gt;"NSX",$D24&gt;250),0,ROUNDDOWN(($A$60-SUM(DD$63:DD79))/$G24,0))</f>
        <v>0</v>
      </c>
      <c r="DC80" s="1017">
        <f>IF(DB80&gt;=$F24-SUMIF($CK$62:CZ$62,"Кол-во",$CK80:CZ80),$F24-SUMIF($CK$62:CZ$62,"Кол-во",$CK80:CZ80),DB80)</f>
        <v>0</v>
      </c>
      <c r="DD80" s="1017">
        <f t="shared" si="168"/>
        <v>0</v>
      </c>
      <c r="DE80" s="1017">
        <f>IF(OR($G24=0,$BF22&lt;&gt;"NSX",$D24&gt;250),0,ROUNDDOWN(($A$60-SUM(DG$63:DG79))/$G24,0))</f>
        <v>0</v>
      </c>
      <c r="DF80" s="1017">
        <f>IF(DE80&gt;=$F24-SUMIF($CK$62:DC$62,"Кол-во",$CK80:DC80),$F24-SUMIF($CK$62:DC$62,"Кол-во",$CK80:DC80),DE80)</f>
        <v>0</v>
      </c>
      <c r="DG80" s="1017">
        <f t="shared" si="169"/>
        <v>0</v>
      </c>
      <c r="DH80" s="1017">
        <f>IF(OR($G24=0,$BF22&lt;&gt;"NSX",$D24&gt;250),0,ROUNDDOWN(($A$60-SUM(DJ$63:DJ79))/$G24,0))</f>
        <v>0</v>
      </c>
      <c r="DI80" s="1017">
        <f>IF(DH80&gt;=$F24-SUMIF($CK$62:DF$62,"Кол-во",$CK80:DF80),$F24-SUMIF($CK$62:DF$62,"Кол-во",$CK80:DF80),DH80)</f>
        <v>0</v>
      </c>
      <c r="DJ80" s="1017">
        <f t="shared" si="170"/>
        <v>0</v>
      </c>
      <c r="DK80" s="1017">
        <f>IF(OR($G24=0,$BF22&lt;&gt;"NSX",$D24&gt;250),0,ROUNDDOWN(($A$60-SUM(DM$63:DM79))/$G24,0))</f>
        <v>0</v>
      </c>
      <c r="DL80" s="1017">
        <f>IF(DK80&gt;=$F24-SUMIF($CK$62:DI$62,"Кол-во",$CK80:DI80),$F24-SUMIF($CK$62:DI$62,"Кол-во",$CK80:DI80),DK80)</f>
        <v>0</v>
      </c>
      <c r="DM80" s="1017">
        <f t="shared" si="171"/>
        <v>0</v>
      </c>
      <c r="DN80" s="9"/>
      <c r="DO80" s="9"/>
      <c r="DP80" s="9"/>
      <c r="DQ80" s="9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FX80" s="9"/>
      <c r="FY80" s="9"/>
      <c r="FZ80" s="9"/>
      <c r="GA80" s="9"/>
      <c r="GB80" s="9"/>
      <c r="GC80" s="9"/>
      <c r="GD80" s="9"/>
      <c r="GE80" s="9"/>
      <c r="GF80" s="9"/>
      <c r="GG80" s="9"/>
      <c r="GI80" s="9"/>
      <c r="GJ80" s="9"/>
      <c r="GK80" s="9"/>
      <c r="GL80" s="9"/>
      <c r="GM80" s="9"/>
    </row>
    <row r="81" spans="1:204" s="565" customFormat="1" ht="13.5" thickBot="1" x14ac:dyDescent="0.25">
      <c r="A81" s="63" t="s">
        <v>1120</v>
      </c>
      <c r="B81" s="538" t="s">
        <v>239</v>
      </c>
      <c r="C81" s="541" t="s">
        <v>879</v>
      </c>
      <c r="D81" s="541" t="s">
        <v>880</v>
      </c>
      <c r="E81" s="1218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2"/>
      <c r="T81" s="22"/>
      <c r="U81" s="22"/>
      <c r="V81" s="22"/>
      <c r="W81" s="22"/>
      <c r="X81" s="22"/>
      <c r="Y81" s="417"/>
      <c r="Z81" s="417"/>
      <c r="AA81" s="22"/>
      <c r="AB81" s="37"/>
      <c r="AC81" s="37"/>
      <c r="AD81" s="37"/>
      <c r="AE81" s="37"/>
      <c r="AF81" s="37"/>
      <c r="AG81" s="37"/>
      <c r="AH81" s="37"/>
      <c r="AI81" s="37"/>
      <c r="AJ81" s="39"/>
      <c r="AK81" s="37"/>
      <c r="AL81" s="37"/>
      <c r="AM81" s="37"/>
      <c r="AN81" s="37"/>
      <c r="AO81" s="37"/>
      <c r="AP81" s="37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554"/>
      <c r="BM81" s="554"/>
      <c r="BN81" s="554"/>
      <c r="BO81" s="554"/>
      <c r="BP81" s="554"/>
      <c r="BQ81" s="554"/>
      <c r="BR81" s="554"/>
      <c r="BS81" s="554"/>
      <c r="BT81" s="554"/>
      <c r="BU81" s="554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1017" t="s">
        <v>1308</v>
      </c>
      <c r="CJ81" s="1017">
        <f>IF(OR($G25=0,$B25&lt;&gt;"NSX",$D25&lt;=250),0,ROUNDDOWN(($A$51-SUM($CL$63:$CL80))/$G25,0))</f>
        <v>0</v>
      </c>
      <c r="CK81" s="1017">
        <f t="shared" si="161"/>
        <v>0</v>
      </c>
      <c r="CL81" s="1017">
        <f t="shared" si="162"/>
        <v>0</v>
      </c>
      <c r="CM81" s="1017">
        <f>IF(OR($G25=0,$BF23&lt;&gt;"NSX",$D25&gt;250),0,ROUNDDOWN(($A$60-SUM(CO$63:CO80))/$G25,0))</f>
        <v>0</v>
      </c>
      <c r="CN81" s="1017">
        <f>IF(CM81&gt;=$F25-SUMIF($CK$62:CK$62,"Кол-во",$CK81:CK81),$F25-SUMIF($CK$62:CK$62,"Кол-во",$CK81:CK81),CM81)</f>
        <v>0</v>
      </c>
      <c r="CO81" s="1017">
        <f t="shared" si="163"/>
        <v>0</v>
      </c>
      <c r="CP81" s="1017">
        <f>IF(OR($G25=0,$BF23&lt;&gt;"NSX",$D25&gt;250),0,ROUNDDOWN(($A$60-SUM(CR$63:CR80))/$G25,0))</f>
        <v>0</v>
      </c>
      <c r="CQ81" s="1017">
        <f>IF(CP81&gt;=$F25-SUMIF($CK$62:CN$62,"Кол-во",$CK81:CN81),$F25-SUMIF($CK$62:CN$62,"Кол-во",$CK81:CN81),CP81)</f>
        <v>0</v>
      </c>
      <c r="CR81" s="1017">
        <f t="shared" si="164"/>
        <v>0</v>
      </c>
      <c r="CS81" s="1017">
        <f>IF(OR($G25=0,$BF23&lt;&gt;"NSX",$D25&gt;250),0,ROUNDDOWN(($A$60-SUM(CU$63:CU80))/$G25,0))</f>
        <v>0</v>
      </c>
      <c r="CT81" s="1017">
        <f>IF(CS81&gt;=$F25-SUMIF($CK$62:CQ$62,"Кол-во",$CK81:CQ81),$F25-SUMIF($CK$62:CQ$62,"Кол-во",$CK81:CQ81),CS81)</f>
        <v>0</v>
      </c>
      <c r="CU81" s="1017">
        <f t="shared" si="165"/>
        <v>0</v>
      </c>
      <c r="CV81" s="1017">
        <f>IF(OR($G25=0,$BF23&lt;&gt;"NSX",$D25&gt;250),0,ROUNDDOWN(($A$60-SUM(CX$63:CX80))/$G25,0))</f>
        <v>0</v>
      </c>
      <c r="CW81" s="1017">
        <f>IF(CV81&gt;=$F25-SUMIF($CK$62:CT$62,"Кол-во",$CK81:CT81),$F25-SUMIF($CK$62:CT$62,"Кол-во",$CK81:CT81),CV81)</f>
        <v>0</v>
      </c>
      <c r="CX81" s="1017">
        <f t="shared" si="166"/>
        <v>0</v>
      </c>
      <c r="CY81" s="1017">
        <f>IF(OR($G25=0,$BF23&lt;&gt;"NSX",$D25&gt;250),0,ROUNDDOWN(($A$60-SUM(DA$63:DA80))/$G25,0))</f>
        <v>0</v>
      </c>
      <c r="CZ81" s="1017">
        <f>IF(CY81&gt;=$F25-SUMIF($CK$62:CW$62,"Кол-во",$CK81:CW81),$F25-SUMIF($CK$62:CW$62,"Кол-во",$CK81:CW81),CY81)</f>
        <v>0</v>
      </c>
      <c r="DA81" s="1017">
        <f t="shared" si="167"/>
        <v>0</v>
      </c>
      <c r="DB81" s="1017">
        <f>IF(OR($G25=0,$BF23&lt;&gt;"NSX",$D25&gt;250),0,ROUNDDOWN(($A$60-SUM(DD$63:DD80))/$G25,0))</f>
        <v>0</v>
      </c>
      <c r="DC81" s="1017">
        <f>IF(DB81&gt;=$F25-SUMIF($CK$62:CZ$62,"Кол-во",$CK81:CZ81),$F25-SUMIF($CK$62:CZ$62,"Кол-во",$CK81:CZ81),DB81)</f>
        <v>0</v>
      </c>
      <c r="DD81" s="1017">
        <f t="shared" si="168"/>
        <v>0</v>
      </c>
      <c r="DE81" s="1017">
        <f>IF(OR($G25=0,$BF23&lt;&gt;"NSX",$D25&gt;250),0,ROUNDDOWN(($A$60-SUM(DG$63:DG80))/$G25,0))</f>
        <v>0</v>
      </c>
      <c r="DF81" s="1017">
        <f>IF(DE81&gt;=$F25-SUMIF($CK$62:DC$62,"Кол-во",$CK81:DC81),$F25-SUMIF($CK$62:DC$62,"Кол-во",$CK81:DC81),DE81)</f>
        <v>0</v>
      </c>
      <c r="DG81" s="1017">
        <f t="shared" si="169"/>
        <v>0</v>
      </c>
      <c r="DH81" s="1017">
        <f>IF(OR($G25=0,$BF23&lt;&gt;"NSX",$D25&gt;250),0,ROUNDDOWN(($A$60-SUM(DJ$63:DJ80))/$G25,0))</f>
        <v>0</v>
      </c>
      <c r="DI81" s="1017">
        <f>IF(DH81&gt;=$F25-SUMIF($CK$62:DF$62,"Кол-во",$CK81:DF81),$F25-SUMIF($CK$62:DF$62,"Кол-во",$CK81:DF81),DH81)</f>
        <v>0</v>
      </c>
      <c r="DJ81" s="1017">
        <f t="shared" si="170"/>
        <v>0</v>
      </c>
      <c r="DK81" s="1017">
        <f>IF(OR($G25=0,$BF23&lt;&gt;"NSX",$D25&gt;250),0,ROUNDDOWN(($A$60-SUM(DM$63:DM80))/$G25,0))</f>
        <v>0</v>
      </c>
      <c r="DL81" s="1017">
        <f>IF(DK81&gt;=$F25-SUMIF($CK$62:DI$62,"Кол-во",$CK81:DI81),$F25-SUMIF($CK$62:DI$62,"Кол-во",$CK81:DI81),DK81)</f>
        <v>0</v>
      </c>
      <c r="DM81" s="1017">
        <f t="shared" si="171"/>
        <v>0</v>
      </c>
      <c r="DN81" s="9"/>
      <c r="DO81" s="9"/>
      <c r="DP81" s="9"/>
      <c r="DQ81" s="9"/>
      <c r="DR81" s="874"/>
      <c r="DS81" s="874"/>
      <c r="DT81" s="874"/>
      <c r="DU81" s="874"/>
      <c r="DV81" s="874"/>
      <c r="DW81" s="874"/>
      <c r="DX81" s="874"/>
      <c r="DY81" s="874"/>
      <c r="DZ81" s="874"/>
      <c r="EA81" s="874"/>
      <c r="EB81" s="874"/>
      <c r="EC81" s="874"/>
      <c r="ED81" s="874"/>
      <c r="EE81" s="874"/>
      <c r="EF81" s="874"/>
      <c r="EG81" s="874"/>
      <c r="EH81" s="874"/>
      <c r="EI81" s="874"/>
      <c r="EJ81" s="874"/>
      <c r="EK81" s="874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874"/>
      <c r="GI81" s="9"/>
      <c r="GJ81" s="9"/>
      <c r="GK81" s="9"/>
      <c r="GL81" s="9"/>
      <c r="GM81" s="9"/>
      <c r="GN81" s="874"/>
      <c r="GV81" s="874"/>
    </row>
    <row r="82" spans="1:204" s="565" customFormat="1" ht="13.5" thickBot="1" x14ac:dyDescent="0.25">
      <c r="A82" s="139">
        <f ca="1">IF(B89,E82,0)*E84</f>
        <v>0</v>
      </c>
      <c r="B82" s="539" t="s">
        <v>43</v>
      </c>
      <c r="C82" s="539">
        <v>75</v>
      </c>
      <c r="D82" s="537">
        <f>85*2</f>
        <v>170</v>
      </c>
      <c r="E82" s="544">
        <f ca="1">HLOOKUP(TRUE,ID38:IF55,4,FALSE)</f>
        <v>200</v>
      </c>
      <c r="F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2"/>
      <c r="T82" s="22"/>
      <c r="U82" s="22"/>
      <c r="V82" s="22"/>
      <c r="W82" s="22"/>
      <c r="X82" s="22"/>
      <c r="Y82" s="417"/>
      <c r="Z82" s="417"/>
      <c r="AA82" s="22"/>
      <c r="AB82" s="9"/>
      <c r="AC82" s="9"/>
      <c r="AD82" s="9"/>
      <c r="AE82" s="9"/>
      <c r="AF82" s="9"/>
      <c r="AG82" s="9"/>
      <c r="AH82" s="9"/>
      <c r="AI82" s="9"/>
      <c r="AJ82" s="22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554"/>
      <c r="BM82" s="554"/>
      <c r="BN82" s="554"/>
      <c r="BO82" s="554"/>
      <c r="BP82" s="554"/>
      <c r="BQ82" s="554"/>
      <c r="BR82" s="554"/>
      <c r="BS82" s="554"/>
      <c r="BT82" s="554"/>
      <c r="BU82" s="554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1017" t="s">
        <v>1309</v>
      </c>
      <c r="CJ82" s="1017">
        <f>IF(OR($G26=0,$B26&lt;&gt;"NSX",$D26&lt;=250),0,ROUNDDOWN(($A$51-SUM($CL$63:$CL81))/$G26,0))</f>
        <v>0</v>
      </c>
      <c r="CK82" s="1017">
        <f t="shared" si="161"/>
        <v>0</v>
      </c>
      <c r="CL82" s="1017">
        <f t="shared" si="162"/>
        <v>0</v>
      </c>
      <c r="CM82" s="1017">
        <f>IF(OR($G26=0,$BF24&lt;&gt;"NSX",$D26&gt;250),0,ROUNDDOWN(($A$60-SUM(CO$63:CO81))/$G26,0))</f>
        <v>0</v>
      </c>
      <c r="CN82" s="1017">
        <f>IF(CM82&gt;=$F26-SUMIF($CK$62:CK$62,"Кол-во",$CK82:CK82),$F26-SUMIF($CK$62:CK$62,"Кол-во",$CK82:CK82),CM82)</f>
        <v>0</v>
      </c>
      <c r="CO82" s="1017">
        <f t="shared" si="163"/>
        <v>0</v>
      </c>
      <c r="CP82" s="1017">
        <f>IF(OR($G26=0,$BF24&lt;&gt;"NSX",$D26&gt;250),0,ROUNDDOWN(($A$60-SUM(CR$63:CR81))/$G26,0))</f>
        <v>0</v>
      </c>
      <c r="CQ82" s="1017">
        <f>IF(CP82&gt;=$F26-SUMIF($CK$62:CN$62,"Кол-во",$CK82:CN82),$F26-SUMIF($CK$62:CN$62,"Кол-во",$CK82:CN82),CP82)</f>
        <v>0</v>
      </c>
      <c r="CR82" s="1017">
        <f t="shared" si="164"/>
        <v>0</v>
      </c>
      <c r="CS82" s="1017">
        <f>IF(OR($G26=0,$BF24&lt;&gt;"NSX",$D26&gt;250),0,ROUNDDOWN(($A$60-SUM(CU$63:CU81))/$G26,0))</f>
        <v>0</v>
      </c>
      <c r="CT82" s="1017">
        <f>IF(CS82&gt;=$F26-SUMIF($CK$62:CQ$62,"Кол-во",$CK82:CQ82),$F26-SUMIF($CK$62:CQ$62,"Кол-во",$CK82:CQ82),CS82)</f>
        <v>0</v>
      </c>
      <c r="CU82" s="1017">
        <f t="shared" si="165"/>
        <v>0</v>
      </c>
      <c r="CV82" s="1017">
        <f>IF(OR($G26=0,$BF24&lt;&gt;"NSX",$D26&gt;250),0,ROUNDDOWN(($A$60-SUM(CX$63:CX81))/$G26,0))</f>
        <v>0</v>
      </c>
      <c r="CW82" s="1017">
        <f>IF(CV82&gt;=$F26-SUMIF($CK$62:CT$62,"Кол-во",$CK82:CT82),$F26-SUMIF($CK$62:CT$62,"Кол-во",$CK82:CT82),CV82)</f>
        <v>0</v>
      </c>
      <c r="CX82" s="1017">
        <f t="shared" si="166"/>
        <v>0</v>
      </c>
      <c r="CY82" s="1017">
        <f>IF(OR($G26=0,$BF24&lt;&gt;"NSX",$D26&gt;250),0,ROUNDDOWN(($A$60-SUM(DA$63:DA81))/$G26,0))</f>
        <v>0</v>
      </c>
      <c r="CZ82" s="1017">
        <f>IF(CY82&gt;=$F26-SUMIF($CK$62:CW$62,"Кол-во",$CK82:CW82),$F26-SUMIF($CK$62:CW$62,"Кол-во",$CK82:CW82),CY82)</f>
        <v>0</v>
      </c>
      <c r="DA82" s="1017">
        <f t="shared" si="167"/>
        <v>0</v>
      </c>
      <c r="DB82" s="1017">
        <f>IF(OR($G26=0,$BF24&lt;&gt;"NSX",$D26&gt;250),0,ROUNDDOWN(($A$60-SUM(DD$63:DD81))/$G26,0))</f>
        <v>0</v>
      </c>
      <c r="DC82" s="1017">
        <f>IF(DB82&gt;=$F26-SUMIF($CK$62:CZ$62,"Кол-во",$CK82:CZ82),$F26-SUMIF($CK$62:CZ$62,"Кол-во",$CK82:CZ82),DB82)</f>
        <v>0</v>
      </c>
      <c r="DD82" s="1017">
        <f t="shared" si="168"/>
        <v>0</v>
      </c>
      <c r="DE82" s="1017">
        <f>IF(OR($G26=0,$BF24&lt;&gt;"NSX",$D26&gt;250),0,ROUNDDOWN(($A$60-SUM(DG$63:DG81))/$G26,0))</f>
        <v>0</v>
      </c>
      <c r="DF82" s="1017">
        <f>IF(DE82&gt;=$F26-SUMIF($CK$62:DC$62,"Кол-во",$CK82:DC82),$F26-SUMIF($CK$62:DC$62,"Кол-во",$CK82:DC82),DE82)</f>
        <v>0</v>
      </c>
      <c r="DG82" s="1017">
        <f t="shared" si="169"/>
        <v>0</v>
      </c>
      <c r="DH82" s="1017">
        <f>IF(OR($G26=0,$BF24&lt;&gt;"NSX",$D26&gt;250),0,ROUNDDOWN(($A$60-SUM(DJ$63:DJ81))/$G26,0))</f>
        <v>0</v>
      </c>
      <c r="DI82" s="1017">
        <f>IF(DH82&gt;=$F26-SUMIF($CK$62:DF$62,"Кол-во",$CK82:DF82),$F26-SUMIF($CK$62:DF$62,"Кол-во",$CK82:DF82),DH82)</f>
        <v>0</v>
      </c>
      <c r="DJ82" s="1017">
        <f t="shared" si="170"/>
        <v>0</v>
      </c>
      <c r="DK82" s="1017">
        <f>IF(OR($G26=0,$BF24&lt;&gt;"NSX",$D26&gt;250),0,ROUNDDOWN(($A$60-SUM(DM$63:DM81))/$G26,0))</f>
        <v>0</v>
      </c>
      <c r="DL82" s="1017">
        <f>IF(DK82&gt;=$F26-SUMIF($CK$62:DI$62,"Кол-во",$CK82:DI82),$F26-SUMIF($CK$62:DI$62,"Кол-во",$CK82:DI82),DK82)</f>
        <v>0</v>
      </c>
      <c r="DM82" s="1017">
        <f t="shared" si="171"/>
        <v>0</v>
      </c>
      <c r="DN82" s="9"/>
      <c r="DO82" s="9"/>
      <c r="DP82" s="9"/>
      <c r="DQ82" s="9"/>
      <c r="DR82" s="874"/>
      <c r="DS82" s="874"/>
      <c r="DT82" s="874"/>
      <c r="DU82" s="874"/>
      <c r="DV82" s="874"/>
      <c r="DW82" s="874"/>
      <c r="DX82" s="874"/>
      <c r="DY82" s="874"/>
      <c r="DZ82" s="874"/>
      <c r="EA82" s="874"/>
      <c r="EB82" s="874"/>
      <c r="EC82" s="874"/>
      <c r="ED82" s="874"/>
      <c r="EE82" s="874"/>
      <c r="EF82" s="874"/>
      <c r="EG82" s="874"/>
      <c r="EH82" s="874"/>
      <c r="EI82" s="874"/>
      <c r="EJ82" s="874"/>
      <c r="EK82" s="874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874"/>
      <c r="GI82" s="9"/>
      <c r="GJ82" s="9"/>
      <c r="GK82" s="9"/>
      <c r="GL82" s="9"/>
      <c r="GM82" s="9"/>
      <c r="GN82" s="874"/>
      <c r="GV82" s="874"/>
    </row>
    <row r="83" spans="1:204" s="565" customFormat="1" ht="13.5" thickBot="1" x14ac:dyDescent="0.25">
      <c r="A83" s="63" t="s">
        <v>948</v>
      </c>
      <c r="B83" s="537" t="s">
        <v>44</v>
      </c>
      <c r="C83" s="540">
        <v>75</v>
      </c>
      <c r="D83" s="537">
        <f>85*2</f>
        <v>170</v>
      </c>
      <c r="E83" s="515" t="s">
        <v>947</v>
      </c>
      <c r="F83" s="2"/>
      <c r="G83" s="2"/>
      <c r="H83" s="2"/>
      <c r="I83" s="2"/>
      <c r="J83" s="2"/>
      <c r="K83" s="2"/>
      <c r="L83" s="37"/>
      <c r="M83" s="37"/>
      <c r="N83" s="448"/>
      <c r="O83" s="37"/>
      <c r="P83" s="37"/>
      <c r="Q83" s="448"/>
      <c r="R83" s="448"/>
      <c r="S83" s="22"/>
      <c r="T83" s="22"/>
      <c r="U83" s="22"/>
      <c r="V83" s="22"/>
      <c r="W83" s="22"/>
      <c r="X83" s="22"/>
      <c r="Y83" s="417"/>
      <c r="Z83" s="417"/>
      <c r="AA83" s="22"/>
      <c r="AB83" s="9"/>
      <c r="AC83" s="9"/>
      <c r="AD83" s="9"/>
      <c r="AE83" s="9"/>
      <c r="AF83" s="9"/>
      <c r="AG83" s="9"/>
      <c r="AH83" s="9"/>
      <c r="AI83" s="9"/>
      <c r="AJ83" s="22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554"/>
      <c r="BM83" s="554"/>
      <c r="BN83" s="554"/>
      <c r="BO83" s="554"/>
      <c r="BP83" s="554"/>
      <c r="BQ83" s="554"/>
      <c r="BR83" s="554"/>
      <c r="BS83" s="554"/>
      <c r="BT83" s="554"/>
      <c r="BU83" s="554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1017" t="s">
        <v>1110</v>
      </c>
      <c r="CJ83" s="37"/>
      <c r="CK83" s="37"/>
      <c r="CL83" s="737">
        <f>SUM(CL63:CL82)</f>
        <v>0</v>
      </c>
      <c r="CM83" s="37"/>
      <c r="CN83" s="37"/>
      <c r="CO83" s="737">
        <f t="shared" ref="CO83" si="172">SUM(CO63:CO82)</f>
        <v>0</v>
      </c>
      <c r="CP83" s="37"/>
      <c r="CQ83" s="37"/>
      <c r="CR83" s="737">
        <f t="shared" ref="CR83" si="173">SUM(CR63:CR82)</f>
        <v>0</v>
      </c>
      <c r="CS83" s="37"/>
      <c r="CT83" s="37"/>
      <c r="CU83" s="737">
        <f t="shared" ref="CU83" si="174">SUM(CU63:CU82)</f>
        <v>0</v>
      </c>
      <c r="CV83" s="37"/>
      <c r="CW83" s="37"/>
      <c r="CX83" s="737">
        <f t="shared" ref="CX83" si="175">SUM(CX63:CX82)</f>
        <v>0</v>
      </c>
      <c r="CY83" s="37"/>
      <c r="CZ83" s="37"/>
      <c r="DA83" s="737">
        <f t="shared" ref="DA83" si="176">SUM(DA63:DA82)</f>
        <v>0</v>
      </c>
      <c r="DB83" s="37"/>
      <c r="DC83" s="37"/>
      <c r="DD83" s="737">
        <f t="shared" ref="DD83" si="177">SUM(DD63:DD82)</f>
        <v>0</v>
      </c>
      <c r="DE83" s="37"/>
      <c r="DF83" s="37"/>
      <c r="DG83" s="737">
        <f t="shared" ref="DG83" si="178">SUM(DG63:DG82)</f>
        <v>0</v>
      </c>
      <c r="DH83" s="37"/>
      <c r="DI83" s="37"/>
      <c r="DJ83" s="737">
        <f t="shared" ref="DJ83" si="179">SUM(DJ63:DJ82)</f>
        <v>0</v>
      </c>
      <c r="DK83" s="37"/>
      <c r="DL83" s="37"/>
      <c r="DM83" s="737">
        <f t="shared" ref="DM83" si="180">SUM(DM63:DM82)</f>
        <v>0</v>
      </c>
      <c r="DN83" s="9"/>
      <c r="DO83" s="9"/>
      <c r="DP83" s="9"/>
      <c r="DQ83" s="9"/>
      <c r="DR83" s="874"/>
      <c r="DS83" s="874"/>
      <c r="DT83" s="874"/>
      <c r="DU83" s="874"/>
      <c r="DV83" s="874"/>
      <c r="DW83" s="874"/>
      <c r="DX83" s="874"/>
      <c r="DY83" s="874"/>
      <c r="DZ83" s="874"/>
      <c r="EA83" s="874"/>
      <c r="EB83" s="874"/>
      <c r="EC83" s="874"/>
      <c r="ED83" s="874"/>
      <c r="EE83" s="874"/>
      <c r="EF83" s="874"/>
      <c r="EG83" s="874"/>
      <c r="EH83" s="874"/>
      <c r="EI83" s="874"/>
      <c r="EJ83" s="874"/>
      <c r="EK83" s="874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874"/>
      <c r="GI83" s="9"/>
      <c r="GJ83" s="9"/>
      <c r="GK83" s="9"/>
      <c r="GL83" s="9"/>
      <c r="GM83" s="9"/>
      <c r="GN83" s="874"/>
      <c r="GV83" s="874"/>
    </row>
    <row r="84" spans="1:204" s="565" customFormat="1" ht="13.5" thickBot="1" x14ac:dyDescent="0.25">
      <c r="A84" s="139">
        <f ca="1">IF($B$91,C85,D85)</f>
        <v>75</v>
      </c>
      <c r="B84" s="555" t="s">
        <v>45</v>
      </c>
      <c r="C84" s="556">
        <v>50</v>
      </c>
      <c r="D84" s="557">
        <f>85*2</f>
        <v>170</v>
      </c>
      <c r="E84" s="515" t="b">
        <f>ID33</f>
        <v>0</v>
      </c>
      <c r="F84" s="2"/>
      <c r="G84" s="2"/>
      <c r="H84" s="2"/>
      <c r="I84" s="2"/>
      <c r="J84" s="2"/>
      <c r="K84" s="2"/>
      <c r="L84" s="37"/>
      <c r="M84" s="37"/>
      <c r="N84" s="448"/>
      <c r="O84" s="37"/>
      <c r="P84" s="37"/>
      <c r="Q84" s="448"/>
      <c r="R84" s="448"/>
      <c r="S84" s="22"/>
      <c r="T84" s="22"/>
      <c r="U84" s="22"/>
      <c r="V84" s="22"/>
      <c r="W84" s="22"/>
      <c r="X84" s="22"/>
      <c r="Y84" s="417"/>
      <c r="Z84" s="417"/>
      <c r="AA84" s="22"/>
      <c r="AB84" s="9"/>
      <c r="AC84" s="9"/>
      <c r="AD84" s="9"/>
      <c r="AE84" s="9"/>
      <c r="AF84" s="9"/>
      <c r="AG84" s="9"/>
      <c r="AH84" s="9"/>
      <c r="AI84" s="9"/>
      <c r="AJ84" s="22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554"/>
      <c r="BM84" s="554"/>
      <c r="BN84" s="554"/>
      <c r="BO84" s="554"/>
      <c r="BP84" s="554"/>
      <c r="BQ84" s="554"/>
      <c r="BR84" s="554"/>
      <c r="BS84" s="554"/>
      <c r="BT84" s="554"/>
      <c r="BU84" s="554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1017" t="s">
        <v>1111</v>
      </c>
      <c r="CJ84" s="2"/>
      <c r="CK84" s="2"/>
      <c r="CL84" s="737">
        <f>$A$60-CL83</f>
        <v>0</v>
      </c>
      <c r="CO84" s="737">
        <f t="shared" ref="CO84" si="181">$A$60-CO83</f>
        <v>0</v>
      </c>
      <c r="CR84" s="737">
        <f t="shared" ref="CR84" si="182">$A$60-CR83</f>
        <v>0</v>
      </c>
      <c r="CU84" s="737">
        <f t="shared" ref="CU84" si="183">$A$60-CU83</f>
        <v>0</v>
      </c>
      <c r="CX84" s="737">
        <f t="shared" ref="CX84" si="184">$A$60-CX83</f>
        <v>0</v>
      </c>
      <c r="DA84" s="737">
        <f t="shared" ref="DA84" si="185">$A$60-DA83</f>
        <v>0</v>
      </c>
      <c r="DD84" s="737">
        <f t="shared" ref="DD84" si="186">$A$60-DD83</f>
        <v>0</v>
      </c>
      <c r="DG84" s="737">
        <f t="shared" ref="DG84" si="187">$A$60-DG83</f>
        <v>0</v>
      </c>
      <c r="DJ84" s="737">
        <f t="shared" ref="DJ84" si="188">$A$60-DJ83</f>
        <v>0</v>
      </c>
      <c r="DM84" s="737">
        <f t="shared" ref="DM84" si="189">$A$60-DM83</f>
        <v>0</v>
      </c>
      <c r="DN84" s="9"/>
      <c r="DO84" s="9"/>
      <c r="DP84" s="9"/>
      <c r="DQ84" s="9"/>
      <c r="DR84" s="874"/>
      <c r="DS84" s="874"/>
      <c r="DT84" s="874"/>
      <c r="DU84" s="874"/>
      <c r="DV84" s="874"/>
      <c r="DW84" s="874"/>
      <c r="DX84" s="874"/>
      <c r="DY84" s="874"/>
      <c r="DZ84" s="874"/>
      <c r="EA84" s="874"/>
      <c r="EB84" s="874"/>
      <c r="EC84" s="874"/>
      <c r="ED84" s="874"/>
      <c r="EE84" s="874"/>
      <c r="EF84" s="874"/>
      <c r="EG84" s="874"/>
      <c r="EH84" s="874"/>
      <c r="EI84" s="874"/>
      <c r="EJ84" s="874"/>
      <c r="EK84" s="874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874"/>
      <c r="GI84" s="9"/>
      <c r="GJ84" s="9"/>
      <c r="GK84" s="9"/>
      <c r="GL84" s="9"/>
      <c r="GM84" s="9"/>
      <c r="GN84" s="874"/>
      <c r="GV84" s="874"/>
    </row>
    <row r="85" spans="1:204" x14ac:dyDescent="0.2">
      <c r="B85" s="62" t="s">
        <v>895</v>
      </c>
      <c r="C85" s="62">
        <f>VLOOKUP(Бланк!$E$36,$B$82:C$84,2,0)</f>
        <v>75</v>
      </c>
      <c r="D85" s="62">
        <f>VLOOKUP(Бланк!$E$36,$B$82:D$84,3,0)</f>
        <v>170</v>
      </c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417"/>
      <c r="Z85" s="417"/>
      <c r="AA85" s="22"/>
      <c r="AB85" s="9"/>
      <c r="AC85" s="9"/>
      <c r="AD85" s="9"/>
      <c r="AE85" s="9"/>
      <c r="AF85" s="9"/>
      <c r="AG85" s="9"/>
      <c r="AH85" s="9"/>
      <c r="AI85" s="9"/>
      <c r="AJ85" s="22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554"/>
      <c r="BM85" s="554"/>
      <c r="BN85" s="554"/>
      <c r="BO85" s="554"/>
      <c r="BP85" s="554"/>
      <c r="BQ85" s="554"/>
      <c r="BR85" s="554"/>
      <c r="BS85" s="554"/>
      <c r="BT85" s="554"/>
      <c r="BU85" s="554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DN85" s="9"/>
      <c r="DO85" s="9"/>
      <c r="DP85" s="9"/>
      <c r="DQ85" s="9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FX85" s="9"/>
      <c r="FY85" s="9"/>
      <c r="FZ85" s="9"/>
      <c r="GA85" s="9"/>
      <c r="GB85" s="9"/>
      <c r="GC85" s="9"/>
      <c r="GD85" s="9"/>
      <c r="GE85" s="9"/>
      <c r="GF85" s="9"/>
      <c r="GG85" s="9"/>
      <c r="GI85" s="9"/>
      <c r="GJ85" s="9"/>
      <c r="GK85" s="9"/>
      <c r="GL85" s="9"/>
      <c r="GM85" s="9"/>
    </row>
    <row r="86" spans="1:204" ht="13.5" thickBot="1" x14ac:dyDescent="0.25">
      <c r="L86" s="873"/>
      <c r="M86" s="873"/>
      <c r="N86" s="873"/>
      <c r="O86" s="873"/>
      <c r="P86" s="873"/>
      <c r="Q86" s="873"/>
      <c r="R86" s="873"/>
      <c r="S86" s="873"/>
      <c r="T86" s="873"/>
      <c r="U86" s="873"/>
      <c r="V86" s="873"/>
      <c r="W86" s="873"/>
      <c r="X86" s="873"/>
      <c r="Y86" s="873"/>
      <c r="Z86" s="873"/>
      <c r="AA86" s="873"/>
      <c r="AB86" s="9"/>
      <c r="AC86" s="9"/>
      <c r="AD86" s="9"/>
      <c r="AE86" s="9"/>
      <c r="AF86" s="9"/>
      <c r="AG86" s="9"/>
      <c r="AH86" s="9"/>
      <c r="AI86" s="9"/>
      <c r="AJ86" s="873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554"/>
      <c r="BM86" s="554"/>
      <c r="BN86" s="554"/>
      <c r="BO86" s="554"/>
      <c r="BP86" s="554"/>
      <c r="BQ86" s="554"/>
      <c r="BR86" s="554"/>
      <c r="BS86" s="554"/>
      <c r="BT86" s="554"/>
      <c r="BU86" s="554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DN86" s="9"/>
      <c r="DO86" s="9"/>
      <c r="DP86" s="9"/>
      <c r="DQ86" s="9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FX86" s="9"/>
      <c r="FY86" s="9"/>
      <c r="FZ86" s="9"/>
      <c r="GA86" s="9"/>
      <c r="GB86" s="9"/>
      <c r="GC86" s="9"/>
      <c r="GD86" s="9"/>
      <c r="GE86" s="9"/>
      <c r="GF86" s="9"/>
      <c r="GG86" s="9"/>
      <c r="GI86" s="9"/>
      <c r="GJ86" s="9"/>
      <c r="GK86" s="9"/>
      <c r="GL86" s="9"/>
      <c r="GM86" s="9"/>
    </row>
    <row r="87" spans="1:204" x14ac:dyDescent="0.2">
      <c r="A87" s="63" t="s">
        <v>96</v>
      </c>
      <c r="B87" s="881" t="s">
        <v>949</v>
      </c>
      <c r="C87" s="879" t="s">
        <v>879</v>
      </c>
      <c r="D87" s="879" t="s">
        <v>880</v>
      </c>
      <c r="E87" s="899" t="s">
        <v>96</v>
      </c>
      <c r="L87" s="873"/>
      <c r="M87" s="873"/>
      <c r="N87" s="873"/>
      <c r="O87" s="873"/>
      <c r="P87" s="873"/>
      <c r="Q87" s="873"/>
      <c r="R87" s="873"/>
      <c r="S87" s="873"/>
      <c r="T87" s="873"/>
      <c r="U87" s="873"/>
      <c r="V87" s="873"/>
      <c r="W87" s="873"/>
      <c r="X87" s="873"/>
      <c r="Y87" s="873"/>
      <c r="Z87" s="873"/>
      <c r="AA87" s="873"/>
      <c r="AB87" s="9"/>
      <c r="AC87" s="9"/>
      <c r="AD87" s="9"/>
      <c r="AE87" s="9"/>
      <c r="AF87" s="9"/>
      <c r="AG87" s="9"/>
      <c r="AH87" s="9"/>
      <c r="AI87" s="9"/>
      <c r="AJ87" s="873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554"/>
      <c r="BM87" s="554"/>
      <c r="BN87" s="554"/>
      <c r="BO87" s="554"/>
      <c r="BP87" s="554"/>
      <c r="BQ87" s="554"/>
      <c r="BR87" s="554"/>
      <c r="BS87" s="554"/>
      <c r="BT87" s="554"/>
      <c r="BU87" s="554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DN87" s="9"/>
      <c r="DO87" s="9"/>
      <c r="DP87" s="9"/>
      <c r="DQ87" s="9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FX87" s="9"/>
      <c r="FY87" s="9"/>
      <c r="FZ87" s="9"/>
      <c r="GA87" s="9"/>
      <c r="GB87" s="9"/>
      <c r="GC87" s="9"/>
      <c r="GD87" s="9"/>
      <c r="GE87" s="9"/>
      <c r="GF87" s="9"/>
      <c r="GG87" s="9"/>
      <c r="GI87" s="9"/>
      <c r="GJ87" s="9"/>
      <c r="GK87" s="9"/>
      <c r="GL87" s="9"/>
      <c r="GM87" s="9"/>
    </row>
    <row r="88" spans="1:204" ht="13.5" customHeight="1" thickBot="1" x14ac:dyDescent="0.25">
      <c r="A88" s="896">
        <f ca="1">IF(ID33,E91,E89)</f>
        <v>600</v>
      </c>
      <c r="B88" s="1160" t="s">
        <v>1083</v>
      </c>
      <c r="C88" s="1205"/>
      <c r="D88" s="1205"/>
      <c r="E88" s="1205"/>
      <c r="F88" s="565"/>
      <c r="G88" s="565"/>
      <c r="L88" s="873"/>
      <c r="M88" s="873"/>
      <c r="N88" s="873"/>
      <c r="O88" s="873"/>
      <c r="P88" s="873"/>
      <c r="Q88" s="873"/>
      <c r="R88" s="873"/>
      <c r="S88" s="873"/>
      <c r="T88" s="873"/>
      <c r="U88" s="873"/>
      <c r="V88" s="873"/>
      <c r="W88" s="873"/>
      <c r="X88" s="873"/>
      <c r="Y88" s="873"/>
      <c r="Z88" s="873"/>
      <c r="AA88" s="873"/>
      <c r="AB88" s="9"/>
      <c r="AC88" s="9"/>
      <c r="AD88" s="9"/>
      <c r="AE88" s="9"/>
      <c r="AF88" s="9"/>
      <c r="AG88" s="9"/>
      <c r="AH88" s="9"/>
      <c r="AI88" s="9"/>
      <c r="AJ88" s="873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554"/>
      <c r="BM88" s="554"/>
      <c r="BN88" s="554"/>
      <c r="BO88" s="554"/>
      <c r="BP88" s="554"/>
      <c r="BQ88" s="554"/>
      <c r="BR88" s="554"/>
      <c r="BS88" s="554"/>
      <c r="BT88" s="554"/>
      <c r="BU88" s="554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DN88" s="9"/>
      <c r="DO88" s="9"/>
      <c r="DP88" s="9"/>
      <c r="DQ88" s="9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FX88" s="9"/>
      <c r="FY88" s="9"/>
      <c r="FZ88" s="9"/>
      <c r="GA88" s="9"/>
      <c r="GB88" s="9"/>
      <c r="GC88" s="9"/>
      <c r="GD88" s="9"/>
      <c r="GE88" s="9"/>
      <c r="GF88" s="9"/>
      <c r="GG88" s="9"/>
      <c r="GI88" s="9"/>
      <c r="GJ88" s="9"/>
      <c r="GK88" s="9"/>
      <c r="GL88" s="9"/>
      <c r="GM88" s="9"/>
    </row>
    <row r="89" spans="1:204" ht="12.75" customHeight="1" x14ac:dyDescent="0.2">
      <c r="A89" s="1305" t="s">
        <v>1085</v>
      </c>
      <c r="B89" s="881" t="b">
        <f ca="1">AND($C$89&lt;=1200,NOT($D$40))</f>
        <v>1</v>
      </c>
      <c r="C89" s="879">
        <f ca="1">$B$37+$A$49+$A$58+$A$66+$B$77+$C$85</f>
        <v>600</v>
      </c>
      <c r="D89" s="879">
        <f ca="1">MAX($C$37+$A$49+$A$58+$A$66+$C$77+$D$85,1600)</f>
        <v>1600</v>
      </c>
      <c r="E89" s="899">
        <f ca="1">ROUNDUP(IF($B$89,$C$89,$D$89)/200,0)*200</f>
        <v>600</v>
      </c>
      <c r="F89" s="565"/>
      <c r="G89" s="565"/>
      <c r="L89" s="873"/>
      <c r="M89" s="873"/>
      <c r="N89" s="873"/>
      <c r="O89" s="873"/>
      <c r="P89" s="873"/>
      <c r="Q89" s="873"/>
      <c r="R89" s="873"/>
      <c r="S89" s="873"/>
      <c r="T89" s="873"/>
      <c r="U89" s="873"/>
      <c r="V89" s="873"/>
      <c r="W89" s="873"/>
      <c r="X89" s="873"/>
      <c r="Y89" s="873"/>
      <c r="Z89" s="873"/>
      <c r="AA89" s="873"/>
      <c r="AB89" s="9"/>
      <c r="AC89" s="9"/>
      <c r="AD89" s="9"/>
      <c r="AE89" s="9"/>
      <c r="AF89" s="9"/>
      <c r="AG89" s="9"/>
      <c r="AH89" s="9"/>
      <c r="AI89" s="9"/>
      <c r="AJ89" s="873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554"/>
      <c r="BM89" s="554"/>
      <c r="BN89" s="554"/>
      <c r="BO89" s="554"/>
      <c r="BP89" s="554"/>
      <c r="BQ89" s="554"/>
      <c r="BR89" s="554"/>
      <c r="BS89" s="554"/>
      <c r="BT89" s="554"/>
      <c r="BU89" s="554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DN89" s="9"/>
      <c r="DO89" s="9"/>
      <c r="DP89" s="9"/>
      <c r="DQ89" s="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FX89" s="9"/>
      <c r="FY89" s="9"/>
      <c r="FZ89" s="9"/>
      <c r="GA89" s="9"/>
      <c r="GB89" s="9"/>
      <c r="GC89" s="9"/>
      <c r="GD89" s="9"/>
      <c r="GE89" s="9"/>
      <c r="GF89" s="9"/>
      <c r="GG89" s="9"/>
      <c r="GI89" s="9"/>
      <c r="GJ89" s="9"/>
      <c r="GK89" s="9"/>
      <c r="GL89" s="9"/>
      <c r="GM89" s="9"/>
    </row>
    <row r="90" spans="1:204" x14ac:dyDescent="0.2">
      <c r="A90" s="1306"/>
      <c r="B90" s="1160" t="s">
        <v>1084</v>
      </c>
      <c r="C90" s="1205"/>
      <c r="D90" s="1205"/>
      <c r="E90" s="1205"/>
      <c r="F90" s="565"/>
      <c r="G90" s="565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417"/>
      <c r="Z90" s="417"/>
      <c r="AA90" s="22"/>
      <c r="AB90" s="9"/>
      <c r="AC90" s="9"/>
      <c r="AD90" s="9"/>
      <c r="AE90" s="9"/>
      <c r="AF90" s="9"/>
      <c r="AG90" s="9"/>
      <c r="AH90" s="9"/>
      <c r="AI90" s="9"/>
      <c r="AJ90" s="22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554"/>
      <c r="BM90" s="554"/>
      <c r="BN90" s="554"/>
      <c r="BO90" s="554"/>
      <c r="BP90" s="554"/>
      <c r="BQ90" s="554"/>
      <c r="BR90" s="554"/>
      <c r="BS90" s="554"/>
      <c r="BT90" s="554"/>
      <c r="BU90" s="554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DN90" s="9"/>
      <c r="DO90" s="9"/>
      <c r="DP90" s="9"/>
      <c r="DQ90" s="9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FX90" s="9"/>
      <c r="FY90" s="9"/>
      <c r="FZ90" s="9"/>
      <c r="GA90" s="9"/>
      <c r="GB90" s="9"/>
      <c r="GC90" s="9"/>
      <c r="GD90" s="9"/>
      <c r="GE90" s="9"/>
      <c r="GF90" s="9"/>
      <c r="GG90" s="9"/>
      <c r="GI90" s="9"/>
      <c r="GJ90" s="9"/>
      <c r="GK90" s="9"/>
      <c r="GL90" s="9"/>
      <c r="GM90" s="9"/>
    </row>
    <row r="91" spans="1:204" ht="13.5" thickBot="1" x14ac:dyDescent="0.25">
      <c r="A91" s="888">
        <f ca="1">E91-(A33+A49+A58+A66+A84/2)</f>
        <v>762.5</v>
      </c>
      <c r="B91" s="881" t="b">
        <f ca="1">OR(ID38:IE38)</f>
        <v>1</v>
      </c>
      <c r="C91" s="879">
        <f ca="1">$C$37+$A$49+$A$58+$A$66+$B$77+$A$82+$C$85</f>
        <v>1075</v>
      </c>
      <c r="D91" s="879">
        <f ca="1">MAX($C$37+$A$49+$A$58+$A$66+$C$77+$A$82+$D$85,1600)</f>
        <v>1600</v>
      </c>
      <c r="E91" s="899">
        <f ca="1">ROUNDUP(IF($B$91,$C$91,$D$91)/200,0)*200</f>
        <v>1200</v>
      </c>
      <c r="F91" s="565"/>
      <c r="G91" s="565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417"/>
      <c r="Z91" s="417"/>
      <c r="AA91" s="22"/>
      <c r="AB91" s="9"/>
      <c r="AC91" s="9"/>
      <c r="AD91" s="9"/>
      <c r="AE91" s="9"/>
      <c r="AF91" s="9"/>
      <c r="AG91" s="9"/>
      <c r="AH91" s="9"/>
      <c r="AI91" s="9"/>
      <c r="AJ91" s="22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554"/>
      <c r="BM91" s="554"/>
      <c r="BN91" s="554"/>
      <c r="BO91" s="554"/>
      <c r="BP91" s="554"/>
      <c r="BQ91" s="554"/>
      <c r="BR91" s="554"/>
      <c r="BS91" s="554"/>
      <c r="BT91" s="554"/>
      <c r="BU91" s="554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DN91" s="9"/>
      <c r="DO91" s="9"/>
      <c r="DP91" s="9"/>
      <c r="DQ91" s="9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FX91" s="9"/>
      <c r="FY91" s="9"/>
      <c r="FZ91" s="9"/>
      <c r="GA91" s="9"/>
      <c r="GB91" s="9"/>
      <c r="GC91" s="9"/>
      <c r="GD91" s="9"/>
      <c r="GE91" s="9"/>
      <c r="GF91" s="9"/>
      <c r="GG91" s="9"/>
      <c r="GI91" s="9"/>
      <c r="GJ91" s="9"/>
      <c r="GK91" s="9"/>
      <c r="GL91" s="9"/>
      <c r="GM91" s="9"/>
    </row>
    <row r="92" spans="1:204" x14ac:dyDescent="0.2">
      <c r="A92" s="734" t="s">
        <v>973</v>
      </c>
      <c r="F92" s="37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417"/>
      <c r="Z92" s="417"/>
      <c r="AA92" s="22"/>
      <c r="AB92" s="9"/>
      <c r="AC92" s="9"/>
      <c r="AD92" s="9"/>
      <c r="AE92" s="9"/>
      <c r="AF92" s="9"/>
      <c r="AG92" s="9"/>
      <c r="AH92" s="9"/>
      <c r="AI92" s="9"/>
      <c r="AJ92" s="22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554"/>
      <c r="BM92" s="554"/>
      <c r="BN92" s="554"/>
      <c r="BO92" s="554"/>
      <c r="BP92" s="554"/>
      <c r="BQ92" s="554"/>
      <c r="BR92" s="554"/>
      <c r="BS92" s="554"/>
      <c r="BT92" s="554"/>
      <c r="BU92" s="554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DN92" s="9"/>
      <c r="DO92" s="9"/>
      <c r="DP92" s="9"/>
      <c r="DQ92" s="9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FX92" s="9"/>
      <c r="FY92" s="9"/>
      <c r="FZ92" s="9"/>
      <c r="GA92" s="9"/>
      <c r="GB92" s="9"/>
      <c r="GC92" s="9"/>
      <c r="GD92" s="9"/>
      <c r="GE92" s="9"/>
      <c r="GF92" s="9"/>
      <c r="GG92" s="9"/>
      <c r="GI92" s="9"/>
      <c r="GJ92" s="9"/>
      <c r="GK92" s="9"/>
      <c r="GL92" s="9"/>
      <c r="GM92" s="9"/>
    </row>
    <row r="93" spans="1:204" x14ac:dyDescent="0.2">
      <c r="F93" s="37"/>
      <c r="G93" s="565"/>
      <c r="H93" s="565"/>
      <c r="I93" s="565"/>
      <c r="J93" s="565"/>
      <c r="K93" s="565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417"/>
      <c r="Z93" s="417"/>
      <c r="AA93" s="22"/>
      <c r="AB93" s="9"/>
      <c r="AC93" s="9"/>
      <c r="AD93" s="9"/>
      <c r="AE93" s="9"/>
      <c r="AF93" s="9"/>
      <c r="AG93" s="9"/>
      <c r="AH93" s="9"/>
      <c r="AI93" s="9"/>
      <c r="AJ93" s="22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554"/>
      <c r="BM93" s="554"/>
      <c r="BN93" s="554"/>
      <c r="BO93" s="554"/>
      <c r="BP93" s="554"/>
      <c r="BQ93" s="554"/>
      <c r="BR93" s="554"/>
      <c r="BS93" s="554"/>
      <c r="BT93" s="554"/>
      <c r="BU93" s="554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DN93" s="9"/>
      <c r="DO93" s="9"/>
      <c r="DP93" s="9"/>
      <c r="DQ93" s="9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FX93" s="9"/>
      <c r="FY93" s="9"/>
      <c r="FZ93" s="9"/>
      <c r="GA93" s="9"/>
      <c r="GB93" s="9"/>
      <c r="GC93" s="9"/>
      <c r="GD93" s="9"/>
      <c r="GE93" s="9"/>
      <c r="GF93" s="9"/>
      <c r="GG93" s="9"/>
      <c r="GI93" s="9"/>
      <c r="GJ93" s="9"/>
      <c r="GK93" s="9"/>
      <c r="GL93" s="9"/>
      <c r="GM93" s="9"/>
    </row>
    <row r="94" spans="1:204" ht="13.5" thickBot="1" x14ac:dyDescent="0.25">
      <c r="B94" s="1214" t="s">
        <v>246</v>
      </c>
      <c r="C94" s="1156" t="s">
        <v>245</v>
      </c>
      <c r="D94" s="1156"/>
      <c r="E94" s="37"/>
      <c r="F94" s="37"/>
      <c r="I94" s="565"/>
      <c r="J94" s="565"/>
      <c r="K94" s="565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417"/>
      <c r="Z94" s="417"/>
      <c r="AA94" s="22"/>
      <c r="AB94" s="9"/>
      <c r="AC94" s="9"/>
      <c r="AD94" s="9"/>
      <c r="AE94" s="9"/>
      <c r="AF94" s="9"/>
      <c r="AG94" s="9"/>
      <c r="AH94" s="9"/>
      <c r="AI94" s="9"/>
      <c r="AJ94" s="22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554"/>
      <c r="BM94" s="554"/>
      <c r="BN94" s="554"/>
      <c r="BO94" s="554"/>
      <c r="BP94" s="554"/>
      <c r="BQ94" s="554"/>
      <c r="BR94" s="554"/>
      <c r="BS94" s="554"/>
      <c r="BT94" s="554"/>
      <c r="BU94" s="554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DN94" s="9"/>
      <c r="DO94" s="9"/>
      <c r="DP94" s="9"/>
      <c r="DQ94" s="9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FX94" s="9"/>
      <c r="FY94" s="9"/>
      <c r="FZ94" s="9"/>
      <c r="GA94" s="9"/>
      <c r="GB94" s="9"/>
      <c r="GC94" s="9"/>
      <c r="GD94" s="9"/>
      <c r="GE94" s="9"/>
      <c r="GF94" s="9"/>
      <c r="GG94" s="9"/>
      <c r="GI94" s="9"/>
      <c r="GJ94" s="9"/>
      <c r="GK94" s="9"/>
      <c r="GL94" s="9"/>
      <c r="GM94" s="9"/>
    </row>
    <row r="95" spans="1:204" x14ac:dyDescent="0.2">
      <c r="A95" s="63" t="s">
        <v>1087</v>
      </c>
      <c r="B95" s="1215"/>
      <c r="C95" s="527" t="s">
        <v>1107</v>
      </c>
      <c r="D95" s="527" t="s">
        <v>1106</v>
      </c>
      <c r="F95" s="467" t="s">
        <v>859</v>
      </c>
      <c r="I95" s="565"/>
      <c r="J95" s="565"/>
      <c r="K95" s="565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417"/>
      <c r="Z95" s="417"/>
      <c r="AA95" s="22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554"/>
      <c r="BM95" s="554"/>
      <c r="BN95" s="554"/>
      <c r="BO95" s="554"/>
      <c r="BP95" s="554"/>
      <c r="BQ95" s="554"/>
      <c r="BR95" s="554"/>
      <c r="BS95" s="554"/>
      <c r="BT95" s="554"/>
      <c r="BU95" s="554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DN95" s="9"/>
      <c r="DO95" s="9"/>
      <c r="DP95" s="9"/>
      <c r="DQ95" s="9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FX95" s="9"/>
      <c r="FY95" s="9"/>
      <c r="FZ95" s="9"/>
      <c r="GA95" s="9"/>
      <c r="GB95" s="9"/>
      <c r="GC95" s="9"/>
      <c r="GD95" s="9"/>
      <c r="GE95" s="9"/>
      <c r="GF95" s="9"/>
      <c r="GG95" s="9"/>
      <c r="GI95" s="9"/>
      <c r="GJ95" s="9"/>
      <c r="GK95" s="9"/>
      <c r="GL95" s="9"/>
      <c r="GM95" s="9"/>
    </row>
    <row r="96" spans="1:204" ht="12.75" customHeight="1" thickBot="1" x14ac:dyDescent="0.25">
      <c r="A96" s="64">
        <f ca="1">MAX(B96,IF(ID33,D96,C96))</f>
        <v>200</v>
      </c>
      <c r="B96" s="439">
        <f>IF($FU$5,200,IF($FU$11,300,IF($FU$15,400,"не размещается")))</f>
        <v>200</v>
      </c>
      <c r="C96" s="870">
        <f ca="1">IF(C89&gt;1200,400, IF(OR(Проверки!$B$27,$D$6&gt;250,$ID$33),300,200))</f>
        <v>200</v>
      </c>
      <c r="D96" s="439">
        <f ca="1">IF(ID38,ID47,IF(IE38,IE47,IF47))</f>
        <v>300</v>
      </c>
      <c r="F96" s="467" t="b">
        <f>AND(Бланк!$E$36=$B$82, COUNTA(Бланк!B11,Бланк!B13:B27)=(COUNTIF(Бланк!N11:N27,"снизу")+COUNTIF(Бланк!N11:N27,"-")))</f>
        <v>0</v>
      </c>
      <c r="I96" s="565"/>
      <c r="J96" s="565"/>
      <c r="K96" s="565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417"/>
      <c r="Z96" s="417"/>
      <c r="AA96" s="22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/>
      <c r="AR96"/>
      <c r="AS96"/>
      <c r="AT96" s="466"/>
      <c r="AU96" s="466"/>
      <c r="AV96" s="466"/>
      <c r="AW96" s="466"/>
      <c r="AX96" s="466"/>
      <c r="AY96" s="466"/>
      <c r="AZ96" s="466"/>
      <c r="BA96" s="466"/>
      <c r="BB96" s="513"/>
      <c r="BC96" s="513"/>
      <c r="BD96" s="513"/>
      <c r="BE96" s="513"/>
      <c r="BF96" s="513"/>
      <c r="BG96" s="513"/>
      <c r="BH96" s="513"/>
      <c r="BI96" s="513"/>
      <c r="BJ96" s="513"/>
      <c r="BK96" s="513"/>
      <c r="BL96" s="519"/>
      <c r="BM96" s="519"/>
      <c r="BN96" s="519"/>
      <c r="BO96" s="519"/>
      <c r="BP96" s="519"/>
      <c r="BQ96" s="519"/>
      <c r="BR96" s="519"/>
      <c r="BS96" s="519"/>
      <c r="BT96" s="519"/>
      <c r="BU96" s="519"/>
      <c r="BV96" s="513"/>
      <c r="BW96" s="513"/>
      <c r="BX96" s="513"/>
      <c r="BY96" s="513"/>
      <c r="BZ96" s="513"/>
      <c r="CA96" s="513"/>
      <c r="CB96" s="513"/>
      <c r="CC96" s="513"/>
      <c r="CD96" s="513"/>
      <c r="CE96" s="513"/>
      <c r="CF96" s="513"/>
      <c r="CG96" s="513"/>
      <c r="CH96" s="513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FX96"/>
      <c r="FY96"/>
      <c r="FZ96"/>
      <c r="GA96" s="751"/>
      <c r="GB96" s="751"/>
      <c r="GC96"/>
      <c r="GD96" s="751"/>
      <c r="GE96" s="792"/>
      <c r="GF96" s="792"/>
      <c r="GG96" s="792"/>
      <c r="GI96"/>
      <c r="GJ96"/>
      <c r="GK96" s="792"/>
      <c r="GL96" s="792"/>
      <c r="GM96" s="792"/>
    </row>
    <row r="97" spans="1:195" ht="13.5" thickBot="1" x14ac:dyDescent="0.25">
      <c r="D97" s="448"/>
      <c r="E97" s="9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417"/>
      <c r="Z97" s="417"/>
      <c r="AA97" s="22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/>
      <c r="AR97"/>
      <c r="AS97"/>
      <c r="AT97" s="466"/>
      <c r="AU97" s="466"/>
      <c r="AV97" s="466"/>
      <c r="AW97" s="466"/>
      <c r="AX97" s="466"/>
      <c r="AY97" s="466"/>
      <c r="AZ97" s="466"/>
      <c r="BA97" s="466"/>
      <c r="BB97" s="513"/>
      <c r="BC97" s="513"/>
      <c r="BD97" s="513"/>
      <c r="BE97" s="513"/>
      <c r="BF97" s="513"/>
      <c r="BG97" s="513"/>
      <c r="BH97" s="513"/>
      <c r="BI97" s="513"/>
      <c r="BJ97" s="513"/>
      <c r="BK97" s="513"/>
      <c r="BL97" s="519"/>
      <c r="BM97" s="519"/>
      <c r="BN97" s="519"/>
      <c r="BO97" s="519"/>
      <c r="BP97" s="519"/>
      <c r="BQ97" s="519"/>
      <c r="BR97" s="519"/>
      <c r="BS97" s="519"/>
      <c r="BT97" s="519"/>
      <c r="BU97" s="519"/>
      <c r="BV97" s="513"/>
      <c r="BW97" s="513"/>
      <c r="BX97" s="513"/>
      <c r="BY97" s="513"/>
      <c r="BZ97" s="513"/>
      <c r="CA97" s="513"/>
      <c r="CB97" s="513"/>
      <c r="CC97" s="513"/>
      <c r="CD97" s="513"/>
      <c r="CE97" s="513"/>
      <c r="CF97" s="513"/>
      <c r="CG97" s="513"/>
      <c r="CH97" s="513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FX97"/>
      <c r="FY97"/>
      <c r="FZ97"/>
      <c r="GA97" s="751"/>
      <c r="GB97" s="751"/>
      <c r="GC97"/>
      <c r="GD97" s="751"/>
      <c r="GE97" s="792"/>
      <c r="GF97" s="792"/>
      <c r="GG97" s="792"/>
      <c r="GI97"/>
      <c r="GJ97"/>
      <c r="GK97" s="792"/>
      <c r="GL97" s="792"/>
      <c r="GM97" s="792"/>
    </row>
    <row r="98" spans="1:195" x14ac:dyDescent="0.2">
      <c r="A98" s="63" t="s">
        <v>1095</v>
      </c>
      <c r="B98" s="743" t="s">
        <v>980</v>
      </c>
      <c r="C98" s="761" t="s">
        <v>981</v>
      </c>
      <c r="D98" s="63" t="s">
        <v>1088</v>
      </c>
      <c r="E98" s="9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417"/>
      <c r="Z98" s="417"/>
      <c r="AA98" s="22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/>
      <c r="AR98"/>
      <c r="AS98"/>
      <c r="AT98" s="466"/>
      <c r="AU98" s="466"/>
      <c r="AV98" s="466"/>
      <c r="AW98" s="466"/>
      <c r="AX98" s="466"/>
      <c r="AY98" s="466"/>
      <c r="AZ98" s="466"/>
      <c r="BA98" s="466"/>
      <c r="BB98" s="513"/>
      <c r="BC98" s="513"/>
      <c r="BD98" s="513"/>
      <c r="BE98" s="513"/>
      <c r="BF98" s="513"/>
      <c r="BG98" s="513"/>
      <c r="BH98" s="513"/>
      <c r="BI98" s="513"/>
      <c r="BJ98" s="513"/>
      <c r="BK98" s="513"/>
      <c r="BL98" s="519"/>
      <c r="BM98" s="519"/>
      <c r="BN98" s="519"/>
      <c r="BO98" s="519"/>
      <c r="BP98" s="519"/>
      <c r="BQ98" s="519"/>
      <c r="BR98" s="519"/>
      <c r="BS98" s="519"/>
      <c r="BT98" s="519"/>
      <c r="BU98" s="519"/>
      <c r="BV98" s="513"/>
      <c r="BW98" s="513"/>
      <c r="BX98" s="513"/>
      <c r="BY98" s="513"/>
      <c r="BZ98" s="513"/>
      <c r="CA98" s="513"/>
      <c r="CB98" s="513"/>
      <c r="CC98" s="513"/>
      <c r="CD98" s="513"/>
      <c r="CE98" s="513"/>
      <c r="CF98" s="513"/>
      <c r="CG98" s="513"/>
      <c r="CH98" s="513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FX98"/>
      <c r="FY98"/>
      <c r="FZ98"/>
      <c r="GA98" s="751"/>
      <c r="GB98" s="751"/>
      <c r="GC98"/>
      <c r="GD98" s="751"/>
      <c r="GE98" s="792"/>
      <c r="GF98" s="792"/>
      <c r="GG98" s="792"/>
      <c r="GI98"/>
      <c r="GJ98"/>
      <c r="GK98" s="792"/>
      <c r="GL98" s="792"/>
      <c r="GM98" s="792"/>
    </row>
    <row r="99" spans="1:195" ht="13.5" thickBot="1" x14ac:dyDescent="0.25">
      <c r="A99" s="64">
        <f>Бланк!$H$46</f>
        <v>400</v>
      </c>
      <c r="B99" s="760">
        <f ca="1">IF($GS$27,400,600)</f>
        <v>400</v>
      </c>
      <c r="C99" s="34">
        <f>IF(AND(Проверки!$B$27,OR(AND(D!$BT$56&gt;=100,$C$4=4),VALUE(D!$BT$56)&gt;=160)),800,600)</f>
        <v>600</v>
      </c>
      <c r="D99" s="762">
        <f ca="1">IF(Бланк!$C$41="ЩР",Габариты!B99,Габариты!C99)</f>
        <v>400</v>
      </c>
      <c r="I99" s="517"/>
      <c r="J99" s="37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417"/>
      <c r="Z99" s="417"/>
      <c r="AA99" s="22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/>
      <c r="AR99"/>
      <c r="AS99"/>
      <c r="AT99" s="466"/>
      <c r="AU99" s="466"/>
      <c r="AV99" s="466"/>
      <c r="AW99" s="466"/>
      <c r="AX99" s="466"/>
      <c r="AY99" s="466"/>
      <c r="AZ99" s="466"/>
      <c r="BA99" s="466"/>
      <c r="BB99" s="513"/>
      <c r="BC99" s="513"/>
      <c r="BD99" s="513"/>
      <c r="BE99" s="513"/>
      <c r="BF99" s="513"/>
      <c r="BG99" s="513"/>
      <c r="BH99" s="513"/>
      <c r="BI99" s="513"/>
      <c r="BJ99" s="513"/>
      <c r="BK99" s="513"/>
      <c r="BL99" s="519"/>
      <c r="BM99" s="519"/>
      <c r="BN99" s="519"/>
      <c r="BO99" s="519"/>
      <c r="BP99" s="519"/>
      <c r="BQ99" s="519"/>
      <c r="BR99" s="519"/>
      <c r="BS99" s="519"/>
      <c r="BT99" s="519"/>
      <c r="BU99" s="519"/>
      <c r="BV99" s="513"/>
      <c r="BW99" s="513"/>
      <c r="BX99" s="513"/>
      <c r="BY99" s="513"/>
      <c r="BZ99" s="513"/>
      <c r="CA99" s="513"/>
      <c r="CB99" s="513"/>
      <c r="CC99" s="513"/>
      <c r="CD99" s="513"/>
      <c r="CE99" s="513"/>
      <c r="CF99" s="513"/>
      <c r="CG99" s="513"/>
      <c r="CH99" s="513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FX99"/>
      <c r="FY99"/>
      <c r="FZ99"/>
      <c r="GA99" s="751"/>
      <c r="GB99" s="751"/>
      <c r="GC99"/>
      <c r="GD99" s="751"/>
      <c r="GE99" s="792"/>
      <c r="GF99" s="792"/>
      <c r="GG99" s="792"/>
      <c r="GI99"/>
      <c r="GJ99"/>
      <c r="GK99" s="792"/>
      <c r="GL99" s="792"/>
      <c r="GM99" s="792"/>
    </row>
    <row r="100" spans="1:195" x14ac:dyDescent="0.2">
      <c r="A100" s="1290" t="s">
        <v>979</v>
      </c>
      <c r="B100" s="1290"/>
      <c r="C100" s="1290"/>
      <c r="I100" s="448"/>
      <c r="J100" s="37"/>
      <c r="K100" s="37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417"/>
      <c r="Z100" s="417"/>
      <c r="AA100" s="22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/>
      <c r="AR100"/>
      <c r="AS100"/>
      <c r="AT100" s="466"/>
      <c r="AU100" s="466"/>
      <c r="AV100" s="466"/>
      <c r="AW100" s="466"/>
      <c r="AX100" s="466"/>
      <c r="AY100" s="466"/>
      <c r="AZ100" s="466"/>
      <c r="BA100" s="466"/>
      <c r="BB100" s="513"/>
      <c r="BC100" s="513"/>
      <c r="BD100" s="513"/>
      <c r="BE100" s="513"/>
      <c r="BF100" s="513"/>
      <c r="BG100" s="513"/>
      <c r="BH100" s="513"/>
      <c r="BI100" s="513"/>
      <c r="BJ100" s="513"/>
      <c r="BK100" s="513"/>
      <c r="BL100" s="519"/>
      <c r="BM100" s="519"/>
      <c r="BN100" s="519"/>
      <c r="BO100" s="519"/>
      <c r="BP100" s="519"/>
      <c r="BQ100" s="519"/>
      <c r="BR100" s="519"/>
      <c r="BS100" s="519"/>
      <c r="BT100" s="519"/>
      <c r="BU100" s="519"/>
      <c r="BV100" s="513"/>
      <c r="BW100" s="513"/>
      <c r="BX100" s="513"/>
      <c r="BY100" s="513"/>
      <c r="BZ100" s="513"/>
      <c r="CA100" s="513"/>
      <c r="CB100" s="513"/>
      <c r="CC100" s="513"/>
      <c r="CD100" s="513"/>
      <c r="CE100" s="513"/>
      <c r="CF100" s="513"/>
      <c r="CG100" s="513"/>
      <c r="CH100" s="513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FX100"/>
      <c r="FY100"/>
      <c r="FZ100"/>
      <c r="GA100" s="751"/>
      <c r="GB100" s="751"/>
      <c r="GC100"/>
      <c r="GD100" s="751"/>
      <c r="GE100" s="792"/>
      <c r="GF100" s="792"/>
      <c r="GG100" s="792"/>
      <c r="GI100"/>
      <c r="GJ100"/>
      <c r="GK100" s="792"/>
      <c r="GL100" s="792"/>
      <c r="GM100" s="792"/>
    </row>
    <row r="101" spans="1:195" x14ac:dyDescent="0.2">
      <c r="A101" s="1290"/>
      <c r="B101" s="1290"/>
      <c r="C101" s="1290"/>
      <c r="I101" s="448"/>
      <c r="J101" s="37"/>
      <c r="K101" s="37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417"/>
      <c r="Z101" s="417"/>
      <c r="AA101" s="22"/>
      <c r="AB101"/>
      <c r="AC101" s="419"/>
      <c r="AD101" s="419"/>
      <c r="AE101" s="422"/>
      <c r="AF101" s="422"/>
      <c r="AG101"/>
      <c r="AH101"/>
      <c r="AI101"/>
      <c r="AJ101"/>
      <c r="AK101"/>
      <c r="AL101"/>
      <c r="AM101"/>
      <c r="AN101"/>
      <c r="AO101" s="449"/>
      <c r="AP101" s="449"/>
      <c r="AQ101"/>
      <c r="AR101"/>
      <c r="AS101"/>
      <c r="AT101" s="466"/>
      <c r="AU101" s="466"/>
      <c r="AV101" s="466"/>
      <c r="AW101" s="466"/>
      <c r="AX101" s="466"/>
      <c r="AY101" s="466"/>
      <c r="AZ101" s="466"/>
      <c r="BA101" s="466"/>
      <c r="BB101" s="513"/>
      <c r="BC101" s="513"/>
      <c r="BD101" s="513"/>
      <c r="BE101" s="513"/>
      <c r="BF101" s="513"/>
      <c r="BG101" s="513"/>
      <c r="BH101" s="513"/>
      <c r="BI101" s="513"/>
      <c r="BJ101" s="513"/>
      <c r="BK101" s="513"/>
      <c r="BL101" s="519"/>
      <c r="BM101" s="519"/>
      <c r="BN101" s="519"/>
      <c r="BO101" s="519"/>
      <c r="BP101" s="519"/>
      <c r="BQ101" s="519"/>
      <c r="BR101" s="519"/>
      <c r="BS101" s="519"/>
      <c r="BT101" s="519"/>
      <c r="BU101" s="519"/>
      <c r="BV101" s="513"/>
      <c r="BW101" s="513"/>
      <c r="BX101" s="513"/>
      <c r="BY101" s="513"/>
      <c r="BZ101" s="513"/>
      <c r="CA101" s="513"/>
      <c r="CB101" s="513"/>
      <c r="CC101" s="513"/>
      <c r="CD101" s="513"/>
      <c r="CE101" s="513"/>
      <c r="CF101" s="513"/>
      <c r="CG101" s="513"/>
      <c r="CH101" s="513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FX101"/>
      <c r="FY101"/>
      <c r="FZ101"/>
      <c r="GA101" s="751"/>
      <c r="GB101" s="751"/>
      <c r="GC101"/>
      <c r="GD101" s="751"/>
      <c r="GE101" s="792"/>
      <c r="GF101" s="792"/>
      <c r="GG101" s="792"/>
      <c r="GI101"/>
      <c r="GJ101"/>
      <c r="GK101" s="792"/>
      <c r="GL101" s="792"/>
      <c r="GM101" s="792"/>
    </row>
    <row r="102" spans="1:195" x14ac:dyDescent="0.2">
      <c r="A102" s="1290"/>
      <c r="B102" s="1290"/>
      <c r="C102" s="1290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417"/>
      <c r="Z102" s="417"/>
      <c r="AA102" s="22"/>
      <c r="AB102"/>
      <c r="AC102" s="419"/>
      <c r="AD102" s="419"/>
      <c r="AE102" s="422"/>
      <c r="AF102" s="422"/>
      <c r="AG102"/>
      <c r="AH102"/>
      <c r="AI102"/>
      <c r="AJ102"/>
      <c r="AK102"/>
      <c r="AL102"/>
      <c r="AM102"/>
      <c r="AN102"/>
      <c r="AO102" s="449"/>
      <c r="AP102" s="449"/>
      <c r="AQ102"/>
      <c r="AR102"/>
      <c r="AS102"/>
      <c r="AT102" s="466"/>
      <c r="AU102" s="466"/>
      <c r="AV102" s="466"/>
      <c r="AW102" s="466"/>
      <c r="AX102" s="466"/>
      <c r="AY102" s="466"/>
      <c r="AZ102" s="466"/>
      <c r="BA102" s="466"/>
      <c r="BB102" s="513"/>
      <c r="BC102" s="513"/>
      <c r="BD102" s="513"/>
      <c r="BE102" s="513"/>
      <c r="BF102" s="513"/>
      <c r="BG102" s="513"/>
      <c r="BH102" s="513"/>
      <c r="BI102" s="513"/>
      <c r="BJ102" s="513"/>
      <c r="BK102" s="513"/>
      <c r="BL102" s="519"/>
      <c r="BM102" s="519"/>
      <c r="BN102" s="519"/>
      <c r="BO102" s="519"/>
      <c r="BP102" s="519"/>
      <c r="BQ102" s="519"/>
      <c r="BR102" s="519"/>
      <c r="BS102" s="519"/>
      <c r="BT102" s="519"/>
      <c r="BU102" s="519"/>
      <c r="BV102" s="513"/>
      <c r="BW102" s="513"/>
      <c r="BX102" s="513"/>
      <c r="BY102" s="513"/>
      <c r="BZ102" s="513"/>
      <c r="CA102" s="513"/>
      <c r="CB102" s="513"/>
      <c r="CC102" s="513"/>
      <c r="CD102" s="513"/>
      <c r="CE102" s="513"/>
      <c r="CF102" s="513"/>
      <c r="CG102" s="513"/>
      <c r="CH102" s="513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FX102"/>
      <c r="FY102"/>
      <c r="FZ102"/>
      <c r="GA102" s="751"/>
      <c r="GB102" s="751"/>
      <c r="GC102"/>
      <c r="GD102" s="751"/>
      <c r="GE102" s="792"/>
      <c r="GF102" s="792"/>
      <c r="GG102" s="792"/>
      <c r="GI102"/>
      <c r="GJ102"/>
      <c r="GK102" s="792"/>
      <c r="GL102" s="792"/>
      <c r="GM102" s="792"/>
    </row>
    <row r="103" spans="1:195" x14ac:dyDescent="0.2">
      <c r="A103" s="1290"/>
      <c r="B103" s="1290"/>
      <c r="C103" s="1290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417"/>
      <c r="Z103" s="417"/>
      <c r="AA103" s="22"/>
      <c r="AB103"/>
      <c r="AC103" s="419"/>
      <c r="AD103" s="419"/>
      <c r="AE103" s="422"/>
      <c r="AF103" s="422"/>
      <c r="AG103"/>
      <c r="AH103"/>
      <c r="AI103"/>
      <c r="AJ103"/>
      <c r="AK103"/>
      <c r="AL103"/>
      <c r="AM103"/>
      <c r="AN103"/>
      <c r="AO103" s="449"/>
      <c r="AP103" s="449"/>
      <c r="AQ103"/>
      <c r="AR103"/>
      <c r="AS103"/>
      <c r="AT103" s="466"/>
      <c r="AU103" s="466"/>
      <c r="AV103" s="466"/>
      <c r="AW103" s="466"/>
      <c r="AX103" s="466"/>
      <c r="AY103" s="466"/>
      <c r="AZ103" s="466"/>
      <c r="BA103" s="466"/>
      <c r="BB103" s="513"/>
      <c r="BC103" s="513"/>
      <c r="BD103" s="513"/>
      <c r="BE103" s="513"/>
      <c r="BF103" s="513"/>
      <c r="BG103" s="513"/>
      <c r="BH103" s="513"/>
      <c r="BI103" s="513"/>
      <c r="BJ103" s="513"/>
      <c r="BK103" s="513"/>
      <c r="BL103" s="519"/>
      <c r="BM103" s="519"/>
      <c r="BN103" s="519"/>
      <c r="BO103" s="519"/>
      <c r="BP103" s="519"/>
      <c r="BQ103" s="519"/>
      <c r="BR103" s="519"/>
      <c r="BS103" s="519"/>
      <c r="BT103" s="519"/>
      <c r="BU103" s="519"/>
      <c r="BV103" s="513"/>
      <c r="BW103" s="513"/>
      <c r="BX103" s="513"/>
      <c r="BY103" s="513"/>
      <c r="BZ103" s="513"/>
      <c r="CA103" s="513"/>
      <c r="CB103" s="513"/>
      <c r="CC103" s="513"/>
      <c r="CD103" s="513"/>
      <c r="CE103" s="513"/>
      <c r="CF103" s="513"/>
      <c r="CG103" s="513"/>
      <c r="CH103" s="51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FX103"/>
      <c r="FY103"/>
      <c r="FZ103"/>
      <c r="GA103" s="751"/>
      <c r="GB103" s="751"/>
      <c r="GC103"/>
      <c r="GD103" s="751"/>
      <c r="GE103" s="792"/>
      <c r="GF103" s="792"/>
      <c r="GG103" s="792"/>
      <c r="GI103"/>
      <c r="GJ103"/>
      <c r="GK103" s="792"/>
      <c r="GL103" s="792"/>
      <c r="GM103" s="792"/>
    </row>
    <row r="104" spans="1:195" x14ac:dyDescent="0.2">
      <c r="A104" s="1290"/>
      <c r="B104" s="1290"/>
      <c r="C104" s="1290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417"/>
      <c r="Z104" s="417"/>
      <c r="AA104" s="22"/>
      <c r="AB104"/>
      <c r="AC104" s="419"/>
      <c r="AD104" s="419"/>
      <c r="AE104" s="422"/>
      <c r="AF104" s="422"/>
      <c r="AG104"/>
      <c r="AH104"/>
      <c r="AI104"/>
      <c r="AJ104"/>
      <c r="AK104"/>
      <c r="AL104"/>
      <c r="AM104"/>
      <c r="AN104"/>
      <c r="AO104" s="449"/>
      <c r="AP104" s="449"/>
      <c r="AQ104"/>
      <c r="AR104"/>
      <c r="AS104"/>
      <c r="AT104" s="466"/>
      <c r="AU104" s="466"/>
      <c r="AV104" s="466"/>
      <c r="AW104" s="466"/>
      <c r="AX104" s="466"/>
      <c r="AY104" s="466"/>
      <c r="AZ104" s="466"/>
      <c r="BA104" s="466"/>
      <c r="BB104" s="513"/>
      <c r="BC104" s="513"/>
      <c r="BD104" s="513"/>
      <c r="BE104" s="513"/>
      <c r="BF104" s="513"/>
      <c r="BG104" s="513"/>
      <c r="BH104" s="513"/>
      <c r="BI104" s="513"/>
      <c r="BJ104" s="513"/>
      <c r="BK104" s="513"/>
      <c r="BL104" s="519"/>
      <c r="BM104" s="519"/>
      <c r="BN104" s="519"/>
      <c r="BO104" s="519"/>
      <c r="BP104" s="519"/>
      <c r="BQ104" s="519"/>
      <c r="BR104" s="519"/>
      <c r="BS104" s="519"/>
      <c r="BT104" s="519"/>
      <c r="BU104" s="519"/>
      <c r="BV104" s="513"/>
      <c r="BW104" s="513"/>
      <c r="BX104" s="513"/>
      <c r="BY104" s="513"/>
      <c r="BZ104" s="513"/>
      <c r="CA104" s="513"/>
      <c r="CB104" s="513"/>
      <c r="CC104" s="513"/>
      <c r="CD104" s="513"/>
      <c r="CE104" s="513"/>
      <c r="CF104" s="513"/>
      <c r="CG104" s="513"/>
      <c r="CH104" s="513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FX104"/>
      <c r="FY104"/>
      <c r="FZ104"/>
      <c r="GA104" s="751"/>
      <c r="GB104" s="751"/>
      <c r="GC104"/>
      <c r="GD104" s="751"/>
      <c r="GE104" s="792"/>
      <c r="GF104" s="792"/>
      <c r="GG104" s="792"/>
      <c r="GI104"/>
      <c r="GJ104"/>
      <c r="GK104" s="792"/>
      <c r="GL104" s="792"/>
      <c r="GM104" s="792"/>
    </row>
    <row r="105" spans="1:195" x14ac:dyDescent="0.2">
      <c r="A105" s="1290"/>
      <c r="B105" s="1290"/>
      <c r="C105" s="1290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417"/>
      <c r="Z105" s="417"/>
      <c r="AA105" s="22"/>
      <c r="AB105"/>
      <c r="AC105" s="419"/>
      <c r="AD105" s="419"/>
      <c r="AE105" s="422"/>
      <c r="AF105" s="422"/>
      <c r="AG105"/>
      <c r="AH105"/>
      <c r="AI105"/>
      <c r="AJ105"/>
      <c r="AK105"/>
      <c r="AL105"/>
      <c r="AM105"/>
      <c r="AN105"/>
      <c r="AO105" s="449"/>
      <c r="AP105" s="449"/>
      <c r="AQ105"/>
      <c r="AR105"/>
      <c r="AS105"/>
      <c r="AT105" s="466"/>
      <c r="AU105" s="466"/>
      <c r="AV105" s="466"/>
      <c r="AW105" s="466"/>
      <c r="AX105" s="466"/>
      <c r="AY105" s="466"/>
      <c r="AZ105" s="466"/>
      <c r="BA105" s="466"/>
      <c r="BB105" s="513"/>
      <c r="BC105" s="513"/>
      <c r="BD105" s="513"/>
      <c r="BE105" s="513"/>
      <c r="BF105" s="513"/>
      <c r="BG105" s="513"/>
      <c r="BH105" s="513"/>
      <c r="BI105" s="513"/>
      <c r="BJ105" s="513"/>
      <c r="BK105" s="513"/>
      <c r="BL105" s="519"/>
      <c r="BM105" s="519"/>
      <c r="BN105" s="519"/>
      <c r="BO105" s="519"/>
      <c r="BP105" s="519"/>
      <c r="BQ105" s="519"/>
      <c r="BR105" s="519"/>
      <c r="BS105" s="519"/>
      <c r="BT105" s="519"/>
      <c r="BU105" s="519"/>
      <c r="BV105" s="513"/>
      <c r="BW105" s="513"/>
      <c r="BX105" s="513"/>
      <c r="BY105" s="513"/>
      <c r="BZ105" s="513"/>
      <c r="CA105" s="513"/>
      <c r="CB105" s="513"/>
      <c r="CC105" s="513"/>
      <c r="CD105" s="513"/>
      <c r="CE105" s="513"/>
      <c r="CF105" s="513"/>
      <c r="CG105" s="513"/>
      <c r="CH105" s="513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FX105"/>
      <c r="FY105"/>
      <c r="FZ105"/>
      <c r="GA105" s="751"/>
      <c r="GB105" s="751"/>
      <c r="GC105"/>
      <c r="GD105" s="751"/>
      <c r="GE105" s="792"/>
      <c r="GF105" s="792"/>
      <c r="GG105" s="792"/>
      <c r="GI105"/>
      <c r="GJ105"/>
      <c r="GK105" s="792"/>
      <c r="GL105" s="792"/>
      <c r="GM105" s="792"/>
    </row>
    <row r="106" spans="1:195" x14ac:dyDescent="0.2"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417"/>
      <c r="Z106" s="417"/>
      <c r="AA106" s="22"/>
      <c r="AB106"/>
      <c r="AC106" s="419"/>
      <c r="AD106" s="419"/>
      <c r="AE106" s="422"/>
      <c r="AF106" s="422"/>
      <c r="AG106"/>
      <c r="AH106"/>
      <c r="AI106"/>
      <c r="AJ106"/>
      <c r="AK106"/>
      <c r="AL106"/>
      <c r="AM106"/>
      <c r="AN106"/>
      <c r="AO106" s="449"/>
      <c r="AP106" s="449"/>
      <c r="AQ106"/>
      <c r="AR106"/>
      <c r="AS106"/>
      <c r="AT106" s="466"/>
      <c r="AU106" s="466"/>
      <c r="AV106" s="466"/>
      <c r="AW106" s="466"/>
      <c r="AX106" s="466"/>
      <c r="AY106" s="466"/>
      <c r="AZ106" s="466"/>
      <c r="BA106" s="466"/>
      <c r="BB106" s="513"/>
      <c r="BC106" s="513"/>
      <c r="BD106" s="513"/>
      <c r="BE106" s="513"/>
      <c r="BF106" s="513"/>
      <c r="BG106" s="513"/>
      <c r="BH106" s="513"/>
      <c r="BI106" s="513"/>
      <c r="BJ106" s="513"/>
      <c r="BK106" s="513"/>
      <c r="BL106" s="519"/>
      <c r="BM106" s="519"/>
      <c r="BN106" s="519"/>
      <c r="BO106" s="519"/>
      <c r="BP106" s="519"/>
      <c r="BQ106" s="519"/>
      <c r="BR106" s="519"/>
      <c r="BS106" s="519"/>
      <c r="BT106" s="519"/>
      <c r="BU106" s="519"/>
      <c r="BV106" s="513"/>
      <c r="BW106" s="513"/>
      <c r="BX106" s="513"/>
      <c r="BY106" s="513"/>
      <c r="BZ106" s="513"/>
      <c r="CA106" s="513"/>
      <c r="CB106" s="513"/>
      <c r="CC106" s="513"/>
      <c r="CD106" s="513"/>
      <c r="CE106" s="513"/>
      <c r="CF106" s="513"/>
      <c r="CG106" s="513"/>
      <c r="CH106" s="513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FX106"/>
      <c r="FY106"/>
      <c r="FZ106"/>
      <c r="GA106" s="751"/>
      <c r="GB106" s="751"/>
      <c r="GC106"/>
      <c r="GD106" s="751"/>
      <c r="GE106" s="792"/>
      <c r="GF106" s="792"/>
      <c r="GG106" s="792"/>
      <c r="GI106"/>
      <c r="GJ106"/>
      <c r="GK106" s="792"/>
      <c r="GL106" s="792"/>
      <c r="GM106" s="792"/>
    </row>
    <row r="107" spans="1:195" x14ac:dyDescent="0.2"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417"/>
      <c r="Z107" s="417"/>
      <c r="AA107" s="22"/>
      <c r="AB107"/>
      <c r="AC107" s="419"/>
      <c r="AD107" s="419"/>
      <c r="AE107" s="422"/>
      <c r="AF107" s="422"/>
      <c r="AG107"/>
      <c r="AH107"/>
      <c r="AI107"/>
      <c r="AJ107"/>
      <c r="AK107"/>
      <c r="AL107"/>
      <c r="AM107"/>
      <c r="AN107"/>
      <c r="AO107" s="449"/>
      <c r="AP107" s="449"/>
      <c r="AQ107"/>
      <c r="AR107"/>
      <c r="AS107"/>
      <c r="AT107" s="466"/>
      <c r="AU107" s="466"/>
      <c r="AV107" s="466"/>
      <c r="AW107" s="466"/>
      <c r="AX107" s="466"/>
      <c r="AY107" s="466"/>
      <c r="AZ107" s="466"/>
      <c r="BA107" s="466"/>
      <c r="BB107" s="513"/>
      <c r="BC107" s="513"/>
      <c r="BD107" s="513"/>
      <c r="BE107" s="513"/>
      <c r="BF107" s="513"/>
      <c r="BG107" s="513"/>
      <c r="BH107" s="513"/>
      <c r="BI107" s="513"/>
      <c r="BJ107" s="513"/>
      <c r="BK107" s="513"/>
      <c r="BL107" s="519"/>
      <c r="BM107" s="519"/>
      <c r="BN107" s="519"/>
      <c r="BO107" s="519"/>
      <c r="BP107" s="519"/>
      <c r="BQ107" s="519"/>
      <c r="BR107" s="519"/>
      <c r="BS107" s="519"/>
      <c r="BT107" s="519"/>
      <c r="BU107" s="519"/>
      <c r="BV107" s="513"/>
      <c r="BW107" s="513"/>
      <c r="BX107" s="513"/>
      <c r="BY107" s="513"/>
      <c r="BZ107" s="513"/>
      <c r="CA107" s="513"/>
      <c r="CB107" s="513"/>
      <c r="CC107" s="513"/>
      <c r="CD107" s="513"/>
      <c r="CE107" s="513"/>
      <c r="CF107" s="513"/>
      <c r="CG107" s="513"/>
      <c r="CH107" s="513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FX107"/>
      <c r="FY107"/>
      <c r="FZ107"/>
      <c r="GA107" s="751"/>
      <c r="GB107" s="751"/>
      <c r="GC107"/>
      <c r="GD107" s="751"/>
      <c r="GE107" s="792"/>
      <c r="GF107" s="792"/>
      <c r="GG107" s="792"/>
      <c r="GI107"/>
      <c r="GJ107"/>
      <c r="GK107" s="792"/>
      <c r="GL107" s="792"/>
      <c r="GM107" s="792"/>
    </row>
    <row r="108" spans="1:195" x14ac:dyDescent="0.2"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417"/>
      <c r="Z108" s="417"/>
      <c r="AA108" s="22"/>
      <c r="AB108"/>
      <c r="AC108" s="419"/>
      <c r="AD108" s="419"/>
      <c r="AE108" s="422"/>
      <c r="AF108" s="422"/>
      <c r="AG108"/>
      <c r="AH108"/>
      <c r="AI108"/>
      <c r="AJ108"/>
      <c r="AK108"/>
      <c r="AL108"/>
      <c r="AM108"/>
      <c r="AN108"/>
      <c r="AO108" s="449"/>
      <c r="AP108" s="449"/>
    </row>
    <row r="109" spans="1:195" x14ac:dyDescent="0.2"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417"/>
      <c r="Z109" s="417"/>
      <c r="AA109" s="22"/>
      <c r="AB109"/>
      <c r="AC109" s="419"/>
      <c r="AD109" s="419"/>
      <c r="AE109" s="422"/>
      <c r="AF109" s="422"/>
      <c r="AG109"/>
      <c r="AH109"/>
      <c r="AI109"/>
      <c r="AJ109"/>
      <c r="AK109"/>
      <c r="AL109"/>
      <c r="AM109"/>
      <c r="AN109"/>
      <c r="AO109" s="449"/>
      <c r="AP109" s="449"/>
    </row>
    <row r="110" spans="1:195" x14ac:dyDescent="0.2"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417"/>
      <c r="Z110" s="417"/>
      <c r="AA110" s="22"/>
      <c r="AB110"/>
      <c r="AC110" s="419"/>
      <c r="AD110" s="419"/>
      <c r="AE110" s="422"/>
      <c r="AF110" s="422"/>
      <c r="AG110"/>
      <c r="AH110"/>
      <c r="AI110"/>
      <c r="AJ110"/>
      <c r="AK110"/>
      <c r="AL110"/>
      <c r="AM110"/>
      <c r="AN110"/>
      <c r="AO110" s="449"/>
      <c r="AP110" s="449"/>
    </row>
    <row r="111" spans="1:195" x14ac:dyDescent="0.2"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417"/>
      <c r="Z111" s="417"/>
      <c r="AA111" s="22"/>
      <c r="AB111"/>
      <c r="AC111" s="419"/>
      <c r="AD111" s="419"/>
      <c r="AE111" s="422"/>
      <c r="AF111" s="422"/>
      <c r="AG111"/>
      <c r="AH111"/>
      <c r="AI111"/>
      <c r="AJ111"/>
      <c r="AK111"/>
      <c r="AL111"/>
      <c r="AM111"/>
      <c r="AN111"/>
      <c r="AO111" s="449"/>
      <c r="AP111" s="449"/>
    </row>
    <row r="112" spans="1:195" x14ac:dyDescent="0.2"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417"/>
      <c r="Z112" s="417"/>
      <c r="AA112" s="22"/>
      <c r="AB112"/>
      <c r="AC112" s="419"/>
      <c r="AD112" s="419"/>
      <c r="AE112" s="422"/>
      <c r="AF112" s="422"/>
      <c r="AG112"/>
      <c r="AH112"/>
      <c r="AI112"/>
      <c r="AJ112"/>
      <c r="AK112"/>
      <c r="AL112"/>
      <c r="AM112"/>
      <c r="AN112"/>
      <c r="AO112" s="449"/>
      <c r="AP112" s="449"/>
    </row>
    <row r="117" spans="1:204" s="565" customForma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BL117" s="553"/>
      <c r="BM117" s="553"/>
      <c r="BN117" s="553"/>
      <c r="BO117" s="553"/>
      <c r="BP117" s="553"/>
      <c r="BQ117" s="553"/>
      <c r="BR117" s="553"/>
      <c r="BS117" s="553"/>
      <c r="BT117" s="553"/>
      <c r="BU117" s="553"/>
      <c r="GH117" s="882"/>
      <c r="GN117" s="882"/>
      <c r="GV117" s="882"/>
    </row>
    <row r="118" spans="1:204" s="565" customForma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BL118" s="553"/>
      <c r="BM118" s="553"/>
      <c r="BN118" s="553"/>
      <c r="BO118" s="553"/>
      <c r="BP118" s="553"/>
      <c r="BQ118" s="553"/>
      <c r="BR118" s="553"/>
      <c r="BS118" s="553"/>
      <c r="BT118" s="553"/>
      <c r="BU118" s="553"/>
      <c r="GH118" s="882"/>
      <c r="GN118" s="882"/>
      <c r="GV118" s="882"/>
    </row>
    <row r="119" spans="1:204" s="565" customForma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BL119" s="553"/>
      <c r="BM119" s="553"/>
      <c r="BN119" s="553"/>
      <c r="BO119" s="553"/>
      <c r="BP119" s="553"/>
      <c r="BQ119" s="553"/>
      <c r="BR119" s="553"/>
      <c r="BS119" s="553"/>
      <c r="BT119" s="553"/>
      <c r="BU119" s="553"/>
      <c r="GH119" s="882"/>
      <c r="GN119" s="882"/>
      <c r="GV119" s="882"/>
    </row>
    <row r="120" spans="1:204" x14ac:dyDescent="0.2">
      <c r="A120" s="565"/>
      <c r="B120" s="872"/>
      <c r="C120" s="872"/>
      <c r="D120" s="872"/>
      <c r="E120" s="37"/>
    </row>
    <row r="121" spans="1:204" x14ac:dyDescent="0.2">
      <c r="A121" s="565"/>
      <c r="B121" s="872"/>
      <c r="C121" s="872"/>
      <c r="D121" s="872"/>
      <c r="E121" s="37"/>
    </row>
    <row r="122" spans="1:204" x14ac:dyDescent="0.2">
      <c r="A122" s="565"/>
      <c r="B122" s="878"/>
      <c r="C122" s="878"/>
      <c r="D122" s="878"/>
      <c r="E122" s="37"/>
      <c r="F122" s="565"/>
      <c r="G122" s="565"/>
      <c r="H122" s="565"/>
      <c r="I122" s="565"/>
      <c r="J122" s="565"/>
      <c r="K122" s="565"/>
      <c r="L122" s="565"/>
      <c r="M122" s="565"/>
      <c r="N122" s="565"/>
      <c r="O122" s="565"/>
      <c r="P122" s="565"/>
      <c r="Q122" s="565"/>
      <c r="R122" s="565"/>
      <c r="S122" s="565"/>
      <c r="T122" s="565"/>
      <c r="U122" s="565"/>
      <c r="V122" s="565"/>
      <c r="W122" s="565"/>
      <c r="X122" s="565"/>
      <c r="Y122" s="565"/>
      <c r="Z122" s="565"/>
      <c r="AA122" s="565"/>
      <c r="AB122" s="565"/>
      <c r="AC122" s="565"/>
      <c r="AD122" s="565"/>
      <c r="AE122" s="565"/>
      <c r="AF122" s="565"/>
      <c r="AG122" s="565"/>
      <c r="AH122" s="565"/>
      <c r="AI122" s="565"/>
      <c r="AJ122" s="565"/>
      <c r="AK122" s="565"/>
      <c r="AL122" s="565"/>
      <c r="AM122" s="565"/>
      <c r="AN122" s="565"/>
      <c r="AO122" s="565"/>
      <c r="AP122" s="565"/>
    </row>
    <row r="123" spans="1:204" x14ac:dyDescent="0.2">
      <c r="A123" s="565"/>
      <c r="B123" s="878"/>
      <c r="C123" s="878"/>
      <c r="D123" s="878"/>
      <c r="E123" s="37"/>
      <c r="F123" s="565"/>
      <c r="G123" s="565"/>
      <c r="H123" s="565"/>
      <c r="I123" s="565"/>
      <c r="J123" s="565"/>
      <c r="K123" s="565"/>
      <c r="L123" s="565"/>
      <c r="M123" s="565"/>
      <c r="N123" s="565"/>
      <c r="O123" s="565"/>
      <c r="P123" s="565"/>
      <c r="Q123" s="565"/>
      <c r="R123" s="565"/>
      <c r="S123" s="565"/>
      <c r="T123" s="565"/>
      <c r="U123" s="565"/>
      <c r="V123" s="565"/>
      <c r="W123" s="565"/>
      <c r="X123" s="565"/>
      <c r="Y123" s="565"/>
      <c r="Z123" s="565"/>
      <c r="AA123" s="565"/>
      <c r="AB123" s="565"/>
      <c r="AC123" s="565"/>
      <c r="AD123" s="565"/>
      <c r="AE123" s="565"/>
      <c r="AF123" s="565"/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</row>
    <row r="124" spans="1:204" x14ac:dyDescent="0.2">
      <c r="A124" s="565"/>
      <c r="B124" s="878"/>
      <c r="C124" s="878"/>
      <c r="D124" s="878"/>
      <c r="E124" s="37"/>
      <c r="F124" s="565"/>
      <c r="G124" s="565"/>
      <c r="H124" s="565"/>
      <c r="I124" s="565"/>
      <c r="J124" s="565"/>
      <c r="K124" s="565"/>
      <c r="L124" s="565"/>
      <c r="M124" s="565"/>
      <c r="N124" s="565"/>
      <c r="O124" s="565"/>
      <c r="P124" s="565"/>
      <c r="Q124" s="565"/>
      <c r="R124" s="565"/>
      <c r="S124" s="565"/>
      <c r="T124" s="565"/>
      <c r="U124" s="565"/>
      <c r="V124" s="565"/>
      <c r="W124" s="565"/>
      <c r="X124" s="565"/>
      <c r="Y124" s="565"/>
      <c r="Z124" s="565"/>
      <c r="AA124" s="565"/>
      <c r="AB124" s="565"/>
      <c r="AC124" s="565"/>
      <c r="AD124" s="565"/>
      <c r="AE124" s="565"/>
      <c r="AF124" s="565"/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</row>
    <row r="125" spans="1:204" x14ac:dyDescent="0.2">
      <c r="C125" s="37"/>
      <c r="D125" s="37"/>
      <c r="E125" s="37"/>
    </row>
    <row r="126" spans="1:204" x14ac:dyDescent="0.2">
      <c r="A126" s="565"/>
      <c r="C126" s="37"/>
      <c r="D126" s="37"/>
      <c r="E126" s="37"/>
    </row>
  </sheetData>
  <dataConsolidate/>
  <mergeCells count="199">
    <mergeCell ref="ID13:IE13"/>
    <mergeCell ref="GW2:HF2"/>
    <mergeCell ref="GS3:GU3"/>
    <mergeCell ref="GO27:GR28"/>
    <mergeCell ref="ID7:ID9"/>
    <mergeCell ref="FS19:FS21"/>
    <mergeCell ref="HO3:HP4"/>
    <mergeCell ref="A89:A90"/>
    <mergeCell ref="B38:D38"/>
    <mergeCell ref="B39:C39"/>
    <mergeCell ref="B41:D41"/>
    <mergeCell ref="HS2:IB2"/>
    <mergeCell ref="HV3:HW3"/>
    <mergeCell ref="HX3:HY3"/>
    <mergeCell ref="HZ3:IA4"/>
    <mergeCell ref="IB3:IB4"/>
    <mergeCell ref="HZ25:IA25"/>
    <mergeCell ref="GO3:GO4"/>
    <mergeCell ref="HD3:HE4"/>
    <mergeCell ref="HF3:HF4"/>
    <mergeCell ref="HH2:HQ2"/>
    <mergeCell ref="HK3:HL3"/>
    <mergeCell ref="HM3:HN3"/>
    <mergeCell ref="HQ3:HQ4"/>
    <mergeCell ref="I2:W2"/>
    <mergeCell ref="A4:A5"/>
    <mergeCell ref="A100:C105"/>
    <mergeCell ref="HK28:HO28"/>
    <mergeCell ref="GZ26:HD26"/>
    <mergeCell ref="GZ27:HD27"/>
    <mergeCell ref="GZ28:HD28"/>
    <mergeCell ref="J49:J53"/>
    <mergeCell ref="F4:F5"/>
    <mergeCell ref="G4:G5"/>
    <mergeCell ref="E4:E5"/>
    <mergeCell ref="D4:D5"/>
    <mergeCell ref="C4:C5"/>
    <mergeCell ref="B4:B5"/>
    <mergeCell ref="X2:AL2"/>
    <mergeCell ref="AC3:AF3"/>
    <mergeCell ref="AI3:AL3"/>
    <mergeCell ref="I3:L3"/>
    <mergeCell ref="R3:T3"/>
    <mergeCell ref="HK26:HO26"/>
    <mergeCell ref="HK27:HO27"/>
    <mergeCell ref="DB61:DD61"/>
    <mergeCell ref="DB34:DD34"/>
    <mergeCell ref="CV61:CX61"/>
    <mergeCell ref="HO25:HP25"/>
    <mergeCell ref="GP3:GR3"/>
    <mergeCell ref="GZ3:HA3"/>
    <mergeCell ref="HB3:HC3"/>
    <mergeCell ref="HD25:HE25"/>
    <mergeCell ref="HV27:HZ27"/>
    <mergeCell ref="HV28:HZ28"/>
    <mergeCell ref="CS61:CU61"/>
    <mergeCell ref="CI34:CI35"/>
    <mergeCell ref="CI60:DM60"/>
    <mergeCell ref="CI61:CI62"/>
    <mergeCell ref="CJ61:CL61"/>
    <mergeCell ref="CM61:CO61"/>
    <mergeCell ref="DE61:DG61"/>
    <mergeCell ref="DH61:DJ61"/>
    <mergeCell ref="CI33:DM33"/>
    <mergeCell ref="CP61:CR61"/>
    <mergeCell ref="FU5:FU10"/>
    <mergeCell ref="FG8:FG10"/>
    <mergeCell ref="FS9:FS10"/>
    <mergeCell ref="CV4:CX4"/>
    <mergeCell ref="CS34:CU34"/>
    <mergeCell ref="CV34:CX34"/>
    <mergeCell ref="CM34:CO34"/>
    <mergeCell ref="M3:N3"/>
    <mergeCell ref="O3:Q3"/>
    <mergeCell ref="U3:W3"/>
    <mergeCell ref="X1:AN1"/>
    <mergeCell ref="AM3:AN3"/>
    <mergeCell ref="AM2:AP2"/>
    <mergeCell ref="AO3:AP3"/>
    <mergeCell ref="AV5:AW5"/>
    <mergeCell ref="CI3:DM3"/>
    <mergeCell ref="AU3:AZ4"/>
    <mergeCell ref="BD1:CG1"/>
    <mergeCell ref="BL3:BX3"/>
    <mergeCell ref="BH3:BK3"/>
    <mergeCell ref="BH2:BX2"/>
    <mergeCell ref="CC3:CG3"/>
    <mergeCell ref="BY2:CG2"/>
    <mergeCell ref="BY3:CB3"/>
    <mergeCell ref="BG2:BG3"/>
    <mergeCell ref="BD2:BF3"/>
    <mergeCell ref="CJ4:CL4"/>
    <mergeCell ref="CI4:CI5"/>
    <mergeCell ref="CS4:CU4"/>
    <mergeCell ref="CM4:CO4"/>
    <mergeCell ref="CP4:CR4"/>
    <mergeCell ref="GO1:IB1"/>
    <mergeCell ref="GA3:GM3"/>
    <mergeCell ref="FS6:FS7"/>
    <mergeCell ref="CY61:DA61"/>
    <mergeCell ref="DK34:DM34"/>
    <mergeCell ref="CY34:DA34"/>
    <mergeCell ref="DK4:DM4"/>
    <mergeCell ref="DB4:DD4"/>
    <mergeCell ref="DE4:DG4"/>
    <mergeCell ref="EI3:EI4"/>
    <mergeCell ref="FI2:FI3"/>
    <mergeCell ref="FG11:FG12"/>
    <mergeCell ref="FH11:FH14"/>
    <mergeCell ref="FS11:FS12"/>
    <mergeCell ref="FT11:FT14"/>
    <mergeCell ref="FU11:FU14"/>
    <mergeCell ref="FG13:FG14"/>
    <mergeCell ref="FS13:FS14"/>
    <mergeCell ref="FJ3:FR3"/>
    <mergeCell ref="DH4:DJ4"/>
    <mergeCell ref="HV26:HZ26"/>
    <mergeCell ref="CY4:DA4"/>
    <mergeCell ref="DH34:DJ34"/>
    <mergeCell ref="EG6:EG7"/>
    <mergeCell ref="DO3:DQ3"/>
    <mergeCell ref="ET3:ET4"/>
    <mergeCell ref="EJ3:EJ4"/>
    <mergeCell ref="EK3:EK4"/>
    <mergeCell ref="EL3:EL4"/>
    <mergeCell ref="EM3:EM4"/>
    <mergeCell ref="EN3:EN4"/>
    <mergeCell ref="EC3:EE3"/>
    <mergeCell ref="EG3:EG4"/>
    <mergeCell ref="EH3:EH4"/>
    <mergeCell ref="DX3:EA3"/>
    <mergeCell ref="EU3:EU4"/>
    <mergeCell ref="EV3:EV4"/>
    <mergeCell ref="EW3:FE3"/>
    <mergeCell ref="FS3:FT3"/>
    <mergeCell ref="EO3:EO4"/>
    <mergeCell ref="EP3:EP4"/>
    <mergeCell ref="EQ3:EQ4"/>
    <mergeCell ref="ER3:ER4"/>
    <mergeCell ref="ES3:ES4"/>
    <mergeCell ref="H47:I47"/>
    <mergeCell ref="I49:I53"/>
    <mergeCell ref="FG5:FG7"/>
    <mergeCell ref="FH5:FH10"/>
    <mergeCell ref="FT5:FT10"/>
    <mergeCell ref="DS3:DV3"/>
    <mergeCell ref="C94:D94"/>
    <mergeCell ref="B94:B95"/>
    <mergeCell ref="ID54:IF54"/>
    <mergeCell ref="ID37:IF37"/>
    <mergeCell ref="ID42:IF42"/>
    <mergeCell ref="ID44:IF44"/>
    <mergeCell ref="B90:E90"/>
    <mergeCell ref="B88:E88"/>
    <mergeCell ref="ID48:IF48"/>
    <mergeCell ref="ID46:IF46"/>
    <mergeCell ref="E80:E81"/>
    <mergeCell ref="ID52:IF52"/>
    <mergeCell ref="B32:C32"/>
    <mergeCell ref="B34:C34"/>
    <mergeCell ref="FI19:FI21"/>
    <mergeCell ref="DK61:DM61"/>
    <mergeCell ref="ID40:IF40"/>
    <mergeCell ref="ID50:IF50"/>
    <mergeCell ref="FS15:FS16"/>
    <mergeCell ref="FT15:FT18"/>
    <mergeCell ref="FU15:FU18"/>
    <mergeCell ref="FG17:FG18"/>
    <mergeCell ref="FS17:FS18"/>
    <mergeCell ref="B36:C36"/>
    <mergeCell ref="CJ34:CL34"/>
    <mergeCell ref="CP34:CR34"/>
    <mergeCell ref="DE34:DG34"/>
    <mergeCell ref="FG15:FG16"/>
    <mergeCell ref="FH15:FH18"/>
    <mergeCell ref="IF22:IH22"/>
    <mergeCell ref="IE22:IE23"/>
    <mergeCell ref="B42:C42"/>
    <mergeCell ref="E49:E53"/>
    <mergeCell ref="F49:F53"/>
    <mergeCell ref="B80:D80"/>
    <mergeCell ref="B47:E47"/>
    <mergeCell ref="I66:I70"/>
    <mergeCell ref="J66:J70"/>
    <mergeCell ref="E58:E62"/>
    <mergeCell ref="F58:F62"/>
    <mergeCell ref="G58:G62"/>
    <mergeCell ref="H58:H62"/>
    <mergeCell ref="I58:I62"/>
    <mergeCell ref="J58:J62"/>
    <mergeCell ref="G49:G53"/>
    <mergeCell ref="H49:H53"/>
    <mergeCell ref="B56:E56"/>
    <mergeCell ref="D66:D70"/>
    <mergeCell ref="E66:E70"/>
    <mergeCell ref="H66:H70"/>
    <mergeCell ref="F47:G47"/>
    <mergeCell ref="F56:G56"/>
    <mergeCell ref="H56:I56"/>
  </mergeCells>
  <phoneticPr fontId="0" type="noConversion"/>
  <conditionalFormatting sqref="BH28:BX29 BH17:BX17">
    <cfRule type="cellIs" dxfId="169" priority="46" stopIfTrue="1" operator="greaterThan">
      <formula>0</formula>
    </cfRule>
  </conditionalFormatting>
  <conditionalFormatting sqref="AV6:AV7">
    <cfRule type="expression" dxfId="168" priority="44" stopIfTrue="1">
      <formula>$AV$6=$AR$6</formula>
    </cfRule>
  </conditionalFormatting>
  <conditionalFormatting sqref="AW6:AW7">
    <cfRule type="expression" dxfId="167" priority="43" stopIfTrue="1">
      <formula>$AW$6=$AR$6</formula>
    </cfRule>
  </conditionalFormatting>
  <conditionalFormatting sqref="AX6:AX7">
    <cfRule type="expression" dxfId="166" priority="42" stopIfTrue="1">
      <formula>$AX$6=$AR$6</formula>
    </cfRule>
  </conditionalFormatting>
  <conditionalFormatting sqref="AY6:AY7">
    <cfRule type="expression" dxfId="165" priority="41" stopIfTrue="1">
      <formula>$AY$6=$AR$6</formula>
    </cfRule>
  </conditionalFormatting>
  <conditionalFormatting sqref="AZ6:AZ7">
    <cfRule type="expression" dxfId="164" priority="40" stopIfTrue="1">
      <formula>$AZ$6=$AR$6</formula>
    </cfRule>
  </conditionalFormatting>
  <conditionalFormatting sqref="BG28:BG29">
    <cfRule type="cellIs" dxfId="163" priority="33" stopIfTrue="1" operator="greaterThan">
      <formula>0</formula>
    </cfRule>
  </conditionalFormatting>
  <conditionalFormatting sqref="BE28:BF29">
    <cfRule type="expression" dxfId="162" priority="8759">
      <formula>$BE28=$AS$6</formula>
    </cfRule>
  </conditionalFormatting>
  <conditionalFormatting sqref="BG17">
    <cfRule type="cellIs" dxfId="161" priority="32" stopIfTrue="1" operator="greaterThan">
      <formula>0</formula>
    </cfRule>
  </conditionalFormatting>
  <conditionalFormatting sqref="BC5:BC16">
    <cfRule type="cellIs" dxfId="160" priority="31" stopIfTrue="1" operator="greaterThan">
      <formula>0</formula>
    </cfRule>
  </conditionalFormatting>
  <conditionalFormatting sqref="CC17:CG17">
    <cfRule type="cellIs" dxfId="159" priority="30" stopIfTrue="1" operator="greaterThan">
      <formula>0</formula>
    </cfRule>
  </conditionalFormatting>
  <conditionalFormatting sqref="BY17">
    <cfRule type="cellIs" dxfId="158" priority="25" stopIfTrue="1" operator="greaterThan">
      <formula>0</formula>
    </cfRule>
  </conditionalFormatting>
  <conditionalFormatting sqref="CA17">
    <cfRule type="cellIs" dxfId="157" priority="27" stopIfTrue="1" operator="greaterThan">
      <formula>0</formula>
    </cfRule>
  </conditionalFormatting>
  <conditionalFormatting sqref="BZ17">
    <cfRule type="cellIs" dxfId="156" priority="28" stopIfTrue="1" operator="greaterThan">
      <formula>0</formula>
    </cfRule>
  </conditionalFormatting>
  <conditionalFormatting sqref="CB17">
    <cfRule type="cellIs" dxfId="155" priority="24" stopIfTrue="1" operator="greaterThan">
      <formula>0</formula>
    </cfRule>
  </conditionalFormatting>
  <conditionalFormatting sqref="FS6:FS7">
    <cfRule type="expression" dxfId="154" priority="22">
      <formula>$FU$5</formula>
    </cfRule>
  </conditionalFormatting>
  <conditionalFormatting sqref="FS11:FS12">
    <cfRule type="expression" dxfId="153" priority="21">
      <formula>$FU$11*NOT($FU$5)</formula>
    </cfRule>
  </conditionalFormatting>
  <conditionalFormatting sqref="FS15:FS16">
    <cfRule type="expression" dxfId="152" priority="20">
      <formula>$FU$15*NOT($FU$11)</formula>
    </cfRule>
  </conditionalFormatting>
  <conditionalFormatting sqref="GS5:GU24">
    <cfRule type="cellIs" dxfId="151" priority="16" stopIfTrue="1" operator="greaterThan">
      <formula>0</formula>
    </cfRule>
  </conditionalFormatting>
  <conditionalFormatting sqref="GP5:GR24">
    <cfRule type="cellIs" dxfId="150" priority="14" stopIfTrue="1" operator="greaterThan">
      <formula>0</formula>
    </cfRule>
  </conditionalFormatting>
  <conditionalFormatting sqref="GX5:HC24">
    <cfRule type="cellIs" dxfId="149" priority="13" stopIfTrue="1" operator="greaterThan">
      <formula>0</formula>
    </cfRule>
  </conditionalFormatting>
  <conditionalFormatting sqref="HT6:HY24 HT5:HU5 HX5:HY5">
    <cfRule type="cellIs" dxfId="148" priority="11" stopIfTrue="1" operator="greaterThan">
      <formula>0</formula>
    </cfRule>
  </conditionalFormatting>
  <conditionalFormatting sqref="HI5:HN24">
    <cfRule type="cellIs" dxfId="147" priority="12" stopIfTrue="1" operator="greaterThan">
      <formula>0</formula>
    </cfRule>
  </conditionalFormatting>
  <conditionalFormatting sqref="HV5:HW5">
    <cfRule type="cellIs" dxfId="146" priority="10" stopIfTrue="1" operator="greaterThan">
      <formula>0</formula>
    </cfRule>
  </conditionalFormatting>
  <conditionalFormatting sqref="C89">
    <cfRule type="expression" dxfId="145" priority="9031">
      <formula>$B$89</formula>
    </cfRule>
  </conditionalFormatting>
  <conditionalFormatting sqref="D91">
    <cfRule type="expression" dxfId="144" priority="9033">
      <formula>$B$91=FALSE</formula>
    </cfRule>
  </conditionalFormatting>
  <conditionalFormatting sqref="C91">
    <cfRule type="expression" dxfId="143" priority="7">
      <formula>$B$91</formula>
    </cfRule>
  </conditionalFormatting>
  <conditionalFormatting sqref="B67 G67 B50:D50 B59:D59 D61 D52">
    <cfRule type="expression" dxfId="142" priority="9235" stopIfTrue="1">
      <formula>$A$99=600</formula>
    </cfRule>
  </conditionalFormatting>
  <conditionalFormatting sqref="F70:G70 B68 B51:D51 B60:D60 J56 D53">
    <cfRule type="expression" dxfId="141" priority="9241" stopIfTrue="1">
      <formula>$A$99=800</formula>
    </cfRule>
  </conditionalFormatting>
  <conditionalFormatting sqref="B66:C66">
    <cfRule type="expression" dxfId="140" priority="9247" stopIfTrue="1">
      <formula>$A$99=400</formula>
    </cfRule>
  </conditionalFormatting>
  <conditionalFormatting sqref="F66:G66 B49:D49 B58:D58">
    <cfRule type="expression" dxfId="139" priority="9248" stopIfTrue="1">
      <formula>$A$99=400</formula>
    </cfRule>
  </conditionalFormatting>
  <conditionalFormatting sqref="D89">
    <cfRule type="expression" dxfId="138" priority="6">
      <formula>$B$89=FALSE</formula>
    </cfRule>
  </conditionalFormatting>
  <conditionalFormatting sqref="ID38 ID41 ID43 ID45 ID47 ID49 ID51 ID53 ID55">
    <cfRule type="expression" dxfId="137" priority="5">
      <formula>$ID$38</formula>
    </cfRule>
  </conditionalFormatting>
  <conditionalFormatting sqref="IE38 IE41 IE43 IE45 IE47 IE49 IE51 IE53 IE55">
    <cfRule type="expression" dxfId="136" priority="4">
      <formula>$IE$38</formula>
    </cfRule>
  </conditionalFormatting>
  <conditionalFormatting sqref="IF38 IF41 IF43 IF45 IF47 IF49 IF51 IF53 IF55">
    <cfRule type="expression" dxfId="135" priority="3">
      <formula>AND($IF$38,$IE$38=FALSE)</formula>
    </cfRule>
  </conditionalFormatting>
  <conditionalFormatting sqref="C37">
    <cfRule type="expression" dxfId="134" priority="2">
      <formula>$B$89=FALSE</formula>
    </cfRule>
  </conditionalFormatting>
  <conditionalFormatting sqref="B37">
    <cfRule type="expression" dxfId="133" priority="1">
      <formula>$B$91</formula>
    </cfRule>
  </conditionalFormatting>
  <pageMargins left="0.39370078740157483" right="0.39370078740157483" top="0.39370078740157483" bottom="0.39370078740157483" header="0.39370078740157483" footer="0.39370078740157483"/>
  <pageSetup paperSize="8" scale="11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R255"/>
  <sheetViews>
    <sheetView workbookViewId="0">
      <pane xSplit="15" topLeftCell="W1" activePane="topRight" state="frozen"/>
      <selection pane="topRight" activeCell="W8" sqref="W8"/>
    </sheetView>
  </sheetViews>
  <sheetFormatPr defaultRowHeight="12.75" x14ac:dyDescent="0.2"/>
  <cols>
    <col min="1" max="1" width="9.5703125" customWidth="1"/>
    <col min="2" max="2" width="23.42578125" customWidth="1"/>
    <col min="3" max="3" width="13.5703125" customWidth="1"/>
    <col min="4" max="4" width="5.7109375" style="1" customWidth="1"/>
    <col min="5" max="5" width="18.140625" customWidth="1"/>
    <col min="6" max="6" width="14.5703125" customWidth="1"/>
    <col min="7" max="8" width="8.42578125" customWidth="1"/>
    <col min="9" max="9" width="4.7109375" customWidth="1"/>
    <col min="10" max="10" width="8.42578125" customWidth="1"/>
    <col min="11" max="11" width="5" customWidth="1"/>
    <col min="12" max="12" width="5.28515625" customWidth="1"/>
    <col min="13" max="13" width="6.28515625" customWidth="1"/>
    <col min="14" max="14" width="5.7109375" customWidth="1"/>
    <col min="15" max="15" width="4.7109375" customWidth="1"/>
    <col min="16" max="16" width="30.5703125" customWidth="1"/>
    <col min="17" max="17" width="26.7109375" customWidth="1"/>
    <col min="18" max="19" width="26.7109375" style="305" customWidth="1"/>
    <col min="20" max="21" width="26.7109375" customWidth="1"/>
    <col min="22" max="22" width="18" customWidth="1"/>
    <col min="23" max="23" width="30.7109375" customWidth="1"/>
    <col min="24" max="24" width="8.7109375" style="464" customWidth="1"/>
    <col min="25" max="25" width="30.7109375" style="464" customWidth="1"/>
    <col min="26" max="26" width="8.7109375" style="305" customWidth="1"/>
    <col min="27" max="27" width="30.7109375" style="305" customWidth="1"/>
    <col min="28" max="28" width="10.7109375" style="407" customWidth="1"/>
    <col min="29" max="29" width="30.7109375" style="407" customWidth="1"/>
    <col min="30" max="30" width="8.7109375" style="1" customWidth="1"/>
    <col min="31" max="31" width="31" customWidth="1"/>
    <col min="32" max="32" width="10.7109375" style="347" customWidth="1"/>
    <col min="33" max="33" width="30.7109375" style="347" customWidth="1"/>
    <col min="34" max="34" width="8.7109375" customWidth="1"/>
    <col min="35" max="35" width="44.7109375" customWidth="1"/>
    <col min="36" max="36" width="10.7109375" customWidth="1"/>
    <col min="37" max="37" width="41.85546875" customWidth="1"/>
    <col min="38" max="38" width="10.7109375" customWidth="1"/>
    <col min="39" max="39" width="25.42578125" customWidth="1"/>
    <col min="40" max="40" width="10.7109375" style="940" customWidth="1"/>
    <col min="41" max="41" width="25.42578125" style="940" customWidth="1"/>
    <col min="42" max="42" width="10.7109375" style="940" customWidth="1"/>
    <col min="43" max="43" width="25.42578125" style="940" customWidth="1"/>
    <col min="44" max="44" width="10.7109375" customWidth="1"/>
    <col min="45" max="45" width="25.42578125" customWidth="1"/>
    <col min="46" max="46" width="10.7109375" customWidth="1"/>
    <col min="47" max="47" width="25.42578125" customWidth="1"/>
    <col min="48" max="48" width="10.7109375" style="350" customWidth="1"/>
    <col min="49" max="49" width="25.42578125" style="350" customWidth="1"/>
    <col min="50" max="50" width="10.7109375" style="350" customWidth="1"/>
    <col min="51" max="51" width="26.7109375" style="350" customWidth="1"/>
    <col min="52" max="52" width="10.7109375" style="472" customWidth="1"/>
    <col min="53" max="53" width="26.7109375" style="472" customWidth="1"/>
    <col min="54" max="54" width="10.7109375" style="407" customWidth="1"/>
    <col min="55" max="55" width="25.42578125" style="407" customWidth="1"/>
    <col min="56" max="56" width="10.7109375" style="751" customWidth="1"/>
    <col min="57" max="57" width="25.42578125" style="751" customWidth="1"/>
    <col min="58" max="58" width="10.7109375" style="426" customWidth="1"/>
    <col min="59" max="59" width="25.42578125" style="426" customWidth="1"/>
    <col min="60" max="60" width="10.7109375" style="433" customWidth="1"/>
    <col min="61" max="61" width="25.42578125" style="433" customWidth="1"/>
    <col min="62" max="62" width="13.28515625" style="407" customWidth="1"/>
    <col min="63" max="63" width="42.42578125" customWidth="1"/>
    <col min="66" max="66" width="59" customWidth="1"/>
    <col min="68" max="68" width="46.28515625" customWidth="1"/>
    <col min="69" max="69" width="9.7109375" customWidth="1"/>
    <col min="70" max="70" width="79" customWidth="1"/>
    <col min="72" max="72" width="25.140625" customWidth="1"/>
    <col min="80" max="80" width="9.7109375" customWidth="1"/>
    <col min="86" max="86" width="9.140625" style="751"/>
    <col min="87" max="87" width="37.85546875" customWidth="1"/>
    <col min="88" max="88" width="10.7109375" style="751" customWidth="1"/>
    <col min="89" max="89" width="37.85546875" style="751" customWidth="1"/>
    <col min="90" max="90" width="10.7109375" style="751" customWidth="1"/>
    <col min="91" max="91" width="37.85546875" style="751" customWidth="1"/>
    <col min="92" max="92" width="14" style="751" customWidth="1"/>
    <col min="93" max="93" width="37.85546875" style="751" customWidth="1"/>
    <col min="94" max="94" width="9.85546875" customWidth="1"/>
    <col min="95" max="95" width="10.7109375" style="571" customWidth="1"/>
    <col min="96" max="96" width="36.85546875" style="571" customWidth="1"/>
    <col min="97" max="97" width="10.7109375" style="751" customWidth="1"/>
    <col min="98" max="98" width="36.85546875" style="751" customWidth="1"/>
    <col min="99" max="99" width="10.7109375" customWidth="1"/>
    <col min="100" max="100" width="35.7109375" customWidth="1"/>
    <col min="101" max="101" width="10.7109375" style="520" customWidth="1"/>
    <col min="102" max="102" width="35.7109375" customWidth="1"/>
    <col min="103" max="103" width="10.7109375" style="692" customWidth="1"/>
    <col min="104" max="104" width="35.7109375" style="692" customWidth="1"/>
    <col min="105" max="105" width="10.7109375" style="520" customWidth="1"/>
    <col min="106" max="106" width="35.7109375" style="520" customWidth="1"/>
    <col min="107" max="107" width="20.7109375" customWidth="1"/>
    <col min="108" max="108" width="35.5703125" style="571" customWidth="1"/>
    <col min="109" max="109" width="10.5703125" style="751" customWidth="1"/>
    <col min="110" max="110" width="10.7109375" style="751" customWidth="1"/>
    <col min="111" max="111" width="35.5703125" customWidth="1"/>
    <col min="112" max="112" width="10.5703125" style="751" customWidth="1"/>
    <col min="113" max="113" width="10.7109375" style="895" customWidth="1"/>
    <col min="114" max="114" width="35" customWidth="1"/>
    <col min="115" max="115" width="10.7109375" style="895" customWidth="1"/>
    <col min="116" max="116" width="15.28515625" customWidth="1"/>
    <col min="117" max="117" width="10.7109375" style="895" customWidth="1"/>
    <col min="118" max="118" width="25.7109375" customWidth="1"/>
    <col min="119" max="119" width="10.7109375" style="895" customWidth="1"/>
    <col min="120" max="120" width="31.28515625" style="792" customWidth="1"/>
    <col min="121" max="121" width="15.85546875" style="792" customWidth="1"/>
    <col min="122" max="122" width="25.5703125" customWidth="1"/>
    <col min="123" max="123" width="24.42578125" customWidth="1"/>
  </cols>
  <sheetData>
    <row r="1" spans="1:122" ht="13.5" thickBot="1" x14ac:dyDescent="0.25">
      <c r="Z1" s="1316" t="s">
        <v>800</v>
      </c>
      <c r="AA1" s="1316"/>
      <c r="AB1" s="1316"/>
      <c r="AC1" s="1316"/>
      <c r="AD1" s="1316"/>
      <c r="AE1" s="1316"/>
      <c r="AF1" s="1316"/>
      <c r="AG1" s="1316"/>
      <c r="AH1" s="1316"/>
      <c r="AI1" s="1316"/>
      <c r="AJ1" s="1316"/>
      <c r="AK1" s="1316"/>
      <c r="AL1" s="1316"/>
      <c r="AM1" s="1316"/>
      <c r="AN1" s="1316"/>
      <c r="AO1" s="1316"/>
      <c r="AP1" s="1316"/>
      <c r="AQ1" s="1316"/>
      <c r="AR1" s="1316"/>
      <c r="AS1" s="1316"/>
      <c r="AT1" s="1316"/>
      <c r="AU1" s="1316"/>
      <c r="AV1" s="1316"/>
      <c r="AW1" s="1316"/>
      <c r="AX1" s="1316"/>
      <c r="AY1" s="1316"/>
      <c r="AZ1" s="1316"/>
      <c r="BA1" s="1316"/>
      <c r="BB1" s="1316"/>
      <c r="BC1" s="1316"/>
      <c r="BD1" s="1316"/>
      <c r="BE1" s="1316"/>
      <c r="BF1" s="1316"/>
      <c r="BG1" s="1316"/>
      <c r="BH1" s="1316"/>
      <c r="BI1" s="1316"/>
      <c r="BJ1" s="1316"/>
      <c r="BK1" s="1316"/>
      <c r="BV1" s="1310" t="s">
        <v>788</v>
      </c>
      <c r="BW1" s="1310"/>
      <c r="BX1" s="1310"/>
      <c r="BY1" s="1310"/>
      <c r="BZ1" s="1310"/>
      <c r="CA1" s="1310"/>
      <c r="CB1" s="1310"/>
      <c r="CC1" s="1310"/>
      <c r="CD1" s="1310"/>
      <c r="CE1" s="1323"/>
      <c r="CF1" s="1323"/>
      <c r="CH1" s="1310" t="s">
        <v>1059</v>
      </c>
      <c r="CI1" s="1310"/>
      <c r="CJ1" s="1310"/>
      <c r="CK1" s="1310"/>
      <c r="CL1" s="1310"/>
      <c r="CM1" s="1310"/>
      <c r="CN1" s="1310"/>
      <c r="CO1" s="1310"/>
      <c r="CP1" s="1310"/>
      <c r="CQ1" s="1310"/>
      <c r="CR1" s="1310"/>
      <c r="CS1" s="1310"/>
      <c r="CT1" s="1310"/>
      <c r="CU1" s="1310"/>
      <c r="CV1" s="1310"/>
      <c r="CW1" s="1310"/>
      <c r="CX1" s="1310"/>
      <c r="CY1" s="1310"/>
      <c r="CZ1" s="1310"/>
      <c r="DA1" s="1310"/>
      <c r="DB1" s="1310"/>
      <c r="DC1" s="1310"/>
      <c r="DD1" s="1310"/>
      <c r="DF1" s="36"/>
    </row>
    <row r="2" spans="1:122" ht="13.5" thickBot="1" x14ac:dyDescent="0.25">
      <c r="A2" s="1324" t="s">
        <v>229</v>
      </c>
      <c r="B2" s="1330" t="s">
        <v>9</v>
      </c>
      <c r="C2" s="1330" t="s">
        <v>10</v>
      </c>
      <c r="D2" s="1330" t="s">
        <v>11</v>
      </c>
      <c r="E2" s="1330" t="s">
        <v>12</v>
      </c>
      <c r="F2" s="1330" t="s">
        <v>248</v>
      </c>
      <c r="G2" s="1328" t="s">
        <v>244</v>
      </c>
      <c r="H2" s="1328"/>
      <c r="I2" s="1328"/>
      <c r="J2" s="1328"/>
      <c r="K2" s="1328"/>
      <c r="L2" s="1328"/>
      <c r="M2" s="1328"/>
      <c r="N2" s="1328"/>
      <c r="O2" s="1329"/>
      <c r="P2" s="1331" t="s">
        <v>586</v>
      </c>
      <c r="Q2" s="1331"/>
      <c r="R2" s="1331"/>
      <c r="S2" s="1331"/>
      <c r="T2" s="1331"/>
      <c r="U2" s="1331"/>
      <c r="V2" s="1331"/>
      <c r="W2" s="1331"/>
      <c r="X2" s="1311" t="s">
        <v>749</v>
      </c>
      <c r="Y2" s="1312"/>
      <c r="Z2" s="1311" t="s">
        <v>107</v>
      </c>
      <c r="AA2" s="1312"/>
      <c r="AB2" s="1311" t="s">
        <v>108</v>
      </c>
      <c r="AC2" s="1312"/>
      <c r="AD2" s="1311" t="s">
        <v>109</v>
      </c>
      <c r="AE2" s="1312"/>
      <c r="AF2" s="1311" t="s">
        <v>158</v>
      </c>
      <c r="AG2" s="1312"/>
      <c r="AH2" s="1311" t="s">
        <v>302</v>
      </c>
      <c r="AI2" s="1312"/>
      <c r="AJ2" s="1311" t="s">
        <v>630</v>
      </c>
      <c r="AK2" s="1312"/>
      <c r="AL2" s="1311" t="s">
        <v>777</v>
      </c>
      <c r="AM2" s="1312"/>
      <c r="AN2" s="1311" t="s">
        <v>788</v>
      </c>
      <c r="AO2" s="1312"/>
      <c r="AP2" s="1311" t="s">
        <v>795</v>
      </c>
      <c r="AQ2" s="1312"/>
      <c r="AR2" s="1311" t="s">
        <v>799</v>
      </c>
      <c r="AS2" s="1312"/>
      <c r="AT2" s="1311" t="s">
        <v>801</v>
      </c>
      <c r="AU2" s="1312"/>
      <c r="AV2" s="1311" t="s">
        <v>819</v>
      </c>
      <c r="AW2" s="1312"/>
      <c r="AX2" s="1311" t="s">
        <v>820</v>
      </c>
      <c r="AY2" s="1312"/>
      <c r="AZ2" s="1311" t="s">
        <v>857</v>
      </c>
      <c r="BA2" s="1312"/>
      <c r="BB2" s="1311" t="s">
        <v>881</v>
      </c>
      <c r="BC2" s="1312"/>
      <c r="BD2" s="1311" t="s">
        <v>990</v>
      </c>
      <c r="BE2" s="1312"/>
      <c r="BF2" s="1311" t="s">
        <v>1198</v>
      </c>
      <c r="BG2" s="1312"/>
      <c r="BH2" s="1311" t="s">
        <v>1199</v>
      </c>
      <c r="BI2" s="1312"/>
      <c r="BJ2" s="1337" t="s">
        <v>798</v>
      </c>
      <c r="BK2" s="1326" t="s">
        <v>301</v>
      </c>
      <c r="BL2" s="33"/>
      <c r="BP2" s="3"/>
      <c r="BV2" s="1310" t="s">
        <v>789</v>
      </c>
      <c r="BW2" s="1310"/>
      <c r="BX2" s="1310"/>
      <c r="BY2" s="1310" t="s">
        <v>790</v>
      </c>
      <c r="BZ2" s="1310"/>
      <c r="CA2" s="1310"/>
      <c r="CB2" s="1310" t="s">
        <v>791</v>
      </c>
      <c r="CC2" s="1310"/>
      <c r="CD2" s="1339"/>
      <c r="CE2" s="1321" t="s">
        <v>794</v>
      </c>
      <c r="CF2" s="1322"/>
      <c r="CH2" s="1313" t="s">
        <v>995</v>
      </c>
      <c r="CI2" s="1313"/>
      <c r="CJ2" s="1313"/>
      <c r="CK2" s="1313"/>
      <c r="CL2" s="1314" t="s">
        <v>982</v>
      </c>
      <c r="CM2" s="1315"/>
      <c r="CN2" s="364"/>
      <c r="CO2" s="740"/>
      <c r="CQ2" s="1213" t="s">
        <v>968</v>
      </c>
      <c r="CR2" s="1213"/>
      <c r="CS2" s="1213" t="s">
        <v>938</v>
      </c>
      <c r="CT2" s="1213"/>
      <c r="CU2" s="1213" t="s">
        <v>938</v>
      </c>
      <c r="CV2" s="1213"/>
      <c r="CW2" s="1213" t="s">
        <v>939</v>
      </c>
      <c r="CX2" s="1213"/>
      <c r="CY2" s="1243" t="s">
        <v>937</v>
      </c>
      <c r="CZ2" s="1245"/>
      <c r="DA2" s="1213" t="s">
        <v>941</v>
      </c>
      <c r="DB2" s="1213"/>
      <c r="DC2" s="1317" t="s">
        <v>969</v>
      </c>
      <c r="DD2" s="1317" t="s">
        <v>992</v>
      </c>
      <c r="DF2" s="766"/>
      <c r="DG2" s="1319" t="s">
        <v>993</v>
      </c>
      <c r="DI2" s="1213" t="s">
        <v>1056</v>
      </c>
      <c r="DJ2" s="1213"/>
      <c r="DK2" s="1213" t="s">
        <v>1057</v>
      </c>
      <c r="DL2" s="1213"/>
      <c r="DM2" s="1213" t="s">
        <v>1058</v>
      </c>
      <c r="DN2" s="1213"/>
      <c r="DO2" s="1213" t="s">
        <v>1124</v>
      </c>
      <c r="DP2" s="1213"/>
      <c r="DQ2" s="1243" t="s">
        <v>1055</v>
      </c>
      <c r="DR2" s="1245"/>
    </row>
    <row r="3" spans="1:122" s="101" customFormat="1" ht="51.75" thickBot="1" x14ac:dyDescent="0.25">
      <c r="A3" s="1325"/>
      <c r="B3" s="1330"/>
      <c r="C3" s="1330"/>
      <c r="D3" s="1330"/>
      <c r="E3" s="1330"/>
      <c r="F3" s="1330"/>
      <c r="G3" s="271" t="s">
        <v>322</v>
      </c>
      <c r="H3" s="271" t="s">
        <v>323</v>
      </c>
      <c r="I3" s="271" t="s">
        <v>105</v>
      </c>
      <c r="J3" s="271" t="s">
        <v>148</v>
      </c>
      <c r="K3" s="271" t="s">
        <v>508</v>
      </c>
      <c r="L3" s="271" t="s">
        <v>534</v>
      </c>
      <c r="M3" s="271" t="s">
        <v>437</v>
      </c>
      <c r="N3" s="271" t="s">
        <v>149</v>
      </c>
      <c r="O3" s="272" t="s">
        <v>150</v>
      </c>
      <c r="P3" s="198" t="s">
        <v>584</v>
      </c>
      <c r="Q3" s="196" t="s">
        <v>585</v>
      </c>
      <c r="R3" s="198" t="s">
        <v>737</v>
      </c>
      <c r="S3" s="196" t="s">
        <v>738</v>
      </c>
      <c r="T3" s="198" t="s">
        <v>592</v>
      </c>
      <c r="U3" s="198" t="s">
        <v>593</v>
      </c>
      <c r="V3" s="197" t="s">
        <v>545</v>
      </c>
      <c r="W3" s="196" t="s">
        <v>535</v>
      </c>
      <c r="X3" s="185" t="s">
        <v>540</v>
      </c>
      <c r="Y3" s="100" t="s">
        <v>858</v>
      </c>
      <c r="Z3" s="185" t="s">
        <v>540</v>
      </c>
      <c r="AA3" s="100" t="s">
        <v>750</v>
      </c>
      <c r="AB3" s="185" t="s">
        <v>540</v>
      </c>
      <c r="AC3" s="185" t="s">
        <v>1069</v>
      </c>
      <c r="AD3" s="185" t="s">
        <v>540</v>
      </c>
      <c r="AE3" s="100" t="s">
        <v>106</v>
      </c>
      <c r="AF3" s="185" t="s">
        <v>540</v>
      </c>
      <c r="AG3" s="197" t="s">
        <v>1068</v>
      </c>
      <c r="AH3" s="185" t="s">
        <v>540</v>
      </c>
      <c r="AI3" s="100" t="s">
        <v>541</v>
      </c>
      <c r="AJ3" s="185" t="s">
        <v>540</v>
      </c>
      <c r="AK3" s="100" t="s">
        <v>755</v>
      </c>
      <c r="AL3" s="185" t="s">
        <v>540</v>
      </c>
      <c r="AM3" s="185" t="s">
        <v>1202</v>
      </c>
      <c r="AN3" s="185" t="s">
        <v>540</v>
      </c>
      <c r="AO3" s="261" t="s">
        <v>1200</v>
      </c>
      <c r="AP3" s="185" t="s">
        <v>540</v>
      </c>
      <c r="AQ3" s="261" t="s">
        <v>1201</v>
      </c>
      <c r="AR3" s="185" t="s">
        <v>540</v>
      </c>
      <c r="AS3" s="185" t="s">
        <v>1067</v>
      </c>
      <c r="AT3" s="185" t="s">
        <v>540</v>
      </c>
      <c r="AU3" s="185" t="s">
        <v>1064</v>
      </c>
      <c r="AV3" s="185" t="s">
        <v>540</v>
      </c>
      <c r="AW3" s="185" t="s">
        <v>1065</v>
      </c>
      <c r="AX3" s="185" t="s">
        <v>540</v>
      </c>
      <c r="AY3" s="185" t="s">
        <v>1066</v>
      </c>
      <c r="AZ3" s="185" t="s">
        <v>540</v>
      </c>
      <c r="BA3" s="185" t="s">
        <v>882</v>
      </c>
      <c r="BB3" s="185" t="s">
        <v>540</v>
      </c>
      <c r="BC3" s="185" t="s">
        <v>1063</v>
      </c>
      <c r="BD3" s="185" t="s">
        <v>540</v>
      </c>
      <c r="BE3" s="185" t="s">
        <v>989</v>
      </c>
      <c r="BF3" s="185" t="s">
        <v>540</v>
      </c>
      <c r="BG3" s="185" t="s">
        <v>821</v>
      </c>
      <c r="BH3" s="185" t="s">
        <v>540</v>
      </c>
      <c r="BI3" s="185" t="s">
        <v>831</v>
      </c>
      <c r="BJ3" s="1338"/>
      <c r="BK3" s="1327"/>
      <c r="BL3" s="186"/>
      <c r="BM3" s="1336" t="s">
        <v>107</v>
      </c>
      <c r="BN3" s="1336"/>
      <c r="BP3" s="1335" t="s">
        <v>109</v>
      </c>
      <c r="BQ3" s="1335"/>
      <c r="BR3" s="1335"/>
      <c r="BS3" s="1335"/>
      <c r="BT3" s="1335"/>
      <c r="BV3" s="392" t="s">
        <v>311</v>
      </c>
      <c r="BW3" s="392" t="s">
        <v>84</v>
      </c>
      <c r="BX3" s="392" t="s">
        <v>16</v>
      </c>
      <c r="BY3" s="392" t="s">
        <v>311</v>
      </c>
      <c r="BZ3" s="392" t="s">
        <v>84</v>
      </c>
      <c r="CA3" s="392" t="s">
        <v>16</v>
      </c>
      <c r="CB3" s="392" t="s">
        <v>311</v>
      </c>
      <c r="CC3" s="392" t="s">
        <v>84</v>
      </c>
      <c r="CD3" s="393" t="s">
        <v>16</v>
      </c>
      <c r="CE3" s="394" t="s">
        <v>792</v>
      </c>
      <c r="CF3" s="395" t="s">
        <v>793</v>
      </c>
      <c r="CH3" s="740" t="s">
        <v>540</v>
      </c>
      <c r="CI3" s="763" t="s">
        <v>984</v>
      </c>
      <c r="CJ3" s="740" t="s">
        <v>540</v>
      </c>
      <c r="CK3" s="763" t="s">
        <v>983</v>
      </c>
      <c r="CL3" s="740" t="s">
        <v>540</v>
      </c>
      <c r="CM3" s="764" t="s">
        <v>1061</v>
      </c>
      <c r="CN3" s="764" t="s">
        <v>798</v>
      </c>
      <c r="CO3" s="764" t="s">
        <v>994</v>
      </c>
      <c r="CQ3" s="567" t="s">
        <v>540</v>
      </c>
      <c r="CR3" s="567" t="s">
        <v>1125</v>
      </c>
      <c r="CS3" s="740" t="s">
        <v>540</v>
      </c>
      <c r="CT3" s="740" t="s">
        <v>996</v>
      </c>
      <c r="CU3" s="518" t="s">
        <v>540</v>
      </c>
      <c r="CV3" s="518" t="s">
        <v>970</v>
      </c>
      <c r="CW3" s="518" t="s">
        <v>540</v>
      </c>
      <c r="CX3" s="518" t="s">
        <v>940</v>
      </c>
      <c r="CY3" s="690" t="s">
        <v>540</v>
      </c>
      <c r="CZ3" s="690" t="s">
        <v>971</v>
      </c>
      <c r="DA3" s="518" t="s">
        <v>540</v>
      </c>
      <c r="DB3" s="518" t="s">
        <v>1062</v>
      </c>
      <c r="DC3" s="1317"/>
      <c r="DD3" s="1318"/>
      <c r="DE3" s="751"/>
      <c r="DF3" s="767" t="s">
        <v>540</v>
      </c>
      <c r="DG3" s="1320"/>
      <c r="DH3" s="751"/>
      <c r="DI3" s="893" t="s">
        <v>540</v>
      </c>
      <c r="DJ3" s="763" t="s">
        <v>1121</v>
      </c>
      <c r="DK3" s="893" t="s">
        <v>540</v>
      </c>
      <c r="DL3" s="763" t="s">
        <v>1122</v>
      </c>
      <c r="DM3" s="893" t="s">
        <v>540</v>
      </c>
      <c r="DN3" s="763" t="s">
        <v>1123</v>
      </c>
      <c r="DO3" s="893" t="s">
        <v>540</v>
      </c>
      <c r="DP3" s="763" t="s">
        <v>1126</v>
      </c>
      <c r="DQ3" s="784" t="s">
        <v>540</v>
      </c>
      <c r="DR3" s="763" t="s">
        <v>1060</v>
      </c>
    </row>
    <row r="4" spans="1:122" ht="51.75" thickBot="1" x14ac:dyDescent="0.25">
      <c r="A4" s="95" t="s">
        <v>116</v>
      </c>
      <c r="B4" s="51" t="str">
        <f>IF(ISBLANK(Бланк!B11),"",Бланк!B11)</f>
        <v>NSX250N</v>
      </c>
      <c r="C4" s="24">
        <f>IF(ISBLANK(Бланк!C11),"",Бланк!C11)</f>
        <v>3</v>
      </c>
      <c r="D4" s="24">
        <f>IF(ISBLANK(Бланк!D11),"",Бланк!D11)</f>
        <v>250</v>
      </c>
      <c r="E4" s="153" t="str">
        <f>IF(ISBLANK(Бланк!E11),"",Бланк!E11)</f>
        <v>TM250D</v>
      </c>
      <c r="F4" s="270" t="str">
        <f>IF(ISBLANK(Бланк!H11),"",Бланк!H11)</f>
        <v/>
      </c>
      <c r="G4" s="269">
        <f>IF(AND(MID($B4,1,3)="NSX",NOT($H4)),1,0)</f>
        <v>1</v>
      </c>
      <c r="H4" s="269">
        <f>IF(NOT(ISERROR(FIND("NA",$B4))),1,0)</f>
        <v>0</v>
      </c>
      <c r="I4" s="269">
        <f>IF(MID($B4,1,3)="iC6",1,0)</f>
        <v>0</v>
      </c>
      <c r="J4" s="269">
        <f>IF(MID($B4,1,3)="C60",1,0)</f>
        <v>0</v>
      </c>
      <c r="K4" s="269">
        <f>IF(ISERROR(FIND($K$3,$B4)),0,1)</f>
        <v>0</v>
      </c>
      <c r="L4" s="269">
        <f>IF(ISERROR(FIND(L$3,$B4)),0,1)</f>
        <v>0</v>
      </c>
      <c r="M4" s="269">
        <f>IF(ISERROR(FIND(M$3,$B4)),0,1)</f>
        <v>0</v>
      </c>
      <c r="N4" s="269">
        <f>IF(MID($B4,1,3)="iSW",1,0)</f>
        <v>0</v>
      </c>
      <c r="O4" s="273">
        <f>IF(MID($B4,1,3)="iID",1,0)</f>
        <v>0</v>
      </c>
      <c r="P4" s="199">
        <f>IF($G4,6,IF($H4,8,IF($I4,5,IF($J4,7,IF($K4,IF(ISERR(SEARCH("iDPN",$B4)),5,6),IF($L4,4,IF($M4,6,3)))))))</f>
        <v>6</v>
      </c>
      <c r="Q4" s="310" t="str">
        <f>IF(B27,MID($B4,1,IF(H4,P4,T4))&amp;" "&amp;MID($B4,SEARCH("(АВР",Бланк!$B$11),100),MID($B4,1,R4))</f>
        <v>NSX250</v>
      </c>
      <c r="R4" s="199">
        <f>IF($G4,6,IF($H4,8,IF($I4,5,IF($J4,7,IF($K4,IF(ISERR(SEARCH("iDPN",$B4)),5,6),IF($L4,4,IF($M4,6,3)))))))</f>
        <v>6</v>
      </c>
      <c r="S4" s="201" t="str">
        <f t="shared" ref="S4:S19" si="0">MID($B4,1,R4)</f>
        <v>NSX250</v>
      </c>
      <c r="T4" s="199">
        <f>IF(G4,6,IF(H4,6,IF(I4,4,IF(J4,7,IF(K4,IF(ISERR(SEARCH("iDPN",B4)),5,6),IF(L4,4,IF(M4,5,3)))))))</f>
        <v>6</v>
      </c>
      <c r="U4" s="201" t="str">
        <f>MID($B4,1,T4)</f>
        <v>NSX250</v>
      </c>
      <c r="V4" s="1062" t="str">
        <f ca="1">IF(MIN(In_0)=MAX(In_0),MIN(In_0),MIN(In_0)&amp;"..."&amp;MAX(In_0))</f>
        <v>40...250</v>
      </c>
      <c r="W4" s="202" t="str">
        <f>IF(G4,$AK$3&amp;" (Укажите расцепитель "&amp;VLOOKUP($D4,$BS$5:$BT$24,2)&amp;")","")</f>
        <v xml:space="preserve"> !Несоответствие выключателя и кривой/расцепителя (Укажите расцепитель Micrologic 2.2(5.2A), 250 A)</v>
      </c>
      <c r="X4" s="371">
        <f ca="1">N(IF(LEN($B4),ISNA(MATCH(Бланк!$B$11,INDEX(Выключатель_ввода,0,1),)),FALSE))</f>
        <v>0</v>
      </c>
      <c r="Y4" s="202" t="str">
        <f ca="1">IF($X4," !Выберите аппарат без АВР для типа шкафа ЩР или измените тип шкафа на ПР","")</f>
        <v/>
      </c>
      <c r="Z4" s="371">
        <f>N(AND(OR($B4="",$B4="-"),COUNTIF(Бланк!$C11:'Бланк'!$O11,"-")+COUNTIF(Бланк!$C11:'Бланк'!$O11,"")&lt;&gt;COLUMNS(Бланк!$C11:'Бланк'!$O11)))</f>
        <v>0</v>
      </c>
      <c r="AA4" s="338" t="str">
        <f>IF($Z4,$AA$3,"")</f>
        <v/>
      </c>
      <c r="AB4" s="390">
        <f>N(AND($B4="C60H-DC",Бланк!$K$3&lt;&gt;"IT"))</f>
        <v>0</v>
      </c>
      <c r="AC4" s="388" t="str">
        <f t="shared" ref="AC4:AC24" si="1">IF($AB4,$AC$3,"")</f>
        <v/>
      </c>
      <c r="AD4" s="1064">
        <f ca="1">N(IF(LEN($B4),ISNA(MATCH($C4,INDEX(Полюс0,0,1),)),FALSE))</f>
        <v>0</v>
      </c>
      <c r="AE4" s="99" t="str">
        <f ca="1">IF(AD4,VLOOKUP(HLOOKUP(1,$G4:$O$25,ROWS($G4:$O$25),FALSE),$BM$4:$BN$12,2,FALSE),"")</f>
        <v/>
      </c>
      <c r="AF4" s="368">
        <f>ISNUMBER($C4)*ISNUMBER($D4)*ISNUMBER(Габариты!EN5)</f>
        <v>0</v>
      </c>
      <c r="AG4" s="189" t="str">
        <f>IF($AF4,$AG$3,"")</f>
        <v/>
      </c>
      <c r="AH4" s="945">
        <f ca="1">N(IF(LEN($C4),ISNA(MATCH($D4,INDEX(In_0,0,1),)),FALSE))</f>
        <v>0</v>
      </c>
      <c r="AI4" s="189" t="str">
        <f t="shared" ref="AI4:AI24" ca="1" si="2">IF(AH4,$AI$3&amp;" (Укажите номинальный ток "&amp;$V4&amp;" А)","")</f>
        <v/>
      </c>
      <c r="AJ4" s="370">
        <f ca="1">N(IF(LEN($D4)*LEN(Бланк!$B11),ISNA(MATCH($E4,INDEX(Кривая0,0,1),)),FALSE))</f>
        <v>0</v>
      </c>
      <c r="AK4" s="99" t="str">
        <f t="shared" ref="AK4:AK19" ca="1" si="3">IF(AJ4,IF(G4,W4,VLOOKUP($S4,$BQ$5:$BR$24,2,FALSE)),"")</f>
        <v/>
      </c>
      <c r="AL4" s="945">
        <f>N(IF(LEN($E4)*((F4&lt;&gt;"")+K4+O4),ISNA(MATCH($F4,Id_0,0)),FALSE))</f>
        <v>0</v>
      </c>
      <c r="AM4" s="189" t="str">
        <f>IF(AL4,AM$3,"")</f>
        <v/>
      </c>
      <c r="AN4" s="945">
        <f>N(IF(AND(LEN($D4),Бланк!$F11&lt;&gt;""),ISNA(MATCH(Бланк!$F11,INDEX(Ir_0,0,1),)),FALSE))</f>
        <v>0</v>
      </c>
      <c r="AO4" s="189" t="str">
        <f>IF(AN4,AO$3,"")</f>
        <v/>
      </c>
      <c r="AP4" s="945">
        <f>N(IF(AND(LEN($D4),Бланк!$G11&lt;&gt;""),ISNA(MATCH(Бланк!$G11,INDEX(Im_0,0,1),)),FALSE))</f>
        <v>0</v>
      </c>
      <c r="AQ4" s="189" t="str">
        <f t="shared" ref="AQ4:AQ19" si="4">IF(AP4,AQ$3,"")</f>
        <v/>
      </c>
      <c r="AR4" s="370">
        <f>$N4*(Бланк!J11="+")</f>
        <v>0</v>
      </c>
      <c r="AS4" s="189" t="str">
        <f>IF(AR4,$AS$3,"")</f>
        <v/>
      </c>
      <c r="AT4" s="370">
        <f>$N4*(Бланк!K11="+")</f>
        <v>0</v>
      </c>
      <c r="AU4" s="189" t="str">
        <f>IF($AT4,$AU$3,"")</f>
        <v/>
      </c>
      <c r="AV4" s="390">
        <f t="shared" ref="AV4:AV19" si="5">N(OR($CE4:$CF4))</f>
        <v>0</v>
      </c>
      <c r="AW4" s="189" t="str">
        <f>IF($AV4,$AW$3,"")</f>
        <v/>
      </c>
      <c r="AX4" s="390">
        <f>IF(AND(B4&lt;&gt;"",Бланк!$O11=""),1,0)</f>
        <v>0</v>
      </c>
      <c r="AY4" s="388" t="str">
        <f>IF(AX4,AY3,"")</f>
        <v/>
      </c>
      <c r="AZ4" s="390">
        <f>N($D$4&lt;MAX($D$5:$D$19))</f>
        <v>0</v>
      </c>
      <c r="BA4" s="388" t="str">
        <f>IF(AZ4,BA3,"")</f>
        <v/>
      </c>
      <c r="BB4" s="390">
        <f>N(AND($B$27,Бланк!$O$11=1))</f>
        <v>0</v>
      </c>
      <c r="BC4" s="388" t="str">
        <f>IF(BB4,BC3,"")</f>
        <v/>
      </c>
      <c r="BD4" s="390">
        <f ca="1">N(Габариты!$D$35)</f>
        <v>0</v>
      </c>
      <c r="BE4" s="388" t="str">
        <f ca="1">IF(BD4,BE3,"")</f>
        <v/>
      </c>
      <c r="BF4" s="390">
        <f>IF(AND($B4&lt;&gt;"",Бланк!$N11=""),1,0)</f>
        <v>0</v>
      </c>
      <c r="BG4" s="388" t="str">
        <f>IF(BF4,BG$3,"")</f>
        <v/>
      </c>
      <c r="BH4" s="1067">
        <f>N(IF(LEN(Бланк!$M11),ISNA(MATCH(Бланк!$M11,INDEX(Размер_кабеля_0,0,1),)),FALSE))</f>
        <v>0</v>
      </c>
      <c r="BI4" s="388" t="str">
        <f>IF(BH4,BI$3,"")</f>
        <v/>
      </c>
      <c r="BJ4" s="388" t="str">
        <f ca="1">_xlfn.IFNA(HLOOKUP(1,$X4:$BI$25,ROWS($X4:$BI$25),0),"")</f>
        <v/>
      </c>
      <c r="BK4" s="339" t="str">
        <f t="shared" ref="BK4:BK24" ca="1" si="6">IF($BJ4="","",INDEX($X4:$BI4,1,2*$BJ4+2))</f>
        <v/>
      </c>
      <c r="BL4" s="33"/>
      <c r="BM4" s="195" t="s">
        <v>322</v>
      </c>
      <c r="BN4" s="201" t="str">
        <f>$AE$3&amp;" (Укажите кол-во полюсов 3 или 4)"</f>
        <v xml:space="preserve"> !Несоответствие кол-ва полюсов (Укажите кол-во полюсов 3 или 4)</v>
      </c>
      <c r="BP4" s="334" t="s">
        <v>751</v>
      </c>
      <c r="BQ4" s="1332" t="s">
        <v>753</v>
      </c>
      <c r="BR4" s="1333"/>
      <c r="BS4" s="1332" t="s">
        <v>754</v>
      </c>
      <c r="BT4" s="1334"/>
      <c r="BV4" s="296" t="b">
        <f>(Бланк!L11="-")</f>
        <v>0</v>
      </c>
      <c r="BW4" s="296" t="b">
        <f>(Бланк!M11="-")</f>
        <v>0</v>
      </c>
      <c r="BX4" s="296" t="b">
        <f>(Бланк!N11="-")</f>
        <v>0</v>
      </c>
      <c r="BY4" s="296" t="b">
        <f>(Бланк!L11="")</f>
        <v>1</v>
      </c>
      <c r="BZ4" s="296" t="b">
        <f>(Бланк!M11="")</f>
        <v>1</v>
      </c>
      <c r="CA4" s="296" t="b">
        <f>(Бланк!N11="")</f>
        <v>0</v>
      </c>
      <c r="CB4" s="296" t="b">
        <f>NOT(OR(BV4,BY4))</f>
        <v>0</v>
      </c>
      <c r="CC4" s="296" t="b">
        <f>NOT(OR(BW4,BZ4))</f>
        <v>0</v>
      </c>
      <c r="CD4" s="363" t="b">
        <f>NOT(OR(BX4,CA4))</f>
        <v>1</v>
      </c>
      <c r="CE4" s="396" t="b">
        <f t="shared" ref="CE4:CE19" si="7">AND(OR(CB4:CD4),OR(BV4:BX4))</f>
        <v>0</v>
      </c>
      <c r="CF4" s="397" t="b">
        <f t="shared" ref="CF4:CF19" si="8">AND(NOT(OR(CB4:CD4)),AND((BV4+BW4+BX4)&gt;0),(BV4+BW4+BX4)&lt;3)</f>
        <v>0</v>
      </c>
      <c r="CH4" s="739">
        <f ca="1">N(AND(Бланк!$C$46="+",OR(AND(Бланк!$C$41="ПР",Габариты!$E$91&gt;2200),AND(Бланк!$C$41="ЩР",Габариты!$E$91&gt;1200))))</f>
        <v>0</v>
      </c>
      <c r="CI4" s="548" t="str">
        <f ca="1">IF(CH$4,CI$3,"")</f>
        <v/>
      </c>
      <c r="CJ4" s="739">
        <f ca="1">N(AND(Бланк!$C$46="+",OR(AND(Бланк!$C$41="ПР",Габариты!$E$91&gt;2200),AND(Бланк!$C$41="ЩР",Габариты!$E$91&gt;1200)),D!$FV$13))</f>
        <v>0</v>
      </c>
      <c r="CK4" s="548" t="str">
        <f ca="1">IF(CJ$4,CK$3,"")</f>
        <v/>
      </c>
      <c r="CL4" s="740">
        <f ca="1">N(Бланк!$P$46&lt;&gt;"")</f>
        <v>0</v>
      </c>
      <c r="CM4" s="770" t="str">
        <f ca="1">IF(CL$4,CM$3,"")</f>
        <v/>
      </c>
      <c r="CN4" s="772" t="str">
        <f ca="1">_xlfn.IFNA(HLOOKUP(1,CH4:CM5,ROWS(CH4:CM5),0),"")</f>
        <v/>
      </c>
      <c r="CO4" s="773" t="str">
        <f ca="1">IF(CN4="","",INDEX(CH4:CM4,1,2*CN4+2))</f>
        <v/>
      </c>
      <c r="CQ4" s="568">
        <f ca="1">N(AND(Бланк!$C$41="ЩР",Бланк!$F$46&gt;200,DO4=0))</f>
        <v>0</v>
      </c>
      <c r="CR4" s="548" t="str">
        <f ca="1">IF(CQ$4,CR$3,"")</f>
        <v/>
      </c>
      <c r="CS4" s="745">
        <f ca="1">N(AND(Бланк!$C$46="+",Бланк!$C$41="ЩР",Бланк!$H$46&lt;Габариты!$B$99))</f>
        <v>0</v>
      </c>
      <c r="CT4" s="548" t="str">
        <f ca="1">IF(CS$4,CT$3,"")</f>
        <v/>
      </c>
      <c r="CU4" s="516">
        <f>N(AND(Бланк!$C$46="+",Бланк!$C$41="ЩР",OR(Бланк!$H$46&lt;400,Бланк!$H$46&gt;600)))</f>
        <v>0</v>
      </c>
      <c r="CV4" s="548" t="str">
        <f>IF(CU$4,CV$3,"")</f>
        <v/>
      </c>
      <c r="CW4" s="516">
        <f>N(AND(Бланк!$C$46="+",Бланк!$C$41="ПР",OR(Бланк!$H$46&lt;600,Бланк!$H$46&gt;800)))</f>
        <v>0</v>
      </c>
      <c r="CX4" s="548" t="str">
        <f>IF(CW$4,CX$3,"")</f>
        <v/>
      </c>
      <c r="CY4" s="691">
        <f>N(AND(Бланк!$C$41="ПР",Бланк!$H$46&lt;Габариты!$C$99))</f>
        <v>0</v>
      </c>
      <c r="CZ4" s="694" t="str">
        <f>IF(CY$4,CZ$3,"")</f>
        <v/>
      </c>
      <c r="DA4" s="516">
        <f>N(AND(Бланк!$C$44&lt;&gt;"Вручную",Бланк!$I$46+Бланк!$K$46&lt;&gt;0))</f>
        <v>0</v>
      </c>
      <c r="DB4" s="548" t="str">
        <f>IF(DA$4,DB$3,"")</f>
        <v/>
      </c>
      <c r="DC4" s="772" t="str">
        <f ca="1">_xlfn.IFNA(HLOOKUP(1,CQ4:DB5,ROWS(CQ4:DB5),0),"")</f>
        <v/>
      </c>
      <c r="DD4" s="773" t="str">
        <f ca="1">IF(DC4="","",INDEX(CQ4:DB4,1,2*DC4+2))</f>
        <v/>
      </c>
      <c r="DF4" s="768">
        <f>N(IF(Габариты!E84,Габариты!D43,Габариты!D41))</f>
        <v>0</v>
      </c>
      <c r="DG4" s="771" t="str">
        <f>IF(DF4,DG2,"")</f>
        <v/>
      </c>
      <c r="DI4" s="894">
        <f ca="1">N(_xlfn.IFNA(MATCH("*заземл*",Бланк!$P$11:$P$27,0),0))</f>
        <v>0</v>
      </c>
      <c r="DJ4" s="891" t="str">
        <f ca="1">IF(DI4,DJ3,"")</f>
        <v/>
      </c>
      <c r="DK4" s="893">
        <f>N(ISNA(MATCH(Бланк!$E36,INDEX(Степень_защиты,0,1),)))</f>
        <v>0</v>
      </c>
      <c r="DL4" s="891" t="str">
        <f>IF(DK4,DL3,"")</f>
        <v/>
      </c>
      <c r="DM4" s="893">
        <f>N(NOT(OR(Бланк!$C$43="Нетиповое",AND(ISNA(MATCH("+",Бланк!K11,0)),ISNA(MATCH("+",Бланк!K13:K27,0))))))</f>
        <v>0</v>
      </c>
      <c r="DN4" s="891" t="str">
        <f>IF(DM4,DN3,"")</f>
        <v/>
      </c>
      <c r="DO4" s="893">
        <f>N(ISNA(MATCH(Бланк!$C$42,INDEX(Климатическое_исполнение,0,1),)))</f>
        <v>0</v>
      </c>
      <c r="DP4" s="891" t="str">
        <f>IF(DO4,DP3,"")</f>
        <v/>
      </c>
      <c r="DQ4" s="809">
        <f>N(AND(Бланк!$C$41="ЩР",Бланк!$E$34="+"))</f>
        <v>0</v>
      </c>
      <c r="DR4" s="771" t="str">
        <f>IF(DQ4,DR3,"")</f>
        <v/>
      </c>
    </row>
    <row r="5" spans="1:122" ht="12.75" customHeight="1" x14ac:dyDescent="0.2">
      <c r="A5" s="96" t="s">
        <v>85</v>
      </c>
      <c r="B5" s="54" t="str">
        <f>IF(ISBLANK(Бланк!B13),"",Бланк!B13)</f>
        <v>iC60N</v>
      </c>
      <c r="C5" s="4" t="str">
        <f>IF(ISBLANK(Бланк!C13),"",Бланк!C13)</f>
        <v>1 (пофазно)</v>
      </c>
      <c r="D5" s="4">
        <f>IF(ISBLANK(Бланк!D13),"",Бланк!D13)</f>
        <v>40</v>
      </c>
      <c r="E5" s="4" t="str">
        <f>IF(ISBLANK(Бланк!E13),"",Бланк!E13)</f>
        <v>D</v>
      </c>
      <c r="F5" s="270" t="str">
        <f>IF(ISBLANK(Бланк!H13),"",Бланк!H13)</f>
        <v/>
      </c>
      <c r="G5" s="269">
        <f t="shared" ref="G5:G24" si="9">IF(AND(MID($B5,1,3)="NSX",NOT($H5)),1,0)</f>
        <v>0</v>
      </c>
      <c r="H5" s="269">
        <f t="shared" ref="H5:H24" si="10">IF(NOT(ISERROR(FIND("NA",$B5))),1,0)</f>
        <v>0</v>
      </c>
      <c r="I5" s="269">
        <f t="shared" ref="I5:I24" si="11">IF(MID($B5,1,3)="iC6",1,0)</f>
        <v>1</v>
      </c>
      <c r="J5" s="269">
        <f t="shared" ref="J5:J24" si="12">IF(MID($B5,1,3)="C60",1,0)</f>
        <v>0</v>
      </c>
      <c r="K5" s="269">
        <f t="shared" ref="K5:K24" si="13">IF(ISERROR(FIND($K$3,$B5)),0,1)</f>
        <v>0</v>
      </c>
      <c r="L5" s="269">
        <f t="shared" ref="L5:M20" si="14">IF(ISERROR(FIND(L$3,$B5)),0,1)</f>
        <v>0</v>
      </c>
      <c r="M5" s="269">
        <f t="shared" si="14"/>
        <v>0</v>
      </c>
      <c r="N5" s="269">
        <f t="shared" ref="N5:N24" si="15">IF(MID($B5,1,3)="iSW",1,0)</f>
        <v>0</v>
      </c>
      <c r="O5" s="273">
        <f t="shared" ref="O5:O24" si="16">IF(MID($B5,1,3)="iID",1,0)</f>
        <v>0</v>
      </c>
      <c r="P5" s="200">
        <f t="shared" ref="P5:R20" si="17">IF($G5,6,IF($H5,8,IF($I5,5,IF($J5,7,IF($K5,IF(ISERR(SEARCH("iDPN",$B5)),5,6),IF($L5,4,IF($M5,6,3)))))))</f>
        <v>5</v>
      </c>
      <c r="Q5" s="201" t="str">
        <f t="shared" ref="Q5:Q19" si="18">MID($B5,1,P5)</f>
        <v>iC60N</v>
      </c>
      <c r="R5" s="200">
        <f t="shared" si="17"/>
        <v>5</v>
      </c>
      <c r="S5" s="201" t="str">
        <f t="shared" si="0"/>
        <v>iC60N</v>
      </c>
      <c r="T5" s="200">
        <f t="shared" ref="T5:T19" si="19">IF(G5,6,IF(H5,6,IF(I5,4,IF(J5,7,IF(K5,IF(ISERR(SEARCH("iDPN",B5)),5,6),IF(L5,4,IF(M5,5,3)))))))</f>
        <v>4</v>
      </c>
      <c r="U5" s="190" t="str">
        <f t="shared" ref="U5:U19" si="20">MID($B5,1,T5)</f>
        <v>iC60</v>
      </c>
      <c r="V5" s="1062" t="str">
        <f ca="1">IF(MIN(In_1)=MAX(In_1),MIN(In_1),MIN(In_1)&amp;"..."&amp;MAX(In_1))</f>
        <v>0,5...63</v>
      </c>
      <c r="W5" s="202" t="str">
        <f t="shared" ref="W5:W24" si="21">IF(G5,$AK$3&amp;" (Укажите расцепитель "&amp;VLOOKUP($D5,$BS$5:$BT$24,2)&amp;")","")</f>
        <v/>
      </c>
      <c r="X5" s="371">
        <f>N(IF(LEN($B5),ISNA(MATCH(Бланк!$B13,INDEX(Выключатель_отходящий,0,1),)),FALSE))</f>
        <v>0</v>
      </c>
      <c r="Y5" s="202" t="str">
        <f t="shared" ref="Y5:Y24" si="22">IF($X5,$Y$3,"")</f>
        <v/>
      </c>
      <c r="Z5" s="371">
        <f>N(AND(OR($B5="",$B5="-"),COUNTIF(Бланк!$C13:'Бланк'!$O13,"-")+COUNTIF(Бланк!$C13:'Бланк'!$O13,"")&lt;&gt;COLUMNS(Бланк!$C13:'Бланк'!$O13)))</f>
        <v>0</v>
      </c>
      <c r="AA5" s="338" t="str">
        <f>IF($Z5,$AA$3,"")</f>
        <v/>
      </c>
      <c r="AB5" s="390">
        <f>N(AND($B5="C60H-DC",Бланк!$K$3&lt;&gt;"IT"))</f>
        <v>0</v>
      </c>
      <c r="AC5" s="388" t="str">
        <f t="shared" si="1"/>
        <v/>
      </c>
      <c r="AD5" s="1064">
        <f ca="1">N(IF(LEN($B5),ISNA(MATCH($C5,INDEX(Полюс1,0,1),)),FALSE))</f>
        <v>0</v>
      </c>
      <c r="AE5" s="99" t="str">
        <f ca="1">IF(AD5,VLOOKUP(HLOOKUP(1,$G5:$O$25,ROWS($G5:$O$25),FALSE),$BM$4:$BN$12,2,FALSE),"")</f>
        <v/>
      </c>
      <c r="AF5" s="368">
        <f>ISNUMBER($C5)*ISNUMBER($D5)*ISNUMBER(Габариты!EN6)</f>
        <v>0</v>
      </c>
      <c r="AG5" s="366" t="str">
        <f t="shared" ref="AG5:AG24" si="23">IF($AF5,$AG$3,"")</f>
        <v/>
      </c>
      <c r="AH5" s="945">
        <f ca="1">N(IF(LEN($C5),ISNA(MATCH($D5,INDEX(In_1,0,1),)),FALSE))</f>
        <v>0</v>
      </c>
      <c r="AI5" s="189" t="str">
        <f t="shared" ca="1" si="2"/>
        <v/>
      </c>
      <c r="AJ5" s="370">
        <f ca="1">N(IF(LEN($D5)*LEN(Бланк!$B13),ISNA(MATCH($E5,INDEX(Кривая1,0,1),)),FALSE))</f>
        <v>0</v>
      </c>
      <c r="AK5" s="99" t="str">
        <f t="shared" ca="1" si="3"/>
        <v/>
      </c>
      <c r="AL5" s="945">
        <f>N(IF(LEN($E5)*((F5&lt;&gt;"")+K5+O5),ISNA(MATCH($F5,Id_1,0)),FALSE))</f>
        <v>0</v>
      </c>
      <c r="AM5" s="944" t="str">
        <f t="shared" ref="AM5:AO19" si="24">IF(AL5,AM$3,"")</f>
        <v/>
      </c>
      <c r="AN5" s="945">
        <f>N(IF(AND(LEN($D5),Бланк!$F13&lt;&gt;""),ISNA(MATCH(Бланк!$F13,INDEX(Ir_1,0,1),)),FALSE))</f>
        <v>0</v>
      </c>
      <c r="AO5" s="201" t="str">
        <f t="shared" si="24"/>
        <v/>
      </c>
      <c r="AP5" s="945">
        <f>N(IF(AND(LEN($D5),Бланк!$G13&lt;&gt;""),ISNA(MATCH(Бланк!$G13,INDEX(Im_1,0,1),)),FALSE))</f>
        <v>0</v>
      </c>
      <c r="AQ5" s="201" t="str">
        <f t="shared" si="4"/>
        <v/>
      </c>
      <c r="AR5" s="370">
        <f>$N5*(Бланк!J13="+")</f>
        <v>0</v>
      </c>
      <c r="AS5" s="189" t="str">
        <f>IF(AR5,$AS$3,"")</f>
        <v/>
      </c>
      <c r="AT5" s="370">
        <f>$N5*(Бланк!K13="+")</f>
        <v>0</v>
      </c>
      <c r="AU5" s="189" t="str">
        <f t="shared" ref="AU5:AU24" si="25">IF($AT5,$AU$3,"")</f>
        <v/>
      </c>
      <c r="AV5" s="390">
        <f t="shared" si="5"/>
        <v>0</v>
      </c>
      <c r="AW5" s="388" t="str">
        <f t="shared" ref="AW5:AW24" si="26">IF($AV5,$AW$3,"")</f>
        <v/>
      </c>
      <c r="AX5" s="390">
        <f>IF(AND(B5&lt;&gt;"",Бланк!$O13=""),1,0)</f>
        <v>0</v>
      </c>
      <c r="AY5" s="388" t="str">
        <f>IF($AX5,$AY$3,"")</f>
        <v/>
      </c>
      <c r="AZ5" s="409"/>
      <c r="BA5" s="409"/>
      <c r="BB5" s="427"/>
      <c r="BC5" s="409"/>
      <c r="BD5" s="409"/>
      <c r="BE5" s="409"/>
      <c r="BF5" s="368">
        <f>IF(AND($B5&lt;&gt;"",Бланк!$N13=""),1,0)</f>
        <v>0</v>
      </c>
      <c r="BG5" s="366" t="str">
        <f t="shared" ref="BG5:BG19" si="27">IF(BF5,BG$3,"")</f>
        <v/>
      </c>
      <c r="BH5" s="1067">
        <f>N(IF(LEN(Бланк!$M13),ISNA(MATCH(Бланк!$M13,INDEX(Размер_кабеля_1,0,1),)),FALSE))</f>
        <v>0</v>
      </c>
      <c r="BI5" s="366" t="str">
        <f t="shared" ref="BI5:BI19" si="28">IF(BH5,BI$3,"")</f>
        <v/>
      </c>
      <c r="BJ5" s="388" t="str">
        <f ca="1">_xlfn.IFNA(HLOOKUP(1,$X5:$BI$25,ROWS($X5:$BI$25),0),"")</f>
        <v/>
      </c>
      <c r="BK5" s="339" t="str">
        <f t="shared" ca="1" si="6"/>
        <v/>
      </c>
      <c r="BL5" s="33"/>
      <c r="BM5" s="195" t="s">
        <v>323</v>
      </c>
      <c r="BN5" s="201" t="str">
        <f>$AE$3&amp;" (Укажите кол-во полюсов 3 или 4)"</f>
        <v xml:space="preserve"> !Несоответствие кол-ва полюсов (Укажите кол-во полюсов 3 или 4)</v>
      </c>
      <c r="BP5" s="333" t="s">
        <v>752</v>
      </c>
      <c r="BQ5" s="332" t="s">
        <v>19</v>
      </c>
      <c r="BR5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5" s="336">
        <v>16</v>
      </c>
      <c r="BT5" s="337" t="str">
        <f>"TM"&amp;BS5&amp;"D(G)"</f>
        <v>TM16D(G)</v>
      </c>
      <c r="BV5" s="296" t="b">
        <f>(Бланк!L13="-")</f>
        <v>0</v>
      </c>
      <c r="BW5" s="296" t="b">
        <f>(Бланк!M13="-")</f>
        <v>0</v>
      </c>
      <c r="BX5" s="296" t="b">
        <f>(Бланк!N13="-")</f>
        <v>0</v>
      </c>
      <c r="BY5" s="296" t="b">
        <f>(Бланк!L13="")</f>
        <v>1</v>
      </c>
      <c r="BZ5" s="296" t="b">
        <f>(Бланк!M13="")</f>
        <v>1</v>
      </c>
      <c r="CA5" s="296" t="b">
        <f>(Бланк!N13="")</f>
        <v>0</v>
      </c>
      <c r="CB5" s="296" t="b">
        <f t="shared" ref="CB5:CB19" si="29">NOT(OR(BV5,BY5))</f>
        <v>0</v>
      </c>
      <c r="CC5" s="296" t="b">
        <f t="shared" ref="CC5:CC19" si="30">NOT(OR(BW5,BZ5))</f>
        <v>0</v>
      </c>
      <c r="CD5" s="363" t="b">
        <f t="shared" ref="CD5:CD19" si="31">NOT(OR(BX5,CA5))</f>
        <v>1</v>
      </c>
      <c r="CE5" s="396" t="b">
        <f t="shared" si="7"/>
        <v>0</v>
      </c>
      <c r="CF5" s="397" t="b">
        <f t="shared" si="8"/>
        <v>0</v>
      </c>
      <c r="CH5" s="740">
        <v>0</v>
      </c>
      <c r="CI5" s="405"/>
      <c r="CJ5" s="740">
        <v>1</v>
      </c>
      <c r="CK5" s="749"/>
      <c r="CL5" s="740">
        <v>2</v>
      </c>
      <c r="CM5" s="749"/>
      <c r="CN5" s="749"/>
      <c r="CO5" s="749"/>
      <c r="CP5" s="405"/>
      <c r="CQ5" s="567">
        <v>0</v>
      </c>
      <c r="CR5" s="688"/>
      <c r="CS5" s="740">
        <v>1</v>
      </c>
      <c r="CT5" s="688"/>
      <c r="CU5" s="567">
        <v>2</v>
      </c>
      <c r="CV5" s="101"/>
      <c r="CW5" s="568">
        <v>3</v>
      </c>
      <c r="CX5" s="101"/>
      <c r="CY5" s="689">
        <v>4</v>
      </c>
      <c r="CZ5" s="101"/>
      <c r="DA5" s="568">
        <v>5</v>
      </c>
      <c r="DB5" s="101"/>
      <c r="DC5" s="101"/>
      <c r="DD5" s="101"/>
      <c r="DF5" s="101"/>
    </row>
    <row r="6" spans="1:122" ht="12.75" customHeight="1" x14ac:dyDescent="0.2">
      <c r="A6" s="96" t="s">
        <v>86</v>
      </c>
      <c r="B6" s="54" t="str">
        <f>IF(ISBLANK(Бланк!B14),"",Бланк!B14)</f>
        <v>iC60N</v>
      </c>
      <c r="C6" s="4" t="str">
        <f>IF(ISBLANK(Бланк!C14),"",Бланк!C14)</f>
        <v>1 (пофазно)</v>
      </c>
      <c r="D6" s="4">
        <f>IF(ISBLANK(Бланк!D14),"",Бланк!D14)</f>
        <v>16</v>
      </c>
      <c r="E6" s="4" t="str">
        <f>IF(ISBLANK(Бланк!E14),"",Бланк!E14)</f>
        <v>C</v>
      </c>
      <c r="F6" s="270" t="str">
        <f>IF(ISBLANK(Бланк!H14),"",Бланк!H14)</f>
        <v/>
      </c>
      <c r="G6" s="269">
        <f t="shared" si="9"/>
        <v>0</v>
      </c>
      <c r="H6" s="1018">
        <f t="shared" si="10"/>
        <v>0</v>
      </c>
      <c r="I6" s="1018">
        <f t="shared" si="11"/>
        <v>1</v>
      </c>
      <c r="J6" s="1018">
        <f t="shared" si="12"/>
        <v>0</v>
      </c>
      <c r="K6" s="1018">
        <f t="shared" si="13"/>
        <v>0</v>
      </c>
      <c r="L6" s="1018">
        <f t="shared" si="14"/>
        <v>0</v>
      </c>
      <c r="M6" s="1018">
        <f t="shared" si="14"/>
        <v>0</v>
      </c>
      <c r="N6" s="1018">
        <f t="shared" si="15"/>
        <v>0</v>
      </c>
      <c r="O6" s="1018">
        <f t="shared" si="16"/>
        <v>0</v>
      </c>
      <c r="P6" s="1059">
        <f t="shared" si="17"/>
        <v>5</v>
      </c>
      <c r="Q6" s="201" t="str">
        <f t="shared" si="18"/>
        <v>iC60N</v>
      </c>
      <c r="R6" s="200">
        <f t="shared" si="17"/>
        <v>5</v>
      </c>
      <c r="S6" s="201" t="str">
        <f t="shared" si="0"/>
        <v>iC60N</v>
      </c>
      <c r="T6" s="200">
        <f t="shared" si="19"/>
        <v>4</v>
      </c>
      <c r="U6" s="190" t="str">
        <f t="shared" si="20"/>
        <v>iC60</v>
      </c>
      <c r="V6" s="1062" t="str">
        <f ca="1">IF(MIN(In_2)=MAX(In_2),MIN(In_2),MIN(In_2)&amp;"..."&amp;MAX(In_2))</f>
        <v>0,5...63</v>
      </c>
      <c r="W6" s="202" t="str">
        <f t="shared" si="21"/>
        <v/>
      </c>
      <c r="X6" s="465">
        <f>N(IF(LEN($B6),ISNA(MATCH(Бланк!$B14,INDEX(Выключатель_отходящий,0,1),)),FALSE))</f>
        <v>0</v>
      </c>
      <c r="Y6" s="202" t="str">
        <f t="shared" si="22"/>
        <v/>
      </c>
      <c r="Z6" s="371">
        <f>N(AND(OR($B6="",$B6="-"),COUNTIF(Бланк!$C14:'Бланк'!$O14,"-")+COUNTIF(Бланк!$C14:'Бланк'!$O14,"")&lt;&gt;COLUMNS(Бланк!$C14:'Бланк'!$O14)))</f>
        <v>0</v>
      </c>
      <c r="AA6" s="338" t="str">
        <f t="shared" ref="AA6:AA24" si="32">IF($Z6,$AA$3,"")</f>
        <v/>
      </c>
      <c r="AB6" s="391">
        <f>N(AND($B6="C60H-DC",Бланк!$K$3&lt;&gt;"IT"))</f>
        <v>0</v>
      </c>
      <c r="AC6" s="389" t="str">
        <f t="shared" si="1"/>
        <v/>
      </c>
      <c r="AD6" s="1064">
        <f ca="1">N(IF(LEN($B6),ISNA(MATCH($C6,INDEX(Полюс2,0,1),)),FALSE))</f>
        <v>0</v>
      </c>
      <c r="AE6" s="99" t="str">
        <f ca="1">IF(AD6,VLOOKUP(HLOOKUP(1,$G6:$O$25,ROWS($G6:$O$25),FALSE),$BM$4:$BN$12,2,FALSE),"")</f>
        <v/>
      </c>
      <c r="AF6" s="369">
        <f>ISNUMBER($C6)*ISNUMBER($D6)*ISNUMBER(Габариты!EN7)</f>
        <v>0</v>
      </c>
      <c r="AG6" s="367" t="str">
        <f t="shared" si="23"/>
        <v/>
      </c>
      <c r="AH6" s="945">
        <f ca="1">N(IF(LEN($C6),ISNA(MATCH($D6,INDEX(In_2,0,1),)),FALSE))</f>
        <v>0</v>
      </c>
      <c r="AI6" s="189" t="str">
        <f t="shared" ca="1" si="2"/>
        <v/>
      </c>
      <c r="AJ6" s="370">
        <f ca="1">N(IF(LEN($D6)*LEN(Бланк!$B14),ISNA(MATCH($E6,INDEX(Кривая2,0,1),)),FALSE))</f>
        <v>0</v>
      </c>
      <c r="AK6" s="99" t="str">
        <f t="shared" ca="1" si="3"/>
        <v/>
      </c>
      <c r="AL6" s="945">
        <f>N(IF(LEN($E6)*((F6&lt;&gt;"")+K6+O6),ISNA(MATCH($F6,Id_2,0)),FALSE))</f>
        <v>0</v>
      </c>
      <c r="AM6" s="944" t="str">
        <f t="shared" si="24"/>
        <v/>
      </c>
      <c r="AN6" s="945">
        <f>N(IF(AND(LEN($D6),Бланк!$F14&lt;&gt;""),ISNA(MATCH(Бланк!$F14,INDEX(Ir_2,0,1),)),FALSE))</f>
        <v>0</v>
      </c>
      <c r="AO6" s="201" t="str">
        <f t="shared" si="24"/>
        <v/>
      </c>
      <c r="AP6" s="945">
        <f>N(IF(AND(LEN($D6),Бланк!$G14&lt;&gt;""),ISNA(MATCH(Бланк!$G14,INDEX(Im_2,0,1),)),FALSE))</f>
        <v>0</v>
      </c>
      <c r="AQ6" s="201" t="str">
        <f t="shared" si="4"/>
        <v/>
      </c>
      <c r="AR6" s="370">
        <f>$N6*(Бланк!J14="+")</f>
        <v>0</v>
      </c>
      <c r="AS6" s="201" t="str">
        <f t="shared" ref="AS6:AS19" si="33">IF(AR6,$AS$3,"")</f>
        <v/>
      </c>
      <c r="AT6" s="370">
        <f>$N6*(Бланк!K14="+")</f>
        <v>0</v>
      </c>
      <c r="AU6" s="201" t="str">
        <f t="shared" si="25"/>
        <v/>
      </c>
      <c r="AV6" s="391">
        <f t="shared" si="5"/>
        <v>0</v>
      </c>
      <c r="AW6" s="389" t="str">
        <f t="shared" si="26"/>
        <v/>
      </c>
      <c r="AX6" s="390">
        <f>IF(AND(B6&lt;&gt;"",Бланк!$O14=""),1,0)</f>
        <v>0</v>
      </c>
      <c r="AY6" s="388" t="str">
        <f t="shared" ref="AY6:AY18" si="34">IF($AX6,$AY$3,"")</f>
        <v/>
      </c>
      <c r="AZ6" s="409"/>
      <c r="BA6" s="409"/>
      <c r="BB6" s="428"/>
      <c r="BC6" s="31"/>
      <c r="BD6" s="31"/>
      <c r="BE6" s="31"/>
      <c r="BF6" s="369">
        <f>IF(AND($B6&lt;&gt;"",Бланк!$N14=""),1,0)</f>
        <v>0</v>
      </c>
      <c r="BG6" s="367" t="str">
        <f t="shared" si="27"/>
        <v/>
      </c>
      <c r="BH6" s="1068">
        <f>N(IF(LEN(Бланк!$M14),ISNA(MATCH(Бланк!$M14,INDEX(Размер_кабеля_2,0,1),)),FALSE))</f>
        <v>0</v>
      </c>
      <c r="BI6" s="367" t="str">
        <f t="shared" si="28"/>
        <v/>
      </c>
      <c r="BJ6" s="389" t="str">
        <f ca="1">_xlfn.IFNA(HLOOKUP(1,$X6:$BI$25,ROWS($X6:$BI$25),0),"")</f>
        <v/>
      </c>
      <c r="BK6" s="339" t="str">
        <f t="shared" ca="1" si="6"/>
        <v/>
      </c>
      <c r="BL6" s="33"/>
      <c r="BM6" s="195" t="s">
        <v>105</v>
      </c>
      <c r="BN6" s="201" t="str">
        <f>$AE$3&amp;" (Укажите кол-во полюсов 1…4)"</f>
        <v xml:space="preserve"> !Несоответствие кол-ва полюсов (Укажите кол-во полюсов 1…4)</v>
      </c>
      <c r="BP6" s="333" t="s">
        <v>243</v>
      </c>
      <c r="BQ6" s="332" t="s">
        <v>20</v>
      </c>
      <c r="BR6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6" s="336">
        <v>25</v>
      </c>
      <c r="BT6" s="337" t="str">
        <f>"TM"&amp;BS6&amp;"D(G)"</f>
        <v>TM25D(G)</v>
      </c>
      <c r="BV6" s="296" t="b">
        <f>(Бланк!L14="-")</f>
        <v>0</v>
      </c>
      <c r="BW6" s="296" t="b">
        <f>(Бланк!M14="-")</f>
        <v>0</v>
      </c>
      <c r="BX6" s="296" t="b">
        <f>(Бланк!N14="-")</f>
        <v>0</v>
      </c>
      <c r="BY6" s="296" t="b">
        <f>(Бланк!L14="")</f>
        <v>1</v>
      </c>
      <c r="BZ6" s="296" t="b">
        <f>(Бланк!M14="")</f>
        <v>1</v>
      </c>
      <c r="CA6" s="296" t="b">
        <f>(Бланк!N14="")</f>
        <v>0</v>
      </c>
      <c r="CB6" s="296" t="b">
        <f t="shared" si="29"/>
        <v>0</v>
      </c>
      <c r="CC6" s="296" t="b">
        <f t="shared" si="30"/>
        <v>0</v>
      </c>
      <c r="CD6" s="363" t="b">
        <f t="shared" si="31"/>
        <v>1</v>
      </c>
      <c r="CE6" s="396" t="b">
        <f t="shared" si="7"/>
        <v>0</v>
      </c>
      <c r="CF6" s="397" t="b">
        <f t="shared" si="8"/>
        <v>0</v>
      </c>
      <c r="CI6" s="405"/>
      <c r="CJ6" s="749"/>
      <c r="CK6" s="749"/>
      <c r="CL6" s="749"/>
      <c r="CM6" s="749"/>
      <c r="CN6" s="749"/>
      <c r="CO6" s="749"/>
      <c r="CP6" s="405"/>
      <c r="CQ6" s="570"/>
      <c r="CR6" s="570"/>
      <c r="CS6" s="749"/>
      <c r="CT6" s="749"/>
      <c r="CU6" s="405"/>
      <c r="DC6" s="525">
        <f>N(ISNA(MATCH(Бланк!$H$46,INDEX(Ширина,0,1),)))</f>
        <v>0</v>
      </c>
    </row>
    <row r="7" spans="1:122" ht="12.75" customHeight="1" x14ac:dyDescent="0.2">
      <c r="A7" s="96" t="s">
        <v>87</v>
      </c>
      <c r="B7" s="54" t="str">
        <f>IF(ISBLANK(Бланк!B15),"",Бланк!B15)</f>
        <v/>
      </c>
      <c r="C7" s="4" t="str">
        <f>IF(ISBLANK(Бланк!C15),"",Бланк!C15)</f>
        <v/>
      </c>
      <c r="D7" s="4" t="str">
        <f>IF(ISBLANK(Бланк!D15),"",Бланк!D15)</f>
        <v/>
      </c>
      <c r="E7" s="4" t="str">
        <f>IF(ISBLANK(Бланк!E15),"",Бланк!E15)</f>
        <v/>
      </c>
      <c r="F7" s="270" t="str">
        <f>IF(ISBLANK(Бланк!H15),"",Бланк!H15)</f>
        <v/>
      </c>
      <c r="G7" s="269">
        <f t="shared" si="9"/>
        <v>0</v>
      </c>
      <c r="H7" s="1018">
        <f t="shared" si="10"/>
        <v>0</v>
      </c>
      <c r="I7" s="1018">
        <f t="shared" si="11"/>
        <v>0</v>
      </c>
      <c r="J7" s="1018">
        <f t="shared" si="12"/>
        <v>0</v>
      </c>
      <c r="K7" s="1018">
        <f t="shared" si="13"/>
        <v>0</v>
      </c>
      <c r="L7" s="1018">
        <f t="shared" si="14"/>
        <v>0</v>
      </c>
      <c r="M7" s="1018">
        <f t="shared" si="14"/>
        <v>0</v>
      </c>
      <c r="N7" s="1018">
        <f t="shared" si="15"/>
        <v>0</v>
      </c>
      <c r="O7" s="1018">
        <f t="shared" si="16"/>
        <v>0</v>
      </c>
      <c r="P7" s="1059">
        <f t="shared" si="17"/>
        <v>3</v>
      </c>
      <c r="Q7" s="201" t="str">
        <f t="shared" si="18"/>
        <v/>
      </c>
      <c r="R7" s="200">
        <f t="shared" si="17"/>
        <v>3</v>
      </c>
      <c r="S7" s="201" t="str">
        <f t="shared" si="0"/>
        <v/>
      </c>
      <c r="T7" s="200">
        <f t="shared" si="19"/>
        <v>3</v>
      </c>
      <c r="U7" s="190" t="str">
        <f t="shared" si="20"/>
        <v/>
      </c>
      <c r="V7" s="1062">
        <f ca="1">IF(MIN(In_3)=MAX(In_3),MIN(In_3),MIN(In_3)&amp;"..."&amp;MAX(In_3))</f>
        <v>0</v>
      </c>
      <c r="W7" s="202" t="str">
        <f t="shared" si="21"/>
        <v/>
      </c>
      <c r="X7" s="465">
        <f>N(IF(LEN($B7),ISNA(MATCH(Бланк!$B15,INDEX(Выключатель_отходящий,0,1),)),FALSE))</f>
        <v>0</v>
      </c>
      <c r="Y7" s="202" t="str">
        <f t="shared" si="22"/>
        <v/>
      </c>
      <c r="Z7" s="371">
        <f>N(AND(OR($B7="",$B7="-"),COUNTIF(Бланк!$C15:'Бланк'!$O15,"-")+COUNTIF(Бланк!$C15:'Бланк'!$O15,"")&lt;&gt;COLUMNS(Бланк!$C15:'Бланк'!$O15)))</f>
        <v>0</v>
      </c>
      <c r="AA7" s="338" t="str">
        <f t="shared" si="32"/>
        <v/>
      </c>
      <c r="AB7" s="391">
        <f>N(AND($B7="C60H-DC",Бланк!$K$3&lt;&gt;"IT"))</f>
        <v>0</v>
      </c>
      <c r="AC7" s="389" t="str">
        <f t="shared" si="1"/>
        <v/>
      </c>
      <c r="AD7" s="1064">
        <f>N(IF(LEN($B7),ISNA(MATCH($C7,INDEX(Полюс3,0,1),)),FALSE))</f>
        <v>0</v>
      </c>
      <c r="AE7" s="99" t="str">
        <f>IF(AD7,VLOOKUP(HLOOKUP(1,$G7:$O$25,ROWS($G7:$O$25),FALSE),$BM$4:$BN$12,2,FALSE),"")</f>
        <v/>
      </c>
      <c r="AF7" s="369">
        <f>ISNUMBER($C7)*ISNUMBER($D7)*ISNUMBER(Габариты!EN8)</f>
        <v>0</v>
      </c>
      <c r="AG7" s="367" t="str">
        <f t="shared" si="23"/>
        <v/>
      </c>
      <c r="AH7" s="945">
        <f>N(IF(LEN($C7),ISNA(MATCH($D7,INDEX(In_3,0,1),)),FALSE))</f>
        <v>0</v>
      </c>
      <c r="AI7" s="189" t="str">
        <f t="shared" si="2"/>
        <v/>
      </c>
      <c r="AJ7" s="370">
        <f>N(IF(LEN($D7)*LEN(Бланк!$B15),ISNA(MATCH($E7,INDEX(Кривая3,0,1),)),FALSE))</f>
        <v>0</v>
      </c>
      <c r="AK7" s="99" t="str">
        <f t="shared" si="3"/>
        <v/>
      </c>
      <c r="AL7" s="945">
        <f>N(IF(LEN($E7)*((F7&lt;&gt;"")+K7+O7),ISNA(MATCH($F7,Id_3,0)),FALSE))</f>
        <v>0</v>
      </c>
      <c r="AM7" s="944" t="str">
        <f t="shared" si="24"/>
        <v/>
      </c>
      <c r="AN7" s="945">
        <f>N(IF(AND(LEN($D7),Бланк!$F15&lt;&gt;""),ISNA(MATCH(Бланк!$F15,INDEX(Ir_3,0,1),)),FALSE))</f>
        <v>0</v>
      </c>
      <c r="AO7" s="201" t="str">
        <f t="shared" si="24"/>
        <v/>
      </c>
      <c r="AP7" s="945">
        <f>N(IF(AND(LEN($D7),Бланк!$G15&lt;&gt;""),ISNA(MATCH(Бланк!$G15,INDEX(Im_3,0,1),)),FALSE))</f>
        <v>0</v>
      </c>
      <c r="AQ7" s="201" t="str">
        <f t="shared" si="4"/>
        <v/>
      </c>
      <c r="AR7" s="370">
        <f>$N7*(Бланк!J15="+")</f>
        <v>0</v>
      </c>
      <c r="AS7" s="201" t="str">
        <f t="shared" si="33"/>
        <v/>
      </c>
      <c r="AT7" s="370">
        <f>$N7*(Бланк!K15="+")</f>
        <v>0</v>
      </c>
      <c r="AU7" s="201" t="str">
        <f t="shared" si="25"/>
        <v/>
      </c>
      <c r="AV7" s="391">
        <f t="shared" si="5"/>
        <v>0</v>
      </c>
      <c r="AW7" s="389" t="str">
        <f t="shared" si="26"/>
        <v/>
      </c>
      <c r="AX7" s="390">
        <f>IF(AND(B7&lt;&gt;"",Бланк!$O15=""),1,0)</f>
        <v>0</v>
      </c>
      <c r="AY7" s="388" t="str">
        <f t="shared" si="34"/>
        <v/>
      </c>
      <c r="AZ7" s="409"/>
      <c r="BA7" s="409"/>
      <c r="BB7" s="428"/>
      <c r="BC7" s="31"/>
      <c r="BD7" s="31"/>
      <c r="BE7" s="31"/>
      <c r="BF7" s="369">
        <f>IF(AND($B7&lt;&gt;"",Бланк!$N15=""),1,0)</f>
        <v>0</v>
      </c>
      <c r="BG7" s="367" t="str">
        <f t="shared" si="27"/>
        <v/>
      </c>
      <c r="BH7" s="1068">
        <f>N(IF(LEN(Бланк!$M15),ISNA(MATCH(Бланк!$M15,INDEX(Размер_кабеля_3,0,1),)),FALSE))</f>
        <v>0</v>
      </c>
      <c r="BI7" s="367" t="str">
        <f t="shared" si="28"/>
        <v/>
      </c>
      <c r="BJ7" s="389" t="str">
        <f>_xlfn.IFNA(HLOOKUP(1,$X7:$BI$25,ROWS($X7:$BI$25),0),"")</f>
        <v/>
      </c>
      <c r="BK7" s="339" t="str">
        <f t="shared" si="6"/>
        <v/>
      </c>
      <c r="BL7" s="33"/>
      <c r="BM7" s="195" t="s">
        <v>148</v>
      </c>
      <c r="BN7" s="201" t="str">
        <f>$AE$3&amp;" (Укажите кол-во полюсов = 2)"</f>
        <v xml:space="preserve"> !Несоответствие кол-ва полюсов (Укажите кол-во полюсов = 2)</v>
      </c>
      <c r="BP7" s="98"/>
      <c r="BQ7" s="332" t="s">
        <v>21</v>
      </c>
      <c r="BR7" s="335" t="str">
        <f>$BP$5&amp;" (Укажите кривую B, C, K или Z)"</f>
        <v xml:space="preserve"> !Несоответствие выключателя и кривой отключения (Укажите кривую B, C, K или Z)</v>
      </c>
      <c r="BS7" s="336">
        <v>32</v>
      </c>
      <c r="BT7" s="337" t="str">
        <f>"TM"&amp;BS7&amp;"D"</f>
        <v>TM32D</v>
      </c>
      <c r="BV7" s="296" t="b">
        <f>(Бланк!L15="-")</f>
        <v>0</v>
      </c>
      <c r="BW7" s="296" t="b">
        <f>(Бланк!M15="-")</f>
        <v>0</v>
      </c>
      <c r="BX7" s="296" t="b">
        <f>(Бланк!N15="-")</f>
        <v>0</v>
      </c>
      <c r="BY7" s="296" t="b">
        <f>(Бланк!L15="")</f>
        <v>1</v>
      </c>
      <c r="BZ7" s="296" t="b">
        <f>(Бланк!M15="")</f>
        <v>1</v>
      </c>
      <c r="CA7" s="296" t="b">
        <f>(Бланк!N15="")</f>
        <v>1</v>
      </c>
      <c r="CB7" s="296" t="b">
        <f t="shared" si="29"/>
        <v>0</v>
      </c>
      <c r="CC7" s="296" t="b">
        <f t="shared" si="30"/>
        <v>0</v>
      </c>
      <c r="CD7" s="363" t="b">
        <f t="shared" si="31"/>
        <v>0</v>
      </c>
      <c r="CE7" s="396" t="b">
        <f t="shared" si="7"/>
        <v>0</v>
      </c>
      <c r="CF7" s="397" t="b">
        <f t="shared" si="8"/>
        <v>0</v>
      </c>
    </row>
    <row r="8" spans="1:122" ht="12.75" customHeight="1" x14ac:dyDescent="0.2">
      <c r="A8" s="96" t="s">
        <v>88</v>
      </c>
      <c r="B8" s="54" t="str">
        <f>IF(ISBLANK(Бланк!B16),"",Бланк!B16)</f>
        <v/>
      </c>
      <c r="C8" s="4" t="str">
        <f>IF(ISBLANK(Бланк!C16),"",Бланк!C16)</f>
        <v/>
      </c>
      <c r="D8" s="4" t="str">
        <f>IF(ISBLANK(Бланк!D16),"",Бланк!D16)</f>
        <v/>
      </c>
      <c r="E8" s="4" t="str">
        <f>IF(ISBLANK(Бланк!E16),"",Бланк!E16)</f>
        <v/>
      </c>
      <c r="F8" s="270" t="str">
        <f>IF(ISBLANK(Бланк!H16),"",Бланк!H16)</f>
        <v/>
      </c>
      <c r="G8" s="269">
        <f t="shared" si="9"/>
        <v>0</v>
      </c>
      <c r="H8" s="1018">
        <f t="shared" si="10"/>
        <v>0</v>
      </c>
      <c r="I8" s="1018">
        <f t="shared" si="11"/>
        <v>0</v>
      </c>
      <c r="J8" s="1018">
        <f t="shared" si="12"/>
        <v>0</v>
      </c>
      <c r="K8" s="1018">
        <f t="shared" si="13"/>
        <v>0</v>
      </c>
      <c r="L8" s="1018">
        <f t="shared" si="14"/>
        <v>0</v>
      </c>
      <c r="M8" s="1018">
        <f t="shared" si="14"/>
        <v>0</v>
      </c>
      <c r="N8" s="1018">
        <f t="shared" si="15"/>
        <v>0</v>
      </c>
      <c r="O8" s="1018">
        <f t="shared" si="16"/>
        <v>0</v>
      </c>
      <c r="P8" s="1059">
        <f t="shared" si="17"/>
        <v>3</v>
      </c>
      <c r="Q8" s="201" t="str">
        <f t="shared" si="18"/>
        <v/>
      </c>
      <c r="R8" s="200">
        <f t="shared" si="17"/>
        <v>3</v>
      </c>
      <c r="S8" s="201" t="str">
        <f t="shared" si="0"/>
        <v/>
      </c>
      <c r="T8" s="200">
        <f t="shared" si="19"/>
        <v>3</v>
      </c>
      <c r="U8" s="190" t="str">
        <f t="shared" si="20"/>
        <v/>
      </c>
      <c r="V8" s="1062">
        <f ca="1">IF(MIN(In_4)=MAX(In_4),MIN(In_4),MIN(In_4)&amp;"..."&amp;MAX(In_4))</f>
        <v>0</v>
      </c>
      <c r="W8" s="202" t="str">
        <f t="shared" si="21"/>
        <v/>
      </c>
      <c r="X8" s="465">
        <f>N(IF(LEN($B8),ISNA(MATCH(Бланк!$B16,INDEX(Выключатель_отходящий,0,1),)),FALSE))</f>
        <v>0</v>
      </c>
      <c r="Y8" s="202" t="str">
        <f t="shared" si="22"/>
        <v/>
      </c>
      <c r="Z8" s="371">
        <f>N(AND(OR($B8="",$B8="-"),COUNTIF(Бланк!$C16:'Бланк'!$O16,"-")+COUNTIF(Бланк!$C16:'Бланк'!$O16,"")&lt;&gt;COLUMNS(Бланк!$C16:'Бланк'!$O16)))</f>
        <v>0</v>
      </c>
      <c r="AA8" s="338" t="str">
        <f t="shared" si="32"/>
        <v/>
      </c>
      <c r="AB8" s="391">
        <f>N(AND($B8="C60H-DC",Бланк!$K$3&lt;&gt;"IT"))</f>
        <v>0</v>
      </c>
      <c r="AC8" s="389" t="str">
        <f t="shared" si="1"/>
        <v/>
      </c>
      <c r="AD8" s="1064">
        <f>N(IF(LEN($B8),ISNA(MATCH($C8,INDEX(Полюс4,0,1),)),FALSE))</f>
        <v>0</v>
      </c>
      <c r="AE8" s="99" t="str">
        <f>IF(AD8,VLOOKUP(HLOOKUP(1,$G8:$O$25,ROWS($G8:$O$25),FALSE),$BM$4:$BN$12,2,FALSE),"")</f>
        <v/>
      </c>
      <c r="AF8" s="369">
        <f>ISNUMBER($C8)*ISNUMBER($D8)*ISNUMBER(Габариты!EN9)</f>
        <v>0</v>
      </c>
      <c r="AG8" s="367" t="str">
        <f t="shared" si="23"/>
        <v/>
      </c>
      <c r="AH8" s="945">
        <f>N(IF(LEN($C8),ISNA(MATCH($D8,INDEX(In_4,0,1),)),FALSE))</f>
        <v>0</v>
      </c>
      <c r="AI8" s="189" t="str">
        <f t="shared" si="2"/>
        <v/>
      </c>
      <c r="AJ8" s="370">
        <f>N(IF(LEN($D8)*LEN(Бланк!$B16),ISNA(MATCH($E8,INDEX(Кривая4,0,1),)),FALSE))</f>
        <v>0</v>
      </c>
      <c r="AK8" s="99" t="str">
        <f t="shared" si="3"/>
        <v/>
      </c>
      <c r="AL8" s="945">
        <f>N(IF(LEN($E8)*((F8&lt;&gt;"")+K8+O8),ISNA(MATCH($F8,Id_4,0)),FALSE))</f>
        <v>0</v>
      </c>
      <c r="AM8" s="944" t="str">
        <f t="shared" si="24"/>
        <v/>
      </c>
      <c r="AN8" s="945">
        <f>N(IF(AND(LEN($D8),Бланк!$F16&lt;&gt;""),ISNA(MATCH(Бланк!$F16,INDEX(Ir_4,0,1),)),FALSE))</f>
        <v>0</v>
      </c>
      <c r="AO8" s="201" t="str">
        <f t="shared" si="24"/>
        <v/>
      </c>
      <c r="AP8" s="945">
        <f>N(IF(AND(LEN($D8),Бланк!$G16&lt;&gt;""),ISNA(MATCH(Бланк!$G16,INDEX(Im_4,0,1),)),FALSE))</f>
        <v>0</v>
      </c>
      <c r="AQ8" s="201" t="str">
        <f t="shared" si="4"/>
        <v/>
      </c>
      <c r="AR8" s="370">
        <f>$N8*(Бланк!J16="+")</f>
        <v>0</v>
      </c>
      <c r="AS8" s="201" t="str">
        <f t="shared" si="33"/>
        <v/>
      </c>
      <c r="AT8" s="370">
        <f>$N8*(Бланк!K16="+")</f>
        <v>0</v>
      </c>
      <c r="AU8" s="201" t="str">
        <f t="shared" si="25"/>
        <v/>
      </c>
      <c r="AV8" s="391">
        <f t="shared" si="5"/>
        <v>0</v>
      </c>
      <c r="AW8" s="389" t="str">
        <f t="shared" si="26"/>
        <v/>
      </c>
      <c r="AX8" s="390">
        <f>IF(AND(B8&lt;&gt;"",Бланк!$O16=""),1,0)</f>
        <v>0</v>
      </c>
      <c r="AY8" s="388" t="str">
        <f t="shared" si="34"/>
        <v/>
      </c>
      <c r="AZ8" s="409"/>
      <c r="BA8" s="409"/>
      <c r="BB8" s="428"/>
      <c r="BC8" s="31"/>
      <c r="BD8" s="31"/>
      <c r="BE8" s="31"/>
      <c r="BF8" s="369">
        <f>IF(AND($B8&lt;&gt;"",Бланк!$N16=""),1,0)</f>
        <v>0</v>
      </c>
      <c r="BG8" s="367" t="str">
        <f t="shared" si="27"/>
        <v/>
      </c>
      <c r="BH8" s="1068">
        <f>N(IF(LEN(Бланк!$M16),ISNA(MATCH(Бланк!$M16,INDEX(Размер_кабеля_4,0,1),)),FALSE))</f>
        <v>0</v>
      </c>
      <c r="BI8" s="367" t="str">
        <f t="shared" si="28"/>
        <v/>
      </c>
      <c r="BJ8" s="389" t="str">
        <f>_xlfn.IFNA(HLOOKUP(1,$X8:$BI$25,ROWS($X8:$BI$25),0),"")</f>
        <v/>
      </c>
      <c r="BK8" s="339" t="str">
        <f t="shared" si="6"/>
        <v/>
      </c>
      <c r="BL8" s="33"/>
      <c r="BM8" s="195" t="s">
        <v>508</v>
      </c>
      <c r="BN8" s="201" t="str">
        <f>$AE$3&amp;" (Укажите кол-во полюсов 2 или 4)"</f>
        <v xml:space="preserve"> !Несоответствие кол-ва полюсов (Укажите кол-во полюсов 2 или 4)</v>
      </c>
      <c r="BP8" s="98"/>
      <c r="BQ8" s="332" t="s">
        <v>148</v>
      </c>
      <c r="BR8" s="335" t="str">
        <f>$BP$5&amp;" (Укажите кривую C)"</f>
        <v xml:space="preserve"> !Несоответствие выключателя и кривой отключения (Укажите кривую C)</v>
      </c>
      <c r="BS8" s="336">
        <v>40</v>
      </c>
      <c r="BT8" s="337" t="str">
        <f>"TM"&amp;BS8&amp;"D(G)"</f>
        <v>TM40D(G)</v>
      </c>
      <c r="BV8" s="296" t="b">
        <f>(Бланк!L16="-")</f>
        <v>0</v>
      </c>
      <c r="BW8" s="296" t="b">
        <f>(Бланк!M16="-")</f>
        <v>0</v>
      </c>
      <c r="BX8" s="296" t="b">
        <f>(Бланк!N16="-")</f>
        <v>0</v>
      </c>
      <c r="BY8" s="296" t="b">
        <f>(Бланк!L16="")</f>
        <v>1</v>
      </c>
      <c r="BZ8" s="296" t="b">
        <f>(Бланк!M16="")</f>
        <v>1</v>
      </c>
      <c r="CA8" s="296" t="b">
        <f>(Бланк!N16="")</f>
        <v>1</v>
      </c>
      <c r="CB8" s="296" t="b">
        <f t="shared" si="29"/>
        <v>0</v>
      </c>
      <c r="CC8" s="296" t="b">
        <f t="shared" si="30"/>
        <v>0</v>
      </c>
      <c r="CD8" s="363" t="b">
        <f t="shared" si="31"/>
        <v>0</v>
      </c>
      <c r="CE8" s="396" t="b">
        <f t="shared" si="7"/>
        <v>0</v>
      </c>
      <c r="CF8" s="397" t="b">
        <f t="shared" si="8"/>
        <v>0</v>
      </c>
    </row>
    <row r="9" spans="1:122" ht="12.75" customHeight="1" x14ac:dyDescent="0.2">
      <c r="A9" s="96" t="s">
        <v>89</v>
      </c>
      <c r="B9" s="54" t="str">
        <f>IF(ISBLANK(Бланк!B17),"",Бланк!B17)</f>
        <v/>
      </c>
      <c r="C9" s="4" t="str">
        <f>IF(ISBLANK(Бланк!C17),"",Бланк!C17)</f>
        <v/>
      </c>
      <c r="D9" s="4" t="str">
        <f>IF(ISBLANK(Бланк!D17),"",Бланк!D17)</f>
        <v/>
      </c>
      <c r="E9" s="4" t="str">
        <f>IF(ISBLANK(Бланк!E17),"",Бланк!E17)</f>
        <v/>
      </c>
      <c r="F9" s="270" t="str">
        <f>IF(ISBLANK(Бланк!H17),"",Бланк!H17)</f>
        <v/>
      </c>
      <c r="G9" s="269">
        <f t="shared" si="9"/>
        <v>0</v>
      </c>
      <c r="H9" s="1018">
        <f t="shared" si="10"/>
        <v>0</v>
      </c>
      <c r="I9" s="1018">
        <f t="shared" si="11"/>
        <v>0</v>
      </c>
      <c r="J9" s="1018">
        <f t="shared" si="12"/>
        <v>0</v>
      </c>
      <c r="K9" s="1018">
        <f t="shared" si="13"/>
        <v>0</v>
      </c>
      <c r="L9" s="1018">
        <f t="shared" si="14"/>
        <v>0</v>
      </c>
      <c r="M9" s="1018">
        <f t="shared" si="14"/>
        <v>0</v>
      </c>
      <c r="N9" s="1018">
        <f t="shared" si="15"/>
        <v>0</v>
      </c>
      <c r="O9" s="1018">
        <f t="shared" si="16"/>
        <v>0</v>
      </c>
      <c r="P9" s="1059">
        <f t="shared" si="17"/>
        <v>3</v>
      </c>
      <c r="Q9" s="201" t="str">
        <f t="shared" si="18"/>
        <v/>
      </c>
      <c r="R9" s="200">
        <f t="shared" si="17"/>
        <v>3</v>
      </c>
      <c r="S9" s="201" t="str">
        <f t="shared" si="0"/>
        <v/>
      </c>
      <c r="T9" s="200">
        <f t="shared" si="19"/>
        <v>3</v>
      </c>
      <c r="U9" s="190" t="str">
        <f t="shared" si="20"/>
        <v/>
      </c>
      <c r="V9" s="1062">
        <f ca="1">IF(MIN(In_5)=MAX(In_5),MIN(In_5),MIN(In_5)&amp;"..."&amp;MAX(In_5))</f>
        <v>0</v>
      </c>
      <c r="W9" s="202" t="str">
        <f t="shared" si="21"/>
        <v/>
      </c>
      <c r="X9" s="465">
        <f>N(IF(LEN($B9),ISNA(MATCH(Бланк!$B17,INDEX(Выключатель_отходящий,0,1),)),FALSE))</f>
        <v>0</v>
      </c>
      <c r="Y9" s="202" t="str">
        <f t="shared" si="22"/>
        <v/>
      </c>
      <c r="Z9" s="371">
        <f>N(AND(OR($B9="",$B9="-"),COUNTIF(Бланк!$C17:'Бланк'!$O17,"-")+COUNTIF(Бланк!$C17:'Бланк'!$O17,"")&lt;&gt;COLUMNS(Бланк!$C17:'Бланк'!$O17)))</f>
        <v>0</v>
      </c>
      <c r="AA9" s="338" t="str">
        <f t="shared" si="32"/>
        <v/>
      </c>
      <c r="AB9" s="391">
        <f>N(AND($B9="C60H-DC",Бланк!$K$3&lt;&gt;"IT"))</f>
        <v>0</v>
      </c>
      <c r="AC9" s="389" t="str">
        <f t="shared" si="1"/>
        <v/>
      </c>
      <c r="AD9" s="1064">
        <f>N(IF(LEN($B9),ISNA(MATCH($C9,INDEX(Полюс5,0,1),)),FALSE))</f>
        <v>0</v>
      </c>
      <c r="AE9" s="99" t="str">
        <f>IF(AD9,VLOOKUP(HLOOKUP(1,$G9:$O$25,ROWS($G9:$O$25),FALSE),$BM$4:$BN$12,2,FALSE),"")</f>
        <v/>
      </c>
      <c r="AF9" s="369">
        <f>ISNUMBER($C9)*ISNUMBER($D9)*ISNUMBER(Габариты!EN10)</f>
        <v>0</v>
      </c>
      <c r="AG9" s="367" t="str">
        <f t="shared" si="23"/>
        <v/>
      </c>
      <c r="AH9" s="945">
        <f>N(IF(LEN($C9),ISNA(MATCH($D9,INDEX(In_5,0,1),)),FALSE))</f>
        <v>0</v>
      </c>
      <c r="AI9" s="189" t="str">
        <f t="shared" si="2"/>
        <v/>
      </c>
      <c r="AJ9" s="370">
        <f>N(IF(LEN($D9)*LEN(Бланк!$B17),ISNA(MATCH($E9,INDEX(Кривая5,0,1),)),FALSE))</f>
        <v>0</v>
      </c>
      <c r="AK9" s="99" t="str">
        <f t="shared" si="3"/>
        <v/>
      </c>
      <c r="AL9" s="945">
        <f>N(IF(LEN($E9)*((F9&lt;&gt;"")+K9+O9),ISNA(MATCH($F9,Id_5,0)),FALSE))</f>
        <v>0</v>
      </c>
      <c r="AM9" s="944" t="str">
        <f t="shared" si="24"/>
        <v/>
      </c>
      <c r="AN9" s="945">
        <f>N(IF(AND(LEN($D9),Бланк!$F17&lt;&gt;""),ISNA(MATCH(Бланк!$F17,INDEX(Ir_5,0,1),)),FALSE))</f>
        <v>0</v>
      </c>
      <c r="AO9" s="201" t="str">
        <f t="shared" si="24"/>
        <v/>
      </c>
      <c r="AP9" s="945">
        <f>N(IF(AND(LEN($D9),Бланк!$G17&lt;&gt;""),ISNA(MATCH(Бланк!$G17,INDEX(Im_5,0,1),)),FALSE))</f>
        <v>0</v>
      </c>
      <c r="AQ9" s="201" t="str">
        <f t="shared" si="4"/>
        <v/>
      </c>
      <c r="AR9" s="370">
        <f>$N9*(Бланк!J17="+")</f>
        <v>0</v>
      </c>
      <c r="AS9" s="201" t="str">
        <f t="shared" si="33"/>
        <v/>
      </c>
      <c r="AT9" s="370">
        <f>$N9*(Бланк!K17="+")</f>
        <v>0</v>
      </c>
      <c r="AU9" s="201" t="str">
        <f t="shared" si="25"/>
        <v/>
      </c>
      <c r="AV9" s="391">
        <f t="shared" si="5"/>
        <v>0</v>
      </c>
      <c r="AW9" s="389" t="str">
        <f t="shared" si="26"/>
        <v/>
      </c>
      <c r="AX9" s="390">
        <f>IF(AND(B9&lt;&gt;"",Бланк!$O17=""),1,0)</f>
        <v>0</v>
      </c>
      <c r="AY9" s="388" t="str">
        <f t="shared" si="34"/>
        <v/>
      </c>
      <c r="AZ9" s="409"/>
      <c r="BA9" s="409"/>
      <c r="BB9" s="428"/>
      <c r="BC9" s="31"/>
      <c r="BD9" s="31"/>
      <c r="BE9" s="31"/>
      <c r="BF9" s="369">
        <f>IF(AND($B9&lt;&gt;"",Бланк!$N17=""),1,0)</f>
        <v>0</v>
      </c>
      <c r="BG9" s="367" t="str">
        <f t="shared" si="27"/>
        <v/>
      </c>
      <c r="BH9" s="1068">
        <f>N(IF(LEN(Бланк!$M17),ISNA(MATCH(Бланк!$M17,INDEX(Размер_кабеля_5,0,1),)),FALSE))</f>
        <v>0</v>
      </c>
      <c r="BI9" s="367" t="str">
        <f t="shared" si="28"/>
        <v/>
      </c>
      <c r="BJ9" s="389" t="str">
        <f>_xlfn.IFNA(HLOOKUP(1,$X9:$BI$25,ROWS($X9:$BI$25),0),"")</f>
        <v/>
      </c>
      <c r="BK9" s="339" t="str">
        <f t="shared" si="6"/>
        <v/>
      </c>
      <c r="BL9" s="33"/>
      <c r="BM9" s="195" t="s">
        <v>534</v>
      </c>
      <c r="BN9" s="201" t="str">
        <f>$AE$3&amp;" (Укажите кол-во полюсов 1…4)"</f>
        <v xml:space="preserve"> !Несоответствие кол-ва полюсов (Укажите кол-во полюсов 1…4)</v>
      </c>
      <c r="BP9" s="98"/>
      <c r="BQ9" s="332" t="s">
        <v>543</v>
      </c>
      <c r="BR9" s="335" t="str">
        <f>$BP$5&amp;" (Укажите кривую из списка)"</f>
        <v xml:space="preserve"> !Несоответствие выключателя и кривой отключения (Укажите кривую из списка)</v>
      </c>
      <c r="BS9" s="336">
        <v>40</v>
      </c>
      <c r="BT9" s="337" t="str">
        <f>"Micrologic 2.2(5.2A), "&amp;BS9&amp;" A"</f>
        <v>Micrologic 2.2(5.2A), 40 A</v>
      </c>
      <c r="BV9" s="296" t="b">
        <f>(Бланк!L17="-")</f>
        <v>0</v>
      </c>
      <c r="BW9" s="296" t="b">
        <f>(Бланк!M17="-")</f>
        <v>0</v>
      </c>
      <c r="BX9" s="296" t="b">
        <f>(Бланк!N17="-")</f>
        <v>0</v>
      </c>
      <c r="BY9" s="296" t="b">
        <f>(Бланк!L17="")</f>
        <v>1</v>
      </c>
      <c r="BZ9" s="296" t="b">
        <f>(Бланк!M17="")</f>
        <v>1</v>
      </c>
      <c r="CA9" s="296" t="b">
        <f>(Бланк!N17="")</f>
        <v>1</v>
      </c>
      <c r="CB9" s="296" t="b">
        <f t="shared" si="29"/>
        <v>0</v>
      </c>
      <c r="CC9" s="296" t="b">
        <f t="shared" si="30"/>
        <v>0</v>
      </c>
      <c r="CD9" s="363" t="b">
        <f t="shared" si="31"/>
        <v>0</v>
      </c>
      <c r="CE9" s="396" t="b">
        <f t="shared" si="7"/>
        <v>0</v>
      </c>
      <c r="CF9" s="397" t="b">
        <f t="shared" si="8"/>
        <v>0</v>
      </c>
    </row>
    <row r="10" spans="1:122" ht="12.75" customHeight="1" x14ac:dyDescent="0.2">
      <c r="A10" s="96" t="s">
        <v>90</v>
      </c>
      <c r="B10" s="54" t="str">
        <f>IF(ISBLANK(Бланк!B18),"",Бланк!B18)</f>
        <v/>
      </c>
      <c r="C10" s="4" t="str">
        <f>IF(ISBLANK(Бланк!C18),"",Бланк!C18)</f>
        <v/>
      </c>
      <c r="D10" s="4" t="str">
        <f>IF(ISBLANK(Бланк!D18),"",Бланк!D18)</f>
        <v/>
      </c>
      <c r="E10" s="4" t="str">
        <f>IF(ISBLANK(Бланк!E18),"",Бланк!E18)</f>
        <v/>
      </c>
      <c r="F10" s="270" t="str">
        <f>IF(ISBLANK(Бланк!H18),"",Бланк!H18)</f>
        <v/>
      </c>
      <c r="G10" s="269">
        <f t="shared" si="9"/>
        <v>0</v>
      </c>
      <c r="H10" s="1018">
        <f t="shared" si="10"/>
        <v>0</v>
      </c>
      <c r="I10" s="1018">
        <f t="shared" si="11"/>
        <v>0</v>
      </c>
      <c r="J10" s="1018">
        <f t="shared" si="12"/>
        <v>0</v>
      </c>
      <c r="K10" s="1018">
        <f t="shared" si="13"/>
        <v>0</v>
      </c>
      <c r="L10" s="1018">
        <f t="shared" si="14"/>
        <v>0</v>
      </c>
      <c r="M10" s="1018">
        <f t="shared" si="14"/>
        <v>0</v>
      </c>
      <c r="N10" s="1018">
        <f t="shared" si="15"/>
        <v>0</v>
      </c>
      <c r="O10" s="1018">
        <f t="shared" si="16"/>
        <v>0</v>
      </c>
      <c r="P10" s="1059">
        <f t="shared" si="17"/>
        <v>3</v>
      </c>
      <c r="Q10" s="201" t="str">
        <f t="shared" si="18"/>
        <v/>
      </c>
      <c r="R10" s="200">
        <f t="shared" si="17"/>
        <v>3</v>
      </c>
      <c r="S10" s="201" t="str">
        <f t="shared" si="0"/>
        <v/>
      </c>
      <c r="T10" s="200">
        <f t="shared" si="19"/>
        <v>3</v>
      </c>
      <c r="U10" s="190" t="str">
        <f t="shared" si="20"/>
        <v/>
      </c>
      <c r="V10" s="1062">
        <f ca="1">IF(MIN(In_6)=MAX(In_6),MIN(In_6),MIN(In_6)&amp;"..."&amp;MAX(In_6))</f>
        <v>0</v>
      </c>
      <c r="W10" s="202" t="str">
        <f t="shared" si="21"/>
        <v/>
      </c>
      <c r="X10" s="465">
        <f>N(IF(LEN($B10),ISNA(MATCH(Бланк!$B18,INDEX(Выключатель_отходящий,0,1),)),FALSE))</f>
        <v>0</v>
      </c>
      <c r="Y10" s="202" t="str">
        <f t="shared" si="22"/>
        <v/>
      </c>
      <c r="Z10" s="371">
        <f>N(AND(OR($B10="",$B10="-"),COUNTIF(Бланк!$C18:'Бланк'!$O18,"-")+COUNTIF(Бланк!$C18:'Бланк'!$O18,"")&lt;&gt;COLUMNS(Бланк!$C18:'Бланк'!$O18)))</f>
        <v>0</v>
      </c>
      <c r="AA10" s="338" t="str">
        <f t="shared" si="32"/>
        <v/>
      </c>
      <c r="AB10" s="391">
        <f>N(AND($B10="C60H-DC",Бланк!$K$3&lt;&gt;"IT"))</f>
        <v>0</v>
      </c>
      <c r="AC10" s="389" t="str">
        <f t="shared" si="1"/>
        <v/>
      </c>
      <c r="AD10" s="1064">
        <f>N(IF(LEN($B10),ISNA(MATCH($C10,INDEX(Полюс6,0,1),)),FALSE))</f>
        <v>0</v>
      </c>
      <c r="AE10" s="99" t="str">
        <f>IF(AD10,VLOOKUP(HLOOKUP(1,$G10:$O$25,ROWS($G10:$O$25),FALSE),$BM$4:$BN$12,2,FALSE),"")</f>
        <v/>
      </c>
      <c r="AF10" s="369">
        <f>ISNUMBER($C10)*ISNUMBER($D10)*ISNUMBER(Габариты!EN11)</f>
        <v>0</v>
      </c>
      <c r="AG10" s="367" t="str">
        <f t="shared" si="23"/>
        <v/>
      </c>
      <c r="AH10" s="945">
        <f>N(IF(LEN($C10),ISNA(MATCH($D10,INDEX(In_6,0,1),)),FALSE))</f>
        <v>0</v>
      </c>
      <c r="AI10" s="189" t="str">
        <f t="shared" si="2"/>
        <v/>
      </c>
      <c r="AJ10" s="370">
        <f>N(IF(LEN($D10)*LEN(Бланк!$B18),ISNA(MATCH($E10,INDEX(Кривая6,0,1),)),FALSE))</f>
        <v>0</v>
      </c>
      <c r="AK10" s="99" t="str">
        <f t="shared" si="3"/>
        <v/>
      </c>
      <c r="AL10" s="945">
        <f>N(IF(LEN($E10)*((F10&lt;&gt;"")+K10+O10),ISNA(MATCH($F10,Id_6,0)),FALSE))</f>
        <v>0</v>
      </c>
      <c r="AM10" s="944" t="str">
        <f t="shared" si="24"/>
        <v/>
      </c>
      <c r="AN10" s="945">
        <f>N(IF(AND(LEN($D10),Бланк!$F18&lt;&gt;""),ISNA(MATCH(Бланк!$F18,INDEX(Ir_6,0,1),)),FALSE))</f>
        <v>0</v>
      </c>
      <c r="AO10" s="201" t="str">
        <f t="shared" si="24"/>
        <v/>
      </c>
      <c r="AP10" s="945">
        <f>N(IF(AND(LEN($D10),Бланк!$G18&lt;&gt;""),ISNA(MATCH(Бланк!$G18,INDEX(Im_6,0,1),)),FALSE))</f>
        <v>0</v>
      </c>
      <c r="AQ10" s="201" t="str">
        <f t="shared" si="4"/>
        <v/>
      </c>
      <c r="AR10" s="370">
        <f>$N10*(Бланк!J18="+")</f>
        <v>0</v>
      </c>
      <c r="AS10" s="201" t="str">
        <f t="shared" si="33"/>
        <v/>
      </c>
      <c r="AT10" s="370">
        <f>$N10*(Бланк!K18="+")</f>
        <v>0</v>
      </c>
      <c r="AU10" s="201" t="str">
        <f t="shared" si="25"/>
        <v/>
      </c>
      <c r="AV10" s="391">
        <f t="shared" si="5"/>
        <v>0</v>
      </c>
      <c r="AW10" s="389" t="str">
        <f t="shared" si="26"/>
        <v/>
      </c>
      <c r="AX10" s="390">
        <f>IF(AND(B10&lt;&gt;"",Бланк!$O18=""),1,0)</f>
        <v>0</v>
      </c>
      <c r="AY10" s="388" t="str">
        <f t="shared" si="34"/>
        <v/>
      </c>
      <c r="AZ10" s="409"/>
      <c r="BA10" s="409"/>
      <c r="BB10" s="428"/>
      <c r="BC10" s="31"/>
      <c r="BD10" s="31"/>
      <c r="BE10" s="31"/>
      <c r="BF10" s="369">
        <f>IF(AND($B10&lt;&gt;"",Бланк!$N18=""),1,0)</f>
        <v>0</v>
      </c>
      <c r="BG10" s="367" t="str">
        <f t="shared" si="27"/>
        <v/>
      </c>
      <c r="BH10" s="1068">
        <f>N(IF(LEN(Бланк!$M18),ISNA(MATCH(Бланк!$M18,INDEX(Размер_кабеля_6,0,1),)),FALSE))</f>
        <v>0</v>
      </c>
      <c r="BI10" s="367" t="str">
        <f t="shared" si="28"/>
        <v/>
      </c>
      <c r="BJ10" s="389" t="str">
        <f>_xlfn.IFNA(HLOOKUP(1,$X10:$BI$25,ROWS($X10:$BI$25),0),"")</f>
        <v/>
      </c>
      <c r="BK10" s="339" t="str">
        <f t="shared" si="6"/>
        <v/>
      </c>
      <c r="BL10" s="33"/>
      <c r="BM10" s="195" t="s">
        <v>437</v>
      </c>
      <c r="BN10" s="201" t="str">
        <f>$AE$3&amp;" (Укажите кол-во полюсов 1…4)"</f>
        <v xml:space="preserve"> !Несоответствие кол-ва полюсов (Укажите кол-во полюсов 1…4)</v>
      </c>
      <c r="BP10" s="98"/>
      <c r="BQ10" s="332" t="s">
        <v>542</v>
      </c>
      <c r="BR10" s="335" t="str">
        <f>$BP$5&amp;" (Укажите кривую B или C)"</f>
        <v xml:space="preserve"> !Несоответствие выключателя и кривой отключения (Укажите кривую B или C)</v>
      </c>
      <c r="BS10" s="336">
        <v>50</v>
      </c>
      <c r="BT10" s="337" t="str">
        <f>"TM"&amp;BS10&amp;"D"</f>
        <v>TM50D</v>
      </c>
      <c r="BV10" s="296" t="b">
        <f>(Бланк!L18="-")</f>
        <v>0</v>
      </c>
      <c r="BW10" s="296" t="b">
        <f>(Бланк!M18="-")</f>
        <v>0</v>
      </c>
      <c r="BX10" s="296" t="b">
        <f>(Бланк!N18="-")</f>
        <v>0</v>
      </c>
      <c r="BY10" s="296" t="b">
        <f>(Бланк!L18="")</f>
        <v>1</v>
      </c>
      <c r="BZ10" s="296" t="b">
        <f>(Бланк!M18="")</f>
        <v>1</v>
      </c>
      <c r="CA10" s="296" t="b">
        <f>(Бланк!N18="")</f>
        <v>1</v>
      </c>
      <c r="CB10" s="296" t="b">
        <f t="shared" si="29"/>
        <v>0</v>
      </c>
      <c r="CC10" s="296" t="b">
        <f t="shared" si="30"/>
        <v>0</v>
      </c>
      <c r="CD10" s="363" t="b">
        <f t="shared" si="31"/>
        <v>0</v>
      </c>
      <c r="CE10" s="396" t="b">
        <f t="shared" si="7"/>
        <v>0</v>
      </c>
      <c r="CF10" s="397" t="b">
        <f t="shared" si="8"/>
        <v>0</v>
      </c>
    </row>
    <row r="11" spans="1:122" ht="12.75" customHeight="1" x14ac:dyDescent="0.2">
      <c r="A11" s="96" t="s">
        <v>91</v>
      </c>
      <c r="B11" s="54" t="str">
        <f>IF(ISBLANK(Бланк!B19),"",Бланк!B19)</f>
        <v/>
      </c>
      <c r="C11" s="4" t="str">
        <f>IF(ISBLANK(Бланк!C19),"",Бланк!C19)</f>
        <v/>
      </c>
      <c r="D11" s="4" t="str">
        <f>IF(ISBLANK(Бланк!D19),"",Бланк!D19)</f>
        <v/>
      </c>
      <c r="E11" s="4" t="str">
        <f>IF(ISBLANK(Бланк!E19),"",Бланк!E19)</f>
        <v/>
      </c>
      <c r="F11" s="270" t="str">
        <f>IF(ISBLANK(Бланк!H19),"",Бланк!H19)</f>
        <v/>
      </c>
      <c r="G11" s="269">
        <f t="shared" si="9"/>
        <v>0</v>
      </c>
      <c r="H11" s="1018">
        <f t="shared" si="10"/>
        <v>0</v>
      </c>
      <c r="I11" s="1018">
        <f t="shared" si="11"/>
        <v>0</v>
      </c>
      <c r="J11" s="1018">
        <f t="shared" si="12"/>
        <v>0</v>
      </c>
      <c r="K11" s="1018">
        <f t="shared" si="13"/>
        <v>0</v>
      </c>
      <c r="L11" s="1018">
        <f t="shared" si="14"/>
        <v>0</v>
      </c>
      <c r="M11" s="1018">
        <f t="shared" si="14"/>
        <v>0</v>
      </c>
      <c r="N11" s="1018">
        <f t="shared" si="15"/>
        <v>0</v>
      </c>
      <c r="O11" s="1018">
        <f t="shared" si="16"/>
        <v>0</v>
      </c>
      <c r="P11" s="1059">
        <f t="shared" si="17"/>
        <v>3</v>
      </c>
      <c r="Q11" s="201" t="str">
        <f t="shared" si="18"/>
        <v/>
      </c>
      <c r="R11" s="200">
        <f t="shared" si="17"/>
        <v>3</v>
      </c>
      <c r="S11" s="201" t="str">
        <f t="shared" si="0"/>
        <v/>
      </c>
      <c r="T11" s="200">
        <f t="shared" si="19"/>
        <v>3</v>
      </c>
      <c r="U11" s="190" t="str">
        <f t="shared" si="20"/>
        <v/>
      </c>
      <c r="V11" s="1062">
        <f ca="1">IF(MIN(In_7)=MAX(In_7),MIN(In_7),MIN(In_7)&amp;"..."&amp;MAX(In_7))</f>
        <v>0</v>
      </c>
      <c r="W11" s="202" t="str">
        <f t="shared" si="21"/>
        <v/>
      </c>
      <c r="X11" s="465">
        <f>N(IF(LEN($B11),ISNA(MATCH(Бланк!$B19,INDEX(Выключатель_отходящий,0,1),)),FALSE))</f>
        <v>0</v>
      </c>
      <c r="Y11" s="202" t="str">
        <f t="shared" si="22"/>
        <v/>
      </c>
      <c r="Z11" s="371">
        <f>N(AND(OR($B11="",$B11="-"),COUNTIF(Бланк!$C19:'Бланк'!$O19,"-")+COUNTIF(Бланк!$C19:'Бланк'!$O19,"")&lt;&gt;COLUMNS(Бланк!$C19:'Бланк'!$O19)))</f>
        <v>0</v>
      </c>
      <c r="AA11" s="338" t="str">
        <f t="shared" si="32"/>
        <v/>
      </c>
      <c r="AB11" s="391">
        <f>N(AND($B11="C60H-DC",Бланк!$K$3&lt;&gt;"IT"))</f>
        <v>0</v>
      </c>
      <c r="AC11" s="389" t="str">
        <f t="shared" si="1"/>
        <v/>
      </c>
      <c r="AD11" s="1064">
        <f>N(IF(LEN($B11),ISNA(MATCH($C11,INDEX(Полюс7,0,1),)),FALSE))</f>
        <v>0</v>
      </c>
      <c r="AE11" s="99" t="str">
        <f>IF(AD11,VLOOKUP(HLOOKUP(1,$G11:$O$25,ROWS($G11:$O$25),FALSE),$BM$4:$BN$12,2,FALSE),"")</f>
        <v/>
      </c>
      <c r="AF11" s="369">
        <f>ISNUMBER($C11)*ISNUMBER($D11)*ISNUMBER(Габариты!EN12)</f>
        <v>0</v>
      </c>
      <c r="AG11" s="367" t="str">
        <f t="shared" si="23"/>
        <v/>
      </c>
      <c r="AH11" s="945">
        <f>N(IF(LEN($C11),ISNA(MATCH($D11,INDEX(In_7,0,1),)),FALSE))</f>
        <v>0</v>
      </c>
      <c r="AI11" s="189" t="str">
        <f t="shared" si="2"/>
        <v/>
      </c>
      <c r="AJ11" s="370">
        <f>N(IF(LEN($D11)*LEN(Бланк!$B19),ISNA(MATCH($E11,INDEX(Кривая7,0,1),)),FALSE))</f>
        <v>0</v>
      </c>
      <c r="AK11" s="99" t="str">
        <f t="shared" si="3"/>
        <v/>
      </c>
      <c r="AL11" s="945">
        <f>N(IF(LEN($E11)*((F11&lt;&gt;"")+K11+O11),ISNA(MATCH($F11,Id_7,0)),FALSE))</f>
        <v>0</v>
      </c>
      <c r="AM11" s="944" t="str">
        <f t="shared" si="24"/>
        <v/>
      </c>
      <c r="AN11" s="945">
        <f>N(IF(AND(LEN($D11),Бланк!$F19&lt;&gt;""),ISNA(MATCH(Бланк!$F19,INDEX(Ir_7,0,1),)),FALSE))</f>
        <v>0</v>
      </c>
      <c r="AO11" s="201" t="str">
        <f t="shared" si="24"/>
        <v/>
      </c>
      <c r="AP11" s="945">
        <f>N(IF(AND(LEN($D11),Бланк!$G19&lt;&gt;""),ISNA(MATCH(Бланк!$G19,INDEX(Im_7,0,1),)),FALSE))</f>
        <v>0</v>
      </c>
      <c r="AQ11" s="201" t="str">
        <f t="shared" si="4"/>
        <v/>
      </c>
      <c r="AR11" s="370">
        <f>$N11*(Бланк!J19="+")</f>
        <v>0</v>
      </c>
      <c r="AS11" s="201" t="str">
        <f t="shared" si="33"/>
        <v/>
      </c>
      <c r="AT11" s="370">
        <f>$N11*(Бланк!K19="+")</f>
        <v>0</v>
      </c>
      <c r="AU11" s="201" t="str">
        <f t="shared" si="25"/>
        <v/>
      </c>
      <c r="AV11" s="391">
        <f t="shared" si="5"/>
        <v>0</v>
      </c>
      <c r="AW11" s="389" t="str">
        <f t="shared" si="26"/>
        <v/>
      </c>
      <c r="AX11" s="390">
        <f>IF(AND(B11&lt;&gt;"",Бланк!$O19=""),1,0)</f>
        <v>0</v>
      </c>
      <c r="AY11" s="388" t="str">
        <f t="shared" si="34"/>
        <v/>
      </c>
      <c r="AZ11" s="409"/>
      <c r="BA11" s="409"/>
      <c r="BB11" s="428"/>
      <c r="BC11" s="31"/>
      <c r="BD11" s="31"/>
      <c r="BE11" s="31"/>
      <c r="BF11" s="369">
        <f>IF(AND($B11&lt;&gt;"",Бланк!$N19=""),1,0)</f>
        <v>0</v>
      </c>
      <c r="BG11" s="367" t="str">
        <f t="shared" si="27"/>
        <v/>
      </c>
      <c r="BH11" s="1068">
        <f>N(IF(LEN(Бланк!$M19),ISNA(MATCH(Бланк!$M19,INDEX(Размер_кабеля_7,0,1),)),FALSE))</f>
        <v>0</v>
      </c>
      <c r="BI11" s="367" t="str">
        <f t="shared" si="28"/>
        <v/>
      </c>
      <c r="BJ11" s="389" t="str">
        <f>_xlfn.IFNA(HLOOKUP(1,$X11:$BI$25,ROWS($X11:$BI$25),0),"")</f>
        <v/>
      </c>
      <c r="BK11" s="339" t="str">
        <f t="shared" si="6"/>
        <v/>
      </c>
      <c r="BL11" s="33"/>
      <c r="BM11" s="195" t="s">
        <v>149</v>
      </c>
      <c r="BN11" s="201" t="str">
        <f>$AE$3&amp;" (Укажите кол-во полюсов 1…4)"</f>
        <v xml:space="preserve"> !Несоответствие кол-ва полюсов (Укажите кол-во полюсов 1…4)</v>
      </c>
      <c r="BP11" s="98"/>
      <c r="BQ11" s="332" t="s">
        <v>544</v>
      </c>
      <c r="BR11" s="335" t="str">
        <f>$BP$5&amp;" (Укажите кривую B или C)"</f>
        <v xml:space="preserve"> !Несоответствие выключателя и кривой отключения (Укажите кривую B или C)</v>
      </c>
      <c r="BS11" s="336">
        <v>63</v>
      </c>
      <c r="BT11" s="337" t="str">
        <f>"TM"&amp;BS11&amp;"D(G)"</f>
        <v>TM63D(G)</v>
      </c>
      <c r="BV11" s="296" t="b">
        <f>(Бланк!L19="-")</f>
        <v>0</v>
      </c>
      <c r="BW11" s="296" t="b">
        <f>(Бланк!M19="-")</f>
        <v>0</v>
      </c>
      <c r="BX11" s="296" t="b">
        <f>(Бланк!N19="-")</f>
        <v>0</v>
      </c>
      <c r="BY11" s="296" t="b">
        <f>(Бланк!L19="")</f>
        <v>1</v>
      </c>
      <c r="BZ11" s="296" t="b">
        <f>(Бланк!M19="")</f>
        <v>1</v>
      </c>
      <c r="CA11" s="296" t="b">
        <f>(Бланк!N19="")</f>
        <v>1</v>
      </c>
      <c r="CB11" s="296" t="b">
        <f t="shared" si="29"/>
        <v>0</v>
      </c>
      <c r="CC11" s="296" t="b">
        <f t="shared" si="30"/>
        <v>0</v>
      </c>
      <c r="CD11" s="363" t="b">
        <f t="shared" si="31"/>
        <v>0</v>
      </c>
      <c r="CE11" s="396" t="b">
        <f t="shared" si="7"/>
        <v>0</v>
      </c>
      <c r="CF11" s="397" t="b">
        <f t="shared" si="8"/>
        <v>0</v>
      </c>
    </row>
    <row r="12" spans="1:122" ht="12.75" customHeight="1" x14ac:dyDescent="0.2">
      <c r="A12" s="96" t="s">
        <v>92</v>
      </c>
      <c r="B12" s="54" t="str">
        <f>IF(ISBLANK(Бланк!B20),"",Бланк!B20)</f>
        <v/>
      </c>
      <c r="C12" s="4" t="str">
        <f>IF(ISBLANK(Бланк!C20),"",Бланк!C20)</f>
        <v/>
      </c>
      <c r="D12" s="4" t="str">
        <f>IF(ISBLANK(Бланк!D20),"",Бланк!D20)</f>
        <v/>
      </c>
      <c r="E12" s="4" t="str">
        <f>IF(ISBLANK(Бланк!E20),"",Бланк!E20)</f>
        <v/>
      </c>
      <c r="F12" s="270" t="str">
        <f>IF(ISBLANK(Бланк!H20),"",Бланк!H20)</f>
        <v/>
      </c>
      <c r="G12" s="269">
        <f t="shared" si="9"/>
        <v>0</v>
      </c>
      <c r="H12" s="1018">
        <f t="shared" si="10"/>
        <v>0</v>
      </c>
      <c r="I12" s="1018">
        <f t="shared" si="11"/>
        <v>0</v>
      </c>
      <c r="J12" s="1018">
        <f t="shared" si="12"/>
        <v>0</v>
      </c>
      <c r="K12" s="1018">
        <f t="shared" si="13"/>
        <v>0</v>
      </c>
      <c r="L12" s="1018">
        <f t="shared" si="14"/>
        <v>0</v>
      </c>
      <c r="M12" s="1018">
        <f t="shared" si="14"/>
        <v>0</v>
      </c>
      <c r="N12" s="1018">
        <f t="shared" si="15"/>
        <v>0</v>
      </c>
      <c r="O12" s="1018">
        <f t="shared" si="16"/>
        <v>0</v>
      </c>
      <c r="P12" s="1059">
        <f t="shared" si="17"/>
        <v>3</v>
      </c>
      <c r="Q12" s="201" t="str">
        <f t="shared" si="18"/>
        <v/>
      </c>
      <c r="R12" s="200">
        <f t="shared" si="17"/>
        <v>3</v>
      </c>
      <c r="S12" s="201" t="str">
        <f t="shared" si="0"/>
        <v/>
      </c>
      <c r="T12" s="200">
        <f t="shared" si="19"/>
        <v>3</v>
      </c>
      <c r="U12" s="190" t="str">
        <f t="shared" si="20"/>
        <v/>
      </c>
      <c r="V12" s="1062">
        <f ca="1">IF(MIN(In_8)=MAX(In_8),MIN(In_8),MIN(In_8)&amp;"..."&amp;MAX(In_8))</f>
        <v>0</v>
      </c>
      <c r="W12" s="202" t="str">
        <f t="shared" si="21"/>
        <v/>
      </c>
      <c r="X12" s="465">
        <f>N(IF(LEN($B12),ISNA(MATCH(Бланк!$B20,INDEX(Выключатель_отходящий,0,1),)),FALSE))</f>
        <v>0</v>
      </c>
      <c r="Y12" s="202" t="str">
        <f t="shared" si="22"/>
        <v/>
      </c>
      <c r="Z12" s="371">
        <f>N(AND(OR($B12="",$B12="-"),COUNTIF(Бланк!$C20:'Бланк'!$O20,"-")+COUNTIF(Бланк!$C20:'Бланк'!$O20,"")&lt;&gt;COLUMNS(Бланк!$C20:'Бланк'!$O20)))</f>
        <v>0</v>
      </c>
      <c r="AA12" s="338" t="str">
        <f t="shared" si="32"/>
        <v/>
      </c>
      <c r="AB12" s="391">
        <f>N(AND($B12="C60H-DC",Бланк!$K$3&lt;&gt;"IT"))</f>
        <v>0</v>
      </c>
      <c r="AC12" s="389" t="str">
        <f t="shared" si="1"/>
        <v/>
      </c>
      <c r="AD12" s="1064">
        <f>N(IF(LEN($B12),ISNA(MATCH($C12,INDEX(Полюс8,0,1),)),FALSE))</f>
        <v>0</v>
      </c>
      <c r="AE12" s="99" t="str">
        <f>IF(AD12,VLOOKUP(HLOOKUP(1,$G12:$O$25,ROWS($G12:$O$25),FALSE),$BM$4:$BN$12,2,FALSE),"")</f>
        <v/>
      </c>
      <c r="AF12" s="369">
        <f>ISNUMBER($C12)*ISNUMBER($D12)*ISNUMBER(Габариты!EN13)</f>
        <v>0</v>
      </c>
      <c r="AG12" s="367" t="str">
        <f t="shared" si="23"/>
        <v/>
      </c>
      <c r="AH12" s="945">
        <f>N(IF(LEN($C12),ISNA(MATCH($D12,INDEX(In_8,0,1),)),FALSE))</f>
        <v>0</v>
      </c>
      <c r="AI12" s="189" t="str">
        <f t="shared" si="2"/>
        <v/>
      </c>
      <c r="AJ12" s="370">
        <f>N(IF(LEN($D12)*LEN(Бланк!$B20),ISNA(MATCH($E12,INDEX(Кривая8,0,1),)),FALSE))</f>
        <v>0</v>
      </c>
      <c r="AK12" s="99" t="str">
        <f t="shared" si="3"/>
        <v/>
      </c>
      <c r="AL12" s="945">
        <f>N(IF(LEN($E12)*((F12&lt;&gt;"")+K12+O12),ISNA(MATCH($F12,Id_8,0)),FALSE))</f>
        <v>0</v>
      </c>
      <c r="AM12" s="944" t="str">
        <f t="shared" si="24"/>
        <v/>
      </c>
      <c r="AN12" s="945">
        <f>N(IF(AND(LEN($D12),Бланк!$F20&lt;&gt;""),ISNA(MATCH(Бланк!$F20,INDEX(Ir_8,0,1),)),FALSE))</f>
        <v>0</v>
      </c>
      <c r="AO12" s="201" t="str">
        <f t="shared" si="24"/>
        <v/>
      </c>
      <c r="AP12" s="945">
        <f>N(IF(AND(LEN($D12),Бланк!$G20&lt;&gt;""),ISNA(MATCH(Бланк!$G20,INDEX(Im_8,0,1),)),FALSE))</f>
        <v>0</v>
      </c>
      <c r="AQ12" s="201" t="str">
        <f t="shared" si="4"/>
        <v/>
      </c>
      <c r="AR12" s="370">
        <f>$N12*(Бланк!J20="+")</f>
        <v>0</v>
      </c>
      <c r="AS12" s="201" t="str">
        <f t="shared" si="33"/>
        <v/>
      </c>
      <c r="AT12" s="370">
        <f>$N12*(Бланк!K20="+")</f>
        <v>0</v>
      </c>
      <c r="AU12" s="201" t="str">
        <f t="shared" si="25"/>
        <v/>
      </c>
      <c r="AV12" s="391">
        <f t="shared" si="5"/>
        <v>0</v>
      </c>
      <c r="AW12" s="389" t="str">
        <f t="shared" si="26"/>
        <v/>
      </c>
      <c r="AX12" s="390">
        <f>IF(AND(B12&lt;&gt;"",Бланк!$O20=""),1,0)</f>
        <v>0</v>
      </c>
      <c r="AY12" s="388" t="str">
        <f t="shared" si="34"/>
        <v/>
      </c>
      <c r="AZ12" s="409"/>
      <c r="BA12" s="409"/>
      <c r="BB12" s="428"/>
      <c r="BC12" s="31"/>
      <c r="BD12" s="31"/>
      <c r="BE12" s="31"/>
      <c r="BF12" s="369">
        <f>IF(AND($B12&lt;&gt;"",Бланк!$N20=""),1,0)</f>
        <v>0</v>
      </c>
      <c r="BG12" s="367" t="str">
        <f t="shared" si="27"/>
        <v/>
      </c>
      <c r="BH12" s="1068">
        <f>N(IF(LEN(Бланк!$M20),ISNA(MATCH(Бланк!$M20,INDEX(Размер_кабеля_8,0,1),)),FALSE))</f>
        <v>0</v>
      </c>
      <c r="BI12" s="367" t="str">
        <f t="shared" si="28"/>
        <v/>
      </c>
      <c r="BJ12" s="389" t="str">
        <f>_xlfn.IFNA(HLOOKUP(1,$X12:$BI$25,ROWS($X12:$BI$25),0),"")</f>
        <v/>
      </c>
      <c r="BK12" s="339" t="str">
        <f t="shared" si="6"/>
        <v/>
      </c>
      <c r="BL12" s="33"/>
      <c r="BM12" s="195" t="s">
        <v>150</v>
      </c>
      <c r="BN12" s="201" t="str">
        <f>$AE$3&amp;" (Укажите кол-во полюсов 2 или 4)"</f>
        <v xml:space="preserve"> !Несоответствие кол-ва полюсов (Укажите кол-во полюсов 2 или 4)</v>
      </c>
      <c r="BP12" s="98"/>
      <c r="BQ12" s="332" t="s">
        <v>534</v>
      </c>
      <c r="BR12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12" s="336">
        <v>80</v>
      </c>
      <c r="BT12" s="337" t="str">
        <f>"TM"&amp;BS12&amp;"D(G)"</f>
        <v>TM80D(G)</v>
      </c>
      <c r="BV12" s="296" t="b">
        <f>(Бланк!L20="-")</f>
        <v>0</v>
      </c>
      <c r="BW12" s="296" t="b">
        <f>(Бланк!M20="-")</f>
        <v>0</v>
      </c>
      <c r="BX12" s="296" t="b">
        <f>(Бланк!N20="-")</f>
        <v>0</v>
      </c>
      <c r="BY12" s="296" t="b">
        <f>(Бланк!L20="")</f>
        <v>1</v>
      </c>
      <c r="BZ12" s="296" t="b">
        <f>(Бланк!M20="")</f>
        <v>1</v>
      </c>
      <c r="CA12" s="296" t="b">
        <f>(Бланк!N20="")</f>
        <v>1</v>
      </c>
      <c r="CB12" s="296" t="b">
        <f t="shared" si="29"/>
        <v>0</v>
      </c>
      <c r="CC12" s="296" t="b">
        <f t="shared" si="30"/>
        <v>0</v>
      </c>
      <c r="CD12" s="363" t="b">
        <f t="shared" si="31"/>
        <v>0</v>
      </c>
      <c r="CE12" s="396" t="b">
        <f t="shared" si="7"/>
        <v>0</v>
      </c>
      <c r="CF12" s="397" t="b">
        <f t="shared" si="8"/>
        <v>0</v>
      </c>
    </row>
    <row r="13" spans="1:122" ht="12.75" customHeight="1" x14ac:dyDescent="0.2">
      <c r="A13" s="96" t="s">
        <v>93</v>
      </c>
      <c r="B13" s="54" t="str">
        <f>IF(ISBLANK(Бланк!B21),"",Бланк!B21)</f>
        <v/>
      </c>
      <c r="C13" s="4" t="str">
        <f>IF(ISBLANK(Бланк!C21),"",Бланк!C21)</f>
        <v/>
      </c>
      <c r="D13" s="4" t="str">
        <f>IF(ISBLANK(Бланк!D21),"",Бланк!D21)</f>
        <v/>
      </c>
      <c r="E13" s="4" t="str">
        <f>IF(ISBLANK(Бланк!E21),"",Бланк!E21)</f>
        <v/>
      </c>
      <c r="F13" s="270" t="str">
        <f>IF(ISBLANK(Бланк!H21),"",Бланк!H21)</f>
        <v/>
      </c>
      <c r="G13" s="269">
        <f t="shared" si="9"/>
        <v>0</v>
      </c>
      <c r="H13" s="1018">
        <f t="shared" si="10"/>
        <v>0</v>
      </c>
      <c r="I13" s="1018">
        <f t="shared" si="11"/>
        <v>0</v>
      </c>
      <c r="J13" s="1018">
        <f t="shared" si="12"/>
        <v>0</v>
      </c>
      <c r="K13" s="1018">
        <f t="shared" si="13"/>
        <v>0</v>
      </c>
      <c r="L13" s="1018">
        <f t="shared" si="14"/>
        <v>0</v>
      </c>
      <c r="M13" s="1018">
        <f t="shared" si="14"/>
        <v>0</v>
      </c>
      <c r="N13" s="1018">
        <f t="shared" si="15"/>
        <v>0</v>
      </c>
      <c r="O13" s="1018">
        <f t="shared" si="16"/>
        <v>0</v>
      </c>
      <c r="P13" s="1059">
        <f t="shared" si="17"/>
        <v>3</v>
      </c>
      <c r="Q13" s="201" t="str">
        <f t="shared" si="18"/>
        <v/>
      </c>
      <c r="R13" s="200">
        <f t="shared" si="17"/>
        <v>3</v>
      </c>
      <c r="S13" s="201" t="str">
        <f t="shared" si="0"/>
        <v/>
      </c>
      <c r="T13" s="200">
        <f t="shared" si="19"/>
        <v>3</v>
      </c>
      <c r="U13" s="190" t="str">
        <f t="shared" si="20"/>
        <v/>
      </c>
      <c r="V13" s="1062">
        <f ca="1">IF(MIN(In_9)=MAX(In_9),MIN(In_9),MIN(In_9)&amp;"..."&amp;MAX(In_9))</f>
        <v>0</v>
      </c>
      <c r="W13" s="202" t="str">
        <f t="shared" si="21"/>
        <v/>
      </c>
      <c r="X13" s="465">
        <f>N(IF(LEN($B13),ISNA(MATCH(Бланк!$B21,INDEX(Выключатель_отходящий,0,1),)),FALSE))</f>
        <v>0</v>
      </c>
      <c r="Y13" s="202" t="str">
        <f t="shared" si="22"/>
        <v/>
      </c>
      <c r="Z13" s="371">
        <f>N(AND(OR($B13="",$B13="-"),COUNTIF(Бланк!$C21:'Бланк'!$O21,"-")+COUNTIF(Бланк!$C21:'Бланк'!$O21,"")&lt;&gt;COLUMNS(Бланк!$C21:'Бланк'!$O21)))</f>
        <v>0</v>
      </c>
      <c r="AA13" s="338" t="str">
        <f t="shared" si="32"/>
        <v/>
      </c>
      <c r="AB13" s="391">
        <f>N(AND($B13="C60H-DC",Бланк!$K$3&lt;&gt;"IT"))</f>
        <v>0</v>
      </c>
      <c r="AC13" s="389" t="str">
        <f t="shared" si="1"/>
        <v/>
      </c>
      <c r="AD13" s="1064">
        <f>N(IF(LEN($B13),ISNA(MATCH($C13,INDEX(Полюс9,0,1),)),FALSE))</f>
        <v>0</v>
      </c>
      <c r="AE13" s="99" t="str">
        <f>IF(AD13,VLOOKUP(HLOOKUP(1,$G13:$O$25,ROWS($G13:$O$25),FALSE),$BM$4:$BN$12,2,FALSE),"")</f>
        <v/>
      </c>
      <c r="AF13" s="369">
        <f>ISNUMBER($C13)*ISNUMBER($D13)*ISNUMBER(Габариты!EN14)</f>
        <v>0</v>
      </c>
      <c r="AG13" s="367" t="str">
        <f t="shared" si="23"/>
        <v/>
      </c>
      <c r="AH13" s="945">
        <f>N(IF(LEN($C13),ISNA(MATCH($D13,INDEX(In_9,0,1),)),FALSE))</f>
        <v>0</v>
      </c>
      <c r="AI13" s="189" t="str">
        <f t="shared" si="2"/>
        <v/>
      </c>
      <c r="AJ13" s="370">
        <f>N(IF(LEN($D13)*LEN(Бланк!$B21),ISNA(MATCH($E13,INDEX(Кривая9,0,1),)),FALSE))</f>
        <v>0</v>
      </c>
      <c r="AK13" s="99" t="str">
        <f t="shared" si="3"/>
        <v/>
      </c>
      <c r="AL13" s="945">
        <f>N(IF(LEN($E13)*((F13&lt;&gt;"")+K13+O13),ISNA(MATCH($F13,Id_9,0)),FALSE))</f>
        <v>0</v>
      </c>
      <c r="AM13" s="944" t="str">
        <f t="shared" si="24"/>
        <v/>
      </c>
      <c r="AN13" s="945">
        <f>N(IF(AND(LEN($D13),Бланк!$F21&lt;&gt;""),ISNA(MATCH(Бланк!$F21,INDEX(Ir_9,0,1),)),FALSE))</f>
        <v>0</v>
      </c>
      <c r="AO13" s="201" t="str">
        <f t="shared" si="24"/>
        <v/>
      </c>
      <c r="AP13" s="945">
        <f>N(IF(AND(LEN($D13),Бланк!$G21&lt;&gt;""),ISNA(MATCH(Бланк!$G21,INDEX(Im_9,0,1),)),FALSE))</f>
        <v>0</v>
      </c>
      <c r="AQ13" s="201" t="str">
        <f t="shared" si="4"/>
        <v/>
      </c>
      <c r="AR13" s="370">
        <f>$N13*(Бланк!J21="+")</f>
        <v>0</v>
      </c>
      <c r="AS13" s="201" t="str">
        <f t="shared" si="33"/>
        <v/>
      </c>
      <c r="AT13" s="370">
        <f>$N13*(Бланк!K21="+")</f>
        <v>0</v>
      </c>
      <c r="AU13" s="201" t="str">
        <f t="shared" si="25"/>
        <v/>
      </c>
      <c r="AV13" s="391">
        <f t="shared" si="5"/>
        <v>0</v>
      </c>
      <c r="AW13" s="389" t="str">
        <f t="shared" si="26"/>
        <v/>
      </c>
      <c r="AX13" s="390">
        <f>IF(AND(B13&lt;&gt;"",Бланк!$O21=""),1,0)</f>
        <v>0</v>
      </c>
      <c r="AY13" s="388" t="str">
        <f t="shared" si="34"/>
        <v/>
      </c>
      <c r="AZ13" s="409"/>
      <c r="BA13" s="409"/>
      <c r="BB13" s="428"/>
      <c r="BC13" s="31"/>
      <c r="BD13" s="31"/>
      <c r="BE13" s="31"/>
      <c r="BF13" s="369">
        <f>IF(AND($B13&lt;&gt;"",Бланк!$N21=""),1,0)</f>
        <v>0</v>
      </c>
      <c r="BG13" s="367" t="str">
        <f t="shared" si="27"/>
        <v/>
      </c>
      <c r="BH13" s="1068">
        <f>N(IF(LEN(Бланк!$M21),ISNA(MATCH(Бланк!$M21,INDEX(Размер_кабеля_9,0,1),)),FALSE))</f>
        <v>0</v>
      </c>
      <c r="BI13" s="367" t="str">
        <f t="shared" si="28"/>
        <v/>
      </c>
      <c r="BJ13" s="389" t="str">
        <f>_xlfn.IFNA(HLOOKUP(1,$X13:$BI$25,ROWS($X13:$BI$25),0),"")</f>
        <v/>
      </c>
      <c r="BK13" s="339" t="str">
        <f t="shared" si="6"/>
        <v/>
      </c>
      <c r="BL13" s="33"/>
      <c r="BP13" s="98"/>
      <c r="BQ13" s="332" t="s">
        <v>328</v>
      </c>
      <c r="BR13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13" s="336">
        <v>100</v>
      </c>
      <c r="BT13" s="337" t="str">
        <f>"TM"&amp;BS13&amp;"D(G)"</f>
        <v>TM100D(G)</v>
      </c>
      <c r="BV13" s="296" t="b">
        <f>(Бланк!L21="-")</f>
        <v>0</v>
      </c>
      <c r="BW13" s="296" t="b">
        <f>(Бланк!M21="-")</f>
        <v>0</v>
      </c>
      <c r="BX13" s="296" t="b">
        <f>(Бланк!N21="-")</f>
        <v>0</v>
      </c>
      <c r="BY13" s="296" t="b">
        <f>(Бланк!L21="")</f>
        <v>1</v>
      </c>
      <c r="BZ13" s="296" t="b">
        <f>(Бланк!M21="")</f>
        <v>1</v>
      </c>
      <c r="CA13" s="296" t="b">
        <f>(Бланк!N21="")</f>
        <v>1</v>
      </c>
      <c r="CB13" s="296" t="b">
        <f t="shared" si="29"/>
        <v>0</v>
      </c>
      <c r="CC13" s="296" t="b">
        <f t="shared" si="30"/>
        <v>0</v>
      </c>
      <c r="CD13" s="363" t="b">
        <f t="shared" si="31"/>
        <v>0</v>
      </c>
      <c r="CE13" s="396" t="b">
        <f t="shared" si="7"/>
        <v>0</v>
      </c>
      <c r="CF13" s="397" t="b">
        <f t="shared" si="8"/>
        <v>0</v>
      </c>
    </row>
    <row r="14" spans="1:122" x14ac:dyDescent="0.2">
      <c r="A14" s="96" t="s">
        <v>94</v>
      </c>
      <c r="B14" s="54" t="str">
        <f>IF(ISBLANK(Бланк!B22),"",Бланк!B22)</f>
        <v/>
      </c>
      <c r="C14" s="4" t="str">
        <f>IF(ISBLANK(Бланк!C22),"",Бланк!C22)</f>
        <v/>
      </c>
      <c r="D14" s="4" t="str">
        <f>IF(ISBLANK(Бланк!D22),"",Бланк!D22)</f>
        <v/>
      </c>
      <c r="E14" s="4" t="str">
        <f>IF(ISBLANK(Бланк!E22),"",Бланк!E22)</f>
        <v/>
      </c>
      <c r="F14" s="270" t="str">
        <f>IF(ISBLANK(Бланк!H22),"",Бланк!H22)</f>
        <v/>
      </c>
      <c r="G14" s="269">
        <f t="shared" si="9"/>
        <v>0</v>
      </c>
      <c r="H14" s="1018">
        <f t="shared" si="10"/>
        <v>0</v>
      </c>
      <c r="I14" s="1018">
        <f t="shared" si="11"/>
        <v>0</v>
      </c>
      <c r="J14" s="1018">
        <f t="shared" si="12"/>
        <v>0</v>
      </c>
      <c r="K14" s="1018">
        <f t="shared" si="13"/>
        <v>0</v>
      </c>
      <c r="L14" s="1018">
        <f t="shared" si="14"/>
        <v>0</v>
      </c>
      <c r="M14" s="1018">
        <f t="shared" si="14"/>
        <v>0</v>
      </c>
      <c r="N14" s="1018">
        <f t="shared" si="15"/>
        <v>0</v>
      </c>
      <c r="O14" s="1018">
        <f t="shared" si="16"/>
        <v>0</v>
      </c>
      <c r="P14" s="1059">
        <f t="shared" si="17"/>
        <v>3</v>
      </c>
      <c r="Q14" s="201" t="str">
        <f t="shared" si="18"/>
        <v/>
      </c>
      <c r="R14" s="200">
        <f t="shared" si="17"/>
        <v>3</v>
      </c>
      <c r="S14" s="201" t="str">
        <f t="shared" si="0"/>
        <v/>
      </c>
      <c r="T14" s="200">
        <f t="shared" si="19"/>
        <v>3</v>
      </c>
      <c r="U14" s="190" t="str">
        <f t="shared" si="20"/>
        <v/>
      </c>
      <c r="V14" s="1062">
        <f ca="1">IF(MIN(In_10)=MAX(In_10),MIN(In_10),MIN(In_10)&amp;"..."&amp;MAX(In_10))</f>
        <v>0</v>
      </c>
      <c r="W14" s="202" t="str">
        <f t="shared" si="21"/>
        <v/>
      </c>
      <c r="X14" s="465">
        <f>N(IF(LEN($B14),ISNA(MATCH(Бланк!$B22,INDEX(Выключатель_отходящий,0,1),)),FALSE))</f>
        <v>0</v>
      </c>
      <c r="Y14" s="202" t="str">
        <f t="shared" si="22"/>
        <v/>
      </c>
      <c r="Z14" s="371">
        <f>N(AND(OR($B14="",$B14="-"),COUNTIF(Бланк!$C22:'Бланк'!$O22,"-")+COUNTIF(Бланк!$C22:'Бланк'!$O22,"")&lt;&gt;COLUMNS(Бланк!$C22:'Бланк'!$O22)))</f>
        <v>0</v>
      </c>
      <c r="AA14" s="338" t="str">
        <f t="shared" si="32"/>
        <v/>
      </c>
      <c r="AB14" s="391">
        <f>N(AND($B14="C60H-DC",Бланк!$K$3&lt;&gt;"IT"))</f>
        <v>0</v>
      </c>
      <c r="AC14" s="389" t="str">
        <f t="shared" si="1"/>
        <v/>
      </c>
      <c r="AD14" s="1064">
        <f>N(IF(LEN($B14),ISNA(MATCH($C14,INDEX(Полюс10,0,1),)),FALSE))</f>
        <v>0</v>
      </c>
      <c r="AE14" s="99" t="str">
        <f>IF(AD14,VLOOKUP(HLOOKUP(1,$G14:$O$25,ROWS($G14:$O$25),FALSE),$BM$4:$BN$12,2,FALSE),"")</f>
        <v/>
      </c>
      <c r="AF14" s="369">
        <f>ISNUMBER($C14)*ISNUMBER($D14)*ISNUMBER(Габариты!EN15)</f>
        <v>0</v>
      </c>
      <c r="AG14" s="367" t="str">
        <f t="shared" si="23"/>
        <v/>
      </c>
      <c r="AH14" s="945">
        <f>N(IF(LEN($C14),ISNA(MATCH($D14,INDEX(In_10,0,1),)),FALSE))</f>
        <v>0</v>
      </c>
      <c r="AI14" s="189" t="str">
        <f t="shared" si="2"/>
        <v/>
      </c>
      <c r="AJ14" s="370">
        <f>N(IF(LEN($D14)*LEN(Бланк!$B22),ISNA(MATCH($E14,INDEX(Кривая10,0,1),)),FALSE))</f>
        <v>0</v>
      </c>
      <c r="AK14" s="99" t="str">
        <f t="shared" si="3"/>
        <v/>
      </c>
      <c r="AL14" s="945">
        <f>N(IF(LEN($E14)*((F14&lt;&gt;"")+K14+O14),ISNA(MATCH($F14,Id_10,0)),FALSE))</f>
        <v>0</v>
      </c>
      <c r="AM14" s="944" t="str">
        <f t="shared" si="24"/>
        <v/>
      </c>
      <c r="AN14" s="945">
        <f>N(IF(AND(LEN($D14),Бланк!$F22&lt;&gt;""),ISNA(MATCH(Бланк!$F22,INDEX(Ir_10,0,1),)),FALSE))</f>
        <v>0</v>
      </c>
      <c r="AO14" s="201" t="str">
        <f t="shared" si="24"/>
        <v/>
      </c>
      <c r="AP14" s="945">
        <f>N(IF(AND(LEN($D14),Бланк!$G22&lt;&gt;""),ISNA(MATCH(Бланк!$G22,INDEX(Im_10,0,1),)),FALSE))</f>
        <v>0</v>
      </c>
      <c r="AQ14" s="201" t="str">
        <f t="shared" si="4"/>
        <v/>
      </c>
      <c r="AR14" s="370">
        <f>$N14*(Бланк!J22="+")</f>
        <v>0</v>
      </c>
      <c r="AS14" s="201" t="str">
        <f t="shared" si="33"/>
        <v/>
      </c>
      <c r="AT14" s="370">
        <f>$N14*(Бланк!K22="+")</f>
        <v>0</v>
      </c>
      <c r="AU14" s="201" t="str">
        <f t="shared" si="25"/>
        <v/>
      </c>
      <c r="AV14" s="391">
        <f t="shared" si="5"/>
        <v>0</v>
      </c>
      <c r="AW14" s="389" t="str">
        <f t="shared" si="26"/>
        <v/>
      </c>
      <c r="AX14" s="390">
        <f>IF(AND(B14&lt;&gt;"",Бланк!$O22=""),1,0)</f>
        <v>0</v>
      </c>
      <c r="AY14" s="388" t="str">
        <f t="shared" si="34"/>
        <v/>
      </c>
      <c r="AZ14" s="409"/>
      <c r="BA14" s="409"/>
      <c r="BB14" s="428"/>
      <c r="BC14" s="31"/>
      <c r="BD14" s="31"/>
      <c r="BE14" s="31"/>
      <c r="BF14" s="369">
        <f>IF(AND($B14&lt;&gt;"",Бланк!$N22=""),1,0)</f>
        <v>0</v>
      </c>
      <c r="BG14" s="367" t="str">
        <f t="shared" si="27"/>
        <v/>
      </c>
      <c r="BH14" s="1068">
        <f>N(IF(LEN(Бланк!$M22),ISNA(MATCH(Бланк!$M22,INDEX(Размер_кабеля_10,0,1),)),FALSE))</f>
        <v>0</v>
      </c>
      <c r="BI14" s="367" t="str">
        <f t="shared" si="28"/>
        <v/>
      </c>
      <c r="BJ14" s="389" t="str">
        <f>_xlfn.IFNA(HLOOKUP(1,$X14:$BI$25,ROWS($X14:$BI$25),0),"")</f>
        <v/>
      </c>
      <c r="BK14" s="339" t="str">
        <f t="shared" si="6"/>
        <v/>
      </c>
      <c r="BL14" s="33"/>
      <c r="BP14" s="98"/>
      <c r="BQ14" s="332" t="s">
        <v>329</v>
      </c>
      <c r="BR14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14" s="336">
        <v>100</v>
      </c>
      <c r="BT14" s="337" t="str">
        <f>"Micrologic 2.2(5.2A), "&amp;BS14&amp;" A"</f>
        <v>Micrologic 2.2(5.2A), 100 A</v>
      </c>
      <c r="BV14" s="296" t="b">
        <f>(Бланк!L22="-")</f>
        <v>0</v>
      </c>
      <c r="BW14" s="296" t="b">
        <f>(Бланк!M22="-")</f>
        <v>0</v>
      </c>
      <c r="BX14" s="296" t="b">
        <f>(Бланк!N22="-")</f>
        <v>0</v>
      </c>
      <c r="BY14" s="296" t="b">
        <f>(Бланк!L22="")</f>
        <v>1</v>
      </c>
      <c r="BZ14" s="296" t="b">
        <f>(Бланк!M22="")</f>
        <v>1</v>
      </c>
      <c r="CA14" s="296" t="b">
        <f>(Бланк!N22="")</f>
        <v>1</v>
      </c>
      <c r="CB14" s="296" t="b">
        <f t="shared" si="29"/>
        <v>0</v>
      </c>
      <c r="CC14" s="296" t="b">
        <f t="shared" si="30"/>
        <v>0</v>
      </c>
      <c r="CD14" s="363" t="b">
        <f t="shared" si="31"/>
        <v>0</v>
      </c>
      <c r="CE14" s="396" t="b">
        <f t="shared" si="7"/>
        <v>0</v>
      </c>
      <c r="CF14" s="397" t="b">
        <f t="shared" si="8"/>
        <v>0</v>
      </c>
    </row>
    <row r="15" spans="1:122" x14ac:dyDescent="0.2">
      <c r="A15" s="96" t="s">
        <v>162</v>
      </c>
      <c r="B15" s="54" t="str">
        <f>IF(ISBLANK(Бланк!B23),"",Бланк!B23)</f>
        <v/>
      </c>
      <c r="C15" s="4" t="str">
        <f>IF(ISBLANK(Бланк!C23),"",Бланк!C23)</f>
        <v/>
      </c>
      <c r="D15" s="4" t="str">
        <f>IF(ISBLANK(Бланк!D23),"",Бланк!D23)</f>
        <v/>
      </c>
      <c r="E15" s="4" t="str">
        <f>IF(ISBLANK(Бланк!E23),"",Бланк!E23)</f>
        <v/>
      </c>
      <c r="F15" s="270" t="str">
        <f>IF(ISBLANK(Бланк!H23),"",Бланк!H23)</f>
        <v/>
      </c>
      <c r="G15" s="269">
        <f t="shared" si="9"/>
        <v>0</v>
      </c>
      <c r="H15" s="1018">
        <f t="shared" si="10"/>
        <v>0</v>
      </c>
      <c r="I15" s="1018">
        <f t="shared" si="11"/>
        <v>0</v>
      </c>
      <c r="J15" s="1018">
        <f t="shared" si="12"/>
        <v>0</v>
      </c>
      <c r="K15" s="1018">
        <f t="shared" si="13"/>
        <v>0</v>
      </c>
      <c r="L15" s="1018">
        <f t="shared" si="14"/>
        <v>0</v>
      </c>
      <c r="M15" s="1018">
        <f t="shared" si="14"/>
        <v>0</v>
      </c>
      <c r="N15" s="1018">
        <f t="shared" si="15"/>
        <v>0</v>
      </c>
      <c r="O15" s="1018">
        <f t="shared" si="16"/>
        <v>0</v>
      </c>
      <c r="P15" s="1059">
        <f t="shared" si="17"/>
        <v>3</v>
      </c>
      <c r="Q15" s="201" t="str">
        <f t="shared" si="18"/>
        <v/>
      </c>
      <c r="R15" s="200">
        <f t="shared" si="17"/>
        <v>3</v>
      </c>
      <c r="S15" s="201" t="str">
        <f t="shared" si="0"/>
        <v/>
      </c>
      <c r="T15" s="200">
        <f t="shared" si="19"/>
        <v>3</v>
      </c>
      <c r="U15" s="190" t="str">
        <f t="shared" si="20"/>
        <v/>
      </c>
      <c r="V15" s="1062">
        <f ca="1">IF(MIN(In_11)=MAX(In_11),MIN(In_11),MIN(In_11)&amp;"..."&amp;MAX(In_11))</f>
        <v>0</v>
      </c>
      <c r="W15" s="202" t="str">
        <f t="shared" si="21"/>
        <v/>
      </c>
      <c r="X15" s="465">
        <f>N(IF(LEN($B15),ISNA(MATCH(Бланк!$B23,INDEX(Выключатель_отходящий,0,1),)),FALSE))</f>
        <v>0</v>
      </c>
      <c r="Y15" s="202" t="str">
        <f t="shared" si="22"/>
        <v/>
      </c>
      <c r="Z15" s="371">
        <f>N(AND(OR($B15="",$B15="-"),COUNTIF(Бланк!$C23:'Бланк'!$O23,"-")+COUNTIF(Бланк!$C23:'Бланк'!$O23,"")&lt;&gt;COLUMNS(Бланк!$C23:'Бланк'!$O23)))</f>
        <v>0</v>
      </c>
      <c r="AA15" s="338" t="str">
        <f t="shared" si="32"/>
        <v/>
      </c>
      <c r="AB15" s="391">
        <f>N(AND($B15="C60H-DC",Бланк!$K$3&lt;&gt;"IT"))</f>
        <v>0</v>
      </c>
      <c r="AC15" s="389" t="str">
        <f t="shared" si="1"/>
        <v/>
      </c>
      <c r="AD15" s="1064">
        <f>N(IF(LEN($B15),ISNA(MATCH($C15,INDEX(Полюс11,0,1),)),FALSE))</f>
        <v>0</v>
      </c>
      <c r="AE15" s="99" t="str">
        <f>IF(AD15,VLOOKUP(HLOOKUP(1,$G15:$O$25,ROWS($G15:$O$25),FALSE),$BM$4:$BN$12,2,FALSE),"")</f>
        <v/>
      </c>
      <c r="AF15" s="369">
        <f>ISNUMBER($C15)*ISNUMBER($D15)*ISNUMBER(Габариты!EN16)</f>
        <v>0</v>
      </c>
      <c r="AG15" s="367" t="str">
        <f t="shared" si="23"/>
        <v/>
      </c>
      <c r="AH15" s="945">
        <f>N(IF(LEN($C15),ISNA(MATCH($D15,INDEX(In_11,0,1),)),FALSE))</f>
        <v>0</v>
      </c>
      <c r="AI15" s="189" t="str">
        <f t="shared" si="2"/>
        <v/>
      </c>
      <c r="AJ15" s="370">
        <f>N(IF(LEN($D15)*LEN(Бланк!$B23),ISNA(MATCH($E15,INDEX(Кривая11,0,1),)),FALSE))</f>
        <v>0</v>
      </c>
      <c r="AK15" s="99" t="str">
        <f t="shared" si="3"/>
        <v/>
      </c>
      <c r="AL15" s="945">
        <f>N(IF(LEN($E15)*((F15&lt;&gt;"")+K15+O15),ISNA(MATCH($F15,Id_11,0)),FALSE))</f>
        <v>0</v>
      </c>
      <c r="AM15" s="944" t="str">
        <f t="shared" si="24"/>
        <v/>
      </c>
      <c r="AN15" s="945">
        <f>N(IF(AND(LEN($D15),Бланк!$F23&lt;&gt;""),ISNA(MATCH(Бланк!$F23,INDEX(Ir_11,0,1),)),FALSE))</f>
        <v>0</v>
      </c>
      <c r="AO15" s="201" t="str">
        <f t="shared" si="24"/>
        <v/>
      </c>
      <c r="AP15" s="945">
        <f>N(IF(AND(LEN($D15),Бланк!$G23&lt;&gt;""),ISNA(MATCH(Бланк!$G23,INDEX(Im_11,0,1),)),FALSE))</f>
        <v>0</v>
      </c>
      <c r="AQ15" s="201" t="str">
        <f t="shared" si="4"/>
        <v/>
      </c>
      <c r="AR15" s="370">
        <f>$N15*(Бланк!J23="+")</f>
        <v>0</v>
      </c>
      <c r="AS15" s="201" t="str">
        <f t="shared" si="33"/>
        <v/>
      </c>
      <c r="AT15" s="370">
        <f>$N15*(Бланк!K23="+")</f>
        <v>0</v>
      </c>
      <c r="AU15" s="201" t="str">
        <f t="shared" si="25"/>
        <v/>
      </c>
      <c r="AV15" s="391">
        <f t="shared" si="5"/>
        <v>0</v>
      </c>
      <c r="AW15" s="389" t="str">
        <f t="shared" si="26"/>
        <v/>
      </c>
      <c r="AX15" s="390">
        <f>IF(AND(B15&lt;&gt;"",Бланк!$O23=""),1,0)</f>
        <v>0</v>
      </c>
      <c r="AY15" s="388" t="str">
        <f t="shared" si="34"/>
        <v/>
      </c>
      <c r="AZ15" s="409"/>
      <c r="BA15" s="409"/>
      <c r="BB15" s="428"/>
      <c r="BC15" s="31"/>
      <c r="BD15" s="31"/>
      <c r="BE15" s="31"/>
      <c r="BF15" s="369">
        <f>IF(AND($B15&lt;&gt;"",Бланк!$N23=""),1,0)</f>
        <v>0</v>
      </c>
      <c r="BG15" s="367" t="str">
        <f t="shared" si="27"/>
        <v/>
      </c>
      <c r="BH15" s="1068">
        <f>N(IF(LEN(Бланк!$M23),ISNA(MATCH(Бланк!$M23,INDEX(Размер_кабеля_11,0,1),)),FALSE))</f>
        <v>0</v>
      </c>
      <c r="BI15" s="367" t="str">
        <f t="shared" si="28"/>
        <v/>
      </c>
      <c r="BJ15" s="389" t="str">
        <f>_xlfn.IFNA(HLOOKUP(1,$X15:$BI$25,ROWS($X15:$BI$25),0),"")</f>
        <v/>
      </c>
      <c r="BK15" s="339" t="str">
        <f t="shared" si="6"/>
        <v/>
      </c>
      <c r="BL15" s="33"/>
      <c r="BP15" s="98"/>
      <c r="BQ15" s="332" t="s">
        <v>330</v>
      </c>
      <c r="BR15" s="335" t="str">
        <f>$BP$5&amp;" (Укажите кривую B, C или D)"</f>
        <v xml:space="preserve"> !Несоответствие выключателя и кривой отключения (Укажите кривую B, C или D)</v>
      </c>
      <c r="BS15" s="336">
        <v>125</v>
      </c>
      <c r="BT15" s="337" t="str">
        <f>"TM"&amp;BS15&amp;"D(G)"</f>
        <v>TM125D(G)</v>
      </c>
      <c r="BV15" s="296" t="b">
        <f>(Бланк!L23="-")</f>
        <v>0</v>
      </c>
      <c r="BW15" s="296" t="b">
        <f>(Бланк!M23="-")</f>
        <v>0</v>
      </c>
      <c r="BX15" s="296" t="b">
        <f>(Бланк!N23="-")</f>
        <v>0</v>
      </c>
      <c r="BY15" s="296" t="b">
        <f>(Бланк!L23="")</f>
        <v>1</v>
      </c>
      <c r="BZ15" s="296" t="b">
        <f>(Бланк!M23="")</f>
        <v>1</v>
      </c>
      <c r="CA15" s="296" t="b">
        <f>(Бланк!N23="")</f>
        <v>1</v>
      </c>
      <c r="CB15" s="296" t="b">
        <f t="shared" si="29"/>
        <v>0</v>
      </c>
      <c r="CC15" s="296" t="b">
        <f t="shared" si="30"/>
        <v>0</v>
      </c>
      <c r="CD15" s="363" t="b">
        <f t="shared" si="31"/>
        <v>0</v>
      </c>
      <c r="CE15" s="396" t="b">
        <f t="shared" si="7"/>
        <v>0</v>
      </c>
      <c r="CF15" s="397" t="b">
        <f t="shared" si="8"/>
        <v>0</v>
      </c>
    </row>
    <row r="16" spans="1:122" x14ac:dyDescent="0.2">
      <c r="A16" s="96" t="s">
        <v>163</v>
      </c>
      <c r="B16" s="54" t="str">
        <f>IF(ISBLANK(Бланк!B24),"",Бланк!B24)</f>
        <v/>
      </c>
      <c r="C16" s="4" t="str">
        <f>IF(ISBLANK(Бланк!C24),"",Бланк!C24)</f>
        <v/>
      </c>
      <c r="D16" s="4" t="str">
        <f>IF(ISBLANK(Бланк!D24),"",Бланк!D24)</f>
        <v/>
      </c>
      <c r="E16" s="4" t="str">
        <f>IF(ISBLANK(Бланк!E24),"",Бланк!E24)</f>
        <v/>
      </c>
      <c r="F16" s="270" t="str">
        <f>IF(ISBLANK(Бланк!H24),"",Бланк!H24)</f>
        <v/>
      </c>
      <c r="G16" s="269">
        <f t="shared" si="9"/>
        <v>0</v>
      </c>
      <c r="H16" s="1018">
        <f t="shared" si="10"/>
        <v>0</v>
      </c>
      <c r="I16" s="1018">
        <f t="shared" si="11"/>
        <v>0</v>
      </c>
      <c r="J16" s="1018">
        <f t="shared" si="12"/>
        <v>0</v>
      </c>
      <c r="K16" s="1018">
        <f t="shared" si="13"/>
        <v>0</v>
      </c>
      <c r="L16" s="1018">
        <f t="shared" si="14"/>
        <v>0</v>
      </c>
      <c r="M16" s="1018">
        <f t="shared" si="14"/>
        <v>0</v>
      </c>
      <c r="N16" s="1018">
        <f t="shared" si="15"/>
        <v>0</v>
      </c>
      <c r="O16" s="1018">
        <f t="shared" si="16"/>
        <v>0</v>
      </c>
      <c r="P16" s="1059">
        <f t="shared" si="17"/>
        <v>3</v>
      </c>
      <c r="Q16" s="201" t="str">
        <f t="shared" si="18"/>
        <v/>
      </c>
      <c r="R16" s="200">
        <f t="shared" si="17"/>
        <v>3</v>
      </c>
      <c r="S16" s="201" t="str">
        <f t="shared" si="0"/>
        <v/>
      </c>
      <c r="T16" s="200">
        <f t="shared" si="19"/>
        <v>3</v>
      </c>
      <c r="U16" s="190" t="str">
        <f t="shared" si="20"/>
        <v/>
      </c>
      <c r="V16" s="1062">
        <f ca="1">IF(MIN(In_12)=MAX(In_12),MIN(In_12),MIN(In_12)&amp;"..."&amp;MAX(In_12))</f>
        <v>0</v>
      </c>
      <c r="W16" s="202" t="str">
        <f t="shared" si="21"/>
        <v/>
      </c>
      <c r="X16" s="465">
        <f>N(IF(LEN($B16),ISNA(MATCH(Бланк!$B24,INDEX(Выключатель_отходящий,0,1),)),FALSE))</f>
        <v>0</v>
      </c>
      <c r="Y16" s="202" t="str">
        <f t="shared" si="22"/>
        <v/>
      </c>
      <c r="Z16" s="371">
        <f>N(AND(OR($B16="",$B16="-"),COUNTIF(Бланк!$C24:'Бланк'!$O24,"-")+COUNTIF(Бланк!$C24:'Бланк'!$O24,"")&lt;&gt;COLUMNS(Бланк!$C24:'Бланк'!$O24)))</f>
        <v>0</v>
      </c>
      <c r="AA16" s="338" t="str">
        <f t="shared" si="32"/>
        <v/>
      </c>
      <c r="AB16" s="391">
        <f>N(AND($B16="C60H-DC",Бланк!$K$3&lt;&gt;"IT"))</f>
        <v>0</v>
      </c>
      <c r="AC16" s="389" t="str">
        <f t="shared" si="1"/>
        <v/>
      </c>
      <c r="AD16" s="1064">
        <f>N(IF(LEN($B16),ISNA(MATCH($C16,INDEX(Полюс12,0,1),)),FALSE))</f>
        <v>0</v>
      </c>
      <c r="AE16" s="99" t="str">
        <f>IF(AD16,VLOOKUP(HLOOKUP(1,$G16:$O$25,ROWS($G16:$O$25),FALSE),$BM$4:$BN$12,2,FALSE),"")</f>
        <v/>
      </c>
      <c r="AF16" s="369">
        <f>ISNUMBER($C16)*ISNUMBER($D16)*ISNUMBER(Габариты!EN17)</f>
        <v>0</v>
      </c>
      <c r="AG16" s="367" t="str">
        <f t="shared" si="23"/>
        <v/>
      </c>
      <c r="AH16" s="945">
        <f>N(IF(LEN($C16),ISNA(MATCH($D16,INDEX(In_12,0,1),)),FALSE))</f>
        <v>0</v>
      </c>
      <c r="AI16" s="189" t="str">
        <f t="shared" si="2"/>
        <v/>
      </c>
      <c r="AJ16" s="370">
        <f>N(IF(LEN($D16)*LEN(Бланк!$B24),ISNA(MATCH($E16,INDEX(Кривая12,0,1),)),FALSE))</f>
        <v>0</v>
      </c>
      <c r="AK16" s="99" t="str">
        <f t="shared" si="3"/>
        <v/>
      </c>
      <c r="AL16" s="945">
        <f>N(IF(LEN($E16)*((F16&lt;&gt;"")+K16+O16),ISNA(MATCH($F16,Id_12,0)),FALSE))</f>
        <v>0</v>
      </c>
      <c r="AM16" s="944" t="str">
        <f t="shared" si="24"/>
        <v/>
      </c>
      <c r="AN16" s="945">
        <f>N(IF(AND(LEN($D16),Бланк!$F24&lt;&gt;""),ISNA(MATCH(Бланк!$F24,INDEX(Ir_12,0,1),)),FALSE))</f>
        <v>0</v>
      </c>
      <c r="AO16" s="201" t="str">
        <f t="shared" si="24"/>
        <v/>
      </c>
      <c r="AP16" s="945">
        <f>N(IF(AND(LEN($D16),Бланк!$G24&lt;&gt;""),ISNA(MATCH(Бланк!$G24,INDEX(Im_12,0,1),)),FALSE))</f>
        <v>0</v>
      </c>
      <c r="AQ16" s="201" t="str">
        <f t="shared" si="4"/>
        <v/>
      </c>
      <c r="AR16" s="370">
        <f>$N16*(Бланк!J24="+")</f>
        <v>0</v>
      </c>
      <c r="AS16" s="201" t="str">
        <f t="shared" si="33"/>
        <v/>
      </c>
      <c r="AT16" s="370">
        <f>$N16*(Бланк!K24="+")</f>
        <v>0</v>
      </c>
      <c r="AU16" s="201" t="str">
        <f t="shared" si="25"/>
        <v/>
      </c>
      <c r="AV16" s="391">
        <f t="shared" si="5"/>
        <v>0</v>
      </c>
      <c r="AW16" s="389" t="str">
        <f t="shared" si="26"/>
        <v/>
      </c>
      <c r="AX16" s="390">
        <f>IF(AND(B16&lt;&gt;"",Бланк!$O24=""),1,0)</f>
        <v>0</v>
      </c>
      <c r="AY16" s="388" t="str">
        <f t="shared" si="34"/>
        <v/>
      </c>
      <c r="AZ16" s="409"/>
      <c r="BA16" s="409"/>
      <c r="BB16" s="428"/>
      <c r="BC16" s="31"/>
      <c r="BD16" s="31"/>
      <c r="BE16" s="31"/>
      <c r="BF16" s="369">
        <f>IF(AND($B16&lt;&gt;"",Бланк!$N24=""),1,0)</f>
        <v>0</v>
      </c>
      <c r="BG16" s="367" t="str">
        <f t="shared" si="27"/>
        <v/>
      </c>
      <c r="BH16" s="1068">
        <f>N(IF(LEN(Бланк!$M24),ISNA(MATCH(Бланк!$M24,INDEX(Размер_кабеля_12,0,1),)),FALSE))</f>
        <v>0</v>
      </c>
      <c r="BI16" s="367" t="str">
        <f t="shared" si="28"/>
        <v/>
      </c>
      <c r="BJ16" s="389" t="str">
        <f>_xlfn.IFNA(HLOOKUP(1,$X16:$BI$25,ROWS($X16:$BI$25),0),"")</f>
        <v/>
      </c>
      <c r="BK16" s="339" t="str">
        <f t="shared" si="6"/>
        <v/>
      </c>
      <c r="BL16" s="33"/>
      <c r="BP16" s="98"/>
      <c r="BQ16" s="332" t="s">
        <v>149</v>
      </c>
      <c r="BR16" s="335" t="str">
        <f>$BP$5&amp;" (В графе 'Тип расцепителя' укажите прочерк)"</f>
        <v xml:space="preserve"> !Несоответствие выключателя и кривой отключения (В графе 'Тип расцепителя' укажите прочерк)</v>
      </c>
      <c r="BS16" s="336">
        <v>160</v>
      </c>
      <c r="BT16" s="337" t="str">
        <f>"TM"&amp;BS16&amp;"D(G)"</f>
        <v>TM160D(G)</v>
      </c>
      <c r="BV16" s="296" t="b">
        <f>(Бланк!L24="-")</f>
        <v>0</v>
      </c>
      <c r="BW16" s="296" t="b">
        <f>(Бланк!M24="-")</f>
        <v>0</v>
      </c>
      <c r="BX16" s="296" t="b">
        <f>(Бланк!N24="-")</f>
        <v>0</v>
      </c>
      <c r="BY16" s="296" t="b">
        <f>(Бланк!L24="")</f>
        <v>1</v>
      </c>
      <c r="BZ16" s="296" t="b">
        <f>(Бланк!M24="")</f>
        <v>1</v>
      </c>
      <c r="CA16" s="296" t="b">
        <f>(Бланк!N24="")</f>
        <v>1</v>
      </c>
      <c r="CB16" s="296" t="b">
        <f t="shared" si="29"/>
        <v>0</v>
      </c>
      <c r="CC16" s="296" t="b">
        <f t="shared" si="30"/>
        <v>0</v>
      </c>
      <c r="CD16" s="363" t="b">
        <f t="shared" si="31"/>
        <v>0</v>
      </c>
      <c r="CE16" s="396" t="b">
        <f t="shared" si="7"/>
        <v>0</v>
      </c>
      <c r="CF16" s="397" t="b">
        <f t="shared" si="8"/>
        <v>0</v>
      </c>
    </row>
    <row r="17" spans="1:84" x14ac:dyDescent="0.2">
      <c r="A17" s="96" t="s">
        <v>164</v>
      </c>
      <c r="B17" s="54" t="str">
        <f>IF(ISBLANK(Бланк!B25),"",Бланк!B25)</f>
        <v/>
      </c>
      <c r="C17" s="4" t="str">
        <f>IF(ISBLANK(Бланк!C25),"",Бланк!C25)</f>
        <v/>
      </c>
      <c r="D17" s="4" t="str">
        <f>IF(ISBLANK(Бланк!D25),"",Бланк!D25)</f>
        <v/>
      </c>
      <c r="E17" s="4" t="str">
        <f>IF(ISBLANK(Бланк!E25),"",Бланк!E25)</f>
        <v/>
      </c>
      <c r="F17" s="270" t="str">
        <f>IF(ISBLANK(Бланк!H25),"",Бланк!H25)</f>
        <v/>
      </c>
      <c r="G17" s="269">
        <f t="shared" si="9"/>
        <v>0</v>
      </c>
      <c r="H17" s="1018">
        <f t="shared" si="10"/>
        <v>0</v>
      </c>
      <c r="I17" s="1018">
        <f t="shared" si="11"/>
        <v>0</v>
      </c>
      <c r="J17" s="1018">
        <f t="shared" si="12"/>
        <v>0</v>
      </c>
      <c r="K17" s="1018">
        <f t="shared" si="13"/>
        <v>0</v>
      </c>
      <c r="L17" s="1018">
        <f t="shared" si="14"/>
        <v>0</v>
      </c>
      <c r="M17" s="1018">
        <f t="shared" si="14"/>
        <v>0</v>
      </c>
      <c r="N17" s="1018">
        <f t="shared" si="15"/>
        <v>0</v>
      </c>
      <c r="O17" s="1018">
        <f t="shared" si="16"/>
        <v>0</v>
      </c>
      <c r="P17" s="1059">
        <f t="shared" si="17"/>
        <v>3</v>
      </c>
      <c r="Q17" s="201" t="str">
        <f t="shared" si="18"/>
        <v/>
      </c>
      <c r="R17" s="200">
        <f t="shared" si="17"/>
        <v>3</v>
      </c>
      <c r="S17" s="201" t="str">
        <f t="shared" si="0"/>
        <v/>
      </c>
      <c r="T17" s="200">
        <f t="shared" si="19"/>
        <v>3</v>
      </c>
      <c r="U17" s="190" t="str">
        <f t="shared" si="20"/>
        <v/>
      </c>
      <c r="V17" s="1062">
        <f ca="1">IF(MIN(In_13)=MAX(In_13),MIN(In_13),MIN(In_13)&amp;"..."&amp;MAX(In_13))</f>
        <v>0</v>
      </c>
      <c r="W17" s="202" t="str">
        <f t="shared" si="21"/>
        <v/>
      </c>
      <c r="X17" s="465">
        <f>N(IF(LEN($B17),ISNA(MATCH(Бланк!$B25,INDEX(Выключатель_отходящий,0,1),)),FALSE))</f>
        <v>0</v>
      </c>
      <c r="Y17" s="202" t="str">
        <f t="shared" si="22"/>
        <v/>
      </c>
      <c r="Z17" s="371">
        <f>N(AND(OR($B17="",$B17="-"),COUNTIF(Бланк!$C25:'Бланк'!$O25,"-")+COUNTIF(Бланк!$C25:'Бланк'!$O25,"")&lt;&gt;COLUMNS(Бланк!$C25:'Бланк'!$O25)))</f>
        <v>0</v>
      </c>
      <c r="AA17" s="338" t="str">
        <f t="shared" si="32"/>
        <v/>
      </c>
      <c r="AB17" s="391">
        <f>N(AND($B17="C60H-DC",Бланк!$K$3&lt;&gt;"IT"))</f>
        <v>0</v>
      </c>
      <c r="AC17" s="389" t="str">
        <f t="shared" si="1"/>
        <v/>
      </c>
      <c r="AD17" s="1064">
        <f>N(IF(LEN($B17),ISNA(MATCH($C17,INDEX(Полюс13,0,1),)),FALSE))</f>
        <v>0</v>
      </c>
      <c r="AE17" s="99" t="str">
        <f>IF(AD17,VLOOKUP(HLOOKUP(1,$G17:$O$25,ROWS($G17:$O$25),FALSE),$BM$4:$BN$12,2,FALSE),"")</f>
        <v/>
      </c>
      <c r="AF17" s="369">
        <f>ISNUMBER($C17)*ISNUMBER($D17)*ISNUMBER(Габариты!EN18)</f>
        <v>0</v>
      </c>
      <c r="AG17" s="367" t="str">
        <f t="shared" si="23"/>
        <v/>
      </c>
      <c r="AH17" s="945">
        <f>N(IF(LEN($C17),ISNA(MATCH($D17,INDEX(In_13,0,1),)),FALSE))</f>
        <v>0</v>
      </c>
      <c r="AI17" s="189" t="str">
        <f t="shared" si="2"/>
        <v/>
      </c>
      <c r="AJ17" s="370">
        <f>N(IF(LEN($D17)*LEN(Бланк!$B25),ISNA(MATCH($E17,INDEX(Кривая13,0,1),)),FALSE))</f>
        <v>0</v>
      </c>
      <c r="AK17" s="99" t="str">
        <f t="shared" si="3"/>
        <v/>
      </c>
      <c r="AL17" s="945">
        <f>N(IF(LEN($E17)*((F17&lt;&gt;"")+K17+O17),ISNA(MATCH($F17,Id_13,0)),FALSE))</f>
        <v>0</v>
      </c>
      <c r="AM17" s="944" t="str">
        <f t="shared" si="24"/>
        <v/>
      </c>
      <c r="AN17" s="945">
        <f>N(IF(AND(LEN($D17),Бланк!$F25&lt;&gt;""),ISNA(MATCH(Бланк!$F25,INDEX(Ir_13,0,1),)),FALSE))</f>
        <v>0</v>
      </c>
      <c r="AO17" s="201" t="str">
        <f t="shared" si="24"/>
        <v/>
      </c>
      <c r="AP17" s="945">
        <f>N(IF(AND(LEN($D17),Бланк!$G25&lt;&gt;""),ISNA(MATCH(Бланк!$G25,INDEX(Im_13,0,1),)),FALSE))</f>
        <v>0</v>
      </c>
      <c r="AQ17" s="201" t="str">
        <f t="shared" si="4"/>
        <v/>
      </c>
      <c r="AR17" s="370">
        <f>$N17*(Бланк!J25="+")</f>
        <v>0</v>
      </c>
      <c r="AS17" s="201" t="str">
        <f t="shared" si="33"/>
        <v/>
      </c>
      <c r="AT17" s="370">
        <f>$N17*(Бланк!K25="+")</f>
        <v>0</v>
      </c>
      <c r="AU17" s="201" t="str">
        <f t="shared" si="25"/>
        <v/>
      </c>
      <c r="AV17" s="1028">
        <f t="shared" si="5"/>
        <v>0</v>
      </c>
      <c r="AW17" s="201" t="str">
        <f t="shared" si="26"/>
        <v/>
      </c>
      <c r="AX17" s="771">
        <f>IF(AND(B17&lt;&gt;"",Бланк!$O25=""),1,0)</f>
        <v>0</v>
      </c>
      <c r="AY17" s="189" t="str">
        <f t="shared" si="34"/>
        <v/>
      </c>
      <c r="AZ17" s="409"/>
      <c r="BA17" s="409"/>
      <c r="BB17" s="428"/>
      <c r="BC17" s="31"/>
      <c r="BD17" s="31"/>
      <c r="BE17" s="31"/>
      <c r="BF17" s="369">
        <f>IF(AND($B17&lt;&gt;"",Бланк!$N25=""),1,0)</f>
        <v>0</v>
      </c>
      <c r="BG17" s="367" t="str">
        <f t="shared" si="27"/>
        <v/>
      </c>
      <c r="BH17" s="1068">
        <f>N(IF(LEN(Бланк!$M25),ISNA(MATCH(Бланк!$M25,INDEX(Размер_кабеля_13,0,1),)),FALSE))</f>
        <v>0</v>
      </c>
      <c r="BI17" s="367" t="str">
        <f t="shared" si="28"/>
        <v/>
      </c>
      <c r="BJ17" s="389" t="str">
        <f>_xlfn.IFNA(HLOOKUP(1,$X17:$BI$25,ROWS($X17:$BI$25),0),"")</f>
        <v/>
      </c>
      <c r="BK17" s="339" t="str">
        <f t="shared" si="6"/>
        <v/>
      </c>
      <c r="BL17" s="33"/>
      <c r="BP17" s="98"/>
      <c r="BQ17" s="332" t="s">
        <v>150</v>
      </c>
      <c r="BR17" s="335" t="str">
        <f>$BP$5&amp;" (В графе 'Тип расцепителя' укажите прочерк)"</f>
        <v xml:space="preserve"> !Несоответствие выключателя и кривой отключения (В графе 'Тип расцепителя' укажите прочерк)</v>
      </c>
      <c r="BS17" s="336">
        <v>160</v>
      </c>
      <c r="BT17" s="337" t="str">
        <f>"Micrologic 2.2(5.2A), "&amp;BS17&amp;" A"</f>
        <v>Micrologic 2.2(5.2A), 160 A</v>
      </c>
      <c r="BV17" s="296" t="b">
        <f>(Бланк!L25="-")</f>
        <v>0</v>
      </c>
      <c r="BW17" s="296" t="b">
        <f>(Бланк!M25="-")</f>
        <v>0</v>
      </c>
      <c r="BX17" s="296" t="b">
        <f>(Бланк!N25="-")</f>
        <v>0</v>
      </c>
      <c r="BY17" s="296" t="b">
        <f>(Бланк!L25="")</f>
        <v>1</v>
      </c>
      <c r="BZ17" s="296" t="b">
        <f>(Бланк!M25="")</f>
        <v>1</v>
      </c>
      <c r="CA17" s="296" t="b">
        <f>(Бланк!N25="")</f>
        <v>1</v>
      </c>
      <c r="CB17" s="296" t="b">
        <f t="shared" si="29"/>
        <v>0</v>
      </c>
      <c r="CC17" s="296" t="b">
        <f t="shared" si="30"/>
        <v>0</v>
      </c>
      <c r="CD17" s="363" t="b">
        <f t="shared" si="31"/>
        <v>0</v>
      </c>
      <c r="CE17" s="396" t="b">
        <f t="shared" si="7"/>
        <v>0</v>
      </c>
      <c r="CF17" s="397" t="b">
        <f t="shared" si="8"/>
        <v>0</v>
      </c>
    </row>
    <row r="18" spans="1:84" x14ac:dyDescent="0.2">
      <c r="A18" s="96" t="s">
        <v>165</v>
      </c>
      <c r="B18" s="54" t="str">
        <f>IF(ISBLANK(Бланк!B26),"",Бланк!B26)</f>
        <v/>
      </c>
      <c r="C18" s="4" t="str">
        <f>IF(ISBLANK(Бланк!C26),"",Бланк!C26)</f>
        <v/>
      </c>
      <c r="D18" s="4" t="str">
        <f>IF(ISBLANK(Бланк!D26),"",Бланк!D26)</f>
        <v/>
      </c>
      <c r="E18" s="4" t="str">
        <f>IF(ISBLANK(Бланк!E26),"",Бланк!E26)</f>
        <v/>
      </c>
      <c r="F18" s="270" t="str">
        <f>IF(ISBLANK(Бланк!H26),"",Бланк!H26)</f>
        <v/>
      </c>
      <c r="G18" s="269">
        <f t="shared" si="9"/>
        <v>0</v>
      </c>
      <c r="H18" s="1018">
        <f t="shared" si="10"/>
        <v>0</v>
      </c>
      <c r="I18" s="1018">
        <f t="shared" si="11"/>
        <v>0</v>
      </c>
      <c r="J18" s="1018">
        <f t="shared" si="12"/>
        <v>0</v>
      </c>
      <c r="K18" s="1018">
        <f t="shared" si="13"/>
        <v>0</v>
      </c>
      <c r="L18" s="1018">
        <f t="shared" si="14"/>
        <v>0</v>
      </c>
      <c r="M18" s="1018">
        <f t="shared" si="14"/>
        <v>0</v>
      </c>
      <c r="N18" s="1018">
        <f t="shared" si="15"/>
        <v>0</v>
      </c>
      <c r="O18" s="1018">
        <f t="shared" si="16"/>
        <v>0</v>
      </c>
      <c r="P18" s="1059">
        <f t="shared" si="17"/>
        <v>3</v>
      </c>
      <c r="Q18" s="201" t="str">
        <f t="shared" si="18"/>
        <v/>
      </c>
      <c r="R18" s="1059">
        <f t="shared" si="17"/>
        <v>3</v>
      </c>
      <c r="S18" s="201" t="str">
        <f t="shared" si="0"/>
        <v/>
      </c>
      <c r="T18" s="1059">
        <f t="shared" si="19"/>
        <v>3</v>
      </c>
      <c r="U18" s="201" t="str">
        <f t="shared" si="20"/>
        <v/>
      </c>
      <c r="V18" s="1063">
        <f ca="1">IF(MIN(In_14)=MAX(In_14),MIN(In_14),MIN(In_14)&amp;"..."&amp;MAX(In_14))</f>
        <v>0</v>
      </c>
      <c r="W18" s="202" t="str">
        <f t="shared" si="21"/>
        <v/>
      </c>
      <c r="X18" s="465">
        <f>N(IF(LEN($B18),ISNA(MATCH(Бланк!$B26,INDEX(Выключатель_отходящий,0,1),)),FALSE))</f>
        <v>0</v>
      </c>
      <c r="Y18" s="202" t="str">
        <f t="shared" si="22"/>
        <v/>
      </c>
      <c r="Z18" s="371">
        <f>N(AND(OR($B18="",$B18="-"),COUNTIF(Бланк!$C26:'Бланк'!$O26,"-")+COUNTIF(Бланк!$C26:'Бланк'!$O26,"")&lt;&gt;COLUMNS(Бланк!$C26:'Бланк'!$O26)))</f>
        <v>0</v>
      </c>
      <c r="AA18" s="338" t="str">
        <f t="shared" si="32"/>
        <v/>
      </c>
      <c r="AB18" s="391">
        <f>N(AND($B18="C60H-DC",Бланк!$K$3&lt;&gt;"IT"))</f>
        <v>0</v>
      </c>
      <c r="AC18" s="389" t="str">
        <f t="shared" si="1"/>
        <v/>
      </c>
      <c r="AD18" s="1064">
        <f>N(IF(LEN($B18),ISNA(MATCH($C18,INDEX(Полюс14,0,1),)),FALSE))</f>
        <v>0</v>
      </c>
      <c r="AE18" s="99" t="str">
        <f>IF(AD18,VLOOKUP(HLOOKUP(1,$G18:$O$25,ROWS($G18:$O$25),FALSE),$BM$4:$BN$12,2,FALSE),"")</f>
        <v/>
      </c>
      <c r="AF18" s="369">
        <f>ISNUMBER($C18)*ISNUMBER($D18)*ISNUMBER(Габариты!EN19)</f>
        <v>0</v>
      </c>
      <c r="AG18" s="367" t="str">
        <f t="shared" si="23"/>
        <v/>
      </c>
      <c r="AH18" s="945">
        <f>N(IF(LEN($C18),ISNA(MATCH($D18,INDEX(In_14,0,1),)),FALSE))</f>
        <v>0</v>
      </c>
      <c r="AI18" s="189" t="str">
        <f t="shared" si="2"/>
        <v/>
      </c>
      <c r="AJ18" s="370">
        <f>N(IF(LEN($D18)*LEN(Бланк!$B26),ISNA(MATCH($E18,INDEX(Кривая14,0,1),)),FALSE))</f>
        <v>0</v>
      </c>
      <c r="AK18" s="99" t="str">
        <f t="shared" si="3"/>
        <v/>
      </c>
      <c r="AL18" s="945">
        <f>N(IF(LEN($E18)*((F18&lt;&gt;"")+K18+O18),ISNA(MATCH($F18,Id_14,0)),FALSE))</f>
        <v>0</v>
      </c>
      <c r="AM18" s="944" t="str">
        <f t="shared" si="24"/>
        <v/>
      </c>
      <c r="AN18" s="945">
        <f>N(IF(AND(LEN($D18),Бланк!$F26&lt;&gt;""),ISNA(MATCH(Бланк!$F26,INDEX(Ir_14,0,1),)),FALSE))</f>
        <v>0</v>
      </c>
      <c r="AO18" s="201" t="str">
        <f t="shared" si="24"/>
        <v/>
      </c>
      <c r="AP18" s="945">
        <f>N(IF(AND(LEN($D18),Бланк!$G26&lt;&gt;""),ISNA(MATCH(Бланк!$G26,INDEX(Im_14,0,1),)),FALSE))</f>
        <v>0</v>
      </c>
      <c r="AQ18" s="201" t="str">
        <f t="shared" si="4"/>
        <v/>
      </c>
      <c r="AR18" s="370">
        <f>$N18*(Бланк!J26="+")</f>
        <v>0</v>
      </c>
      <c r="AS18" s="201" t="str">
        <f t="shared" si="33"/>
        <v/>
      </c>
      <c r="AT18" s="370">
        <f>$N18*(Бланк!K26="+")</f>
        <v>0</v>
      </c>
      <c r="AU18" s="201" t="str">
        <f t="shared" si="25"/>
        <v/>
      </c>
      <c r="AV18" s="1028">
        <f t="shared" si="5"/>
        <v>0</v>
      </c>
      <c r="AW18" s="201" t="str">
        <f t="shared" si="26"/>
        <v/>
      </c>
      <c r="AX18" s="771">
        <f>IF(AND(B18&lt;&gt;"",Бланк!$O26=""),1,0)</f>
        <v>0</v>
      </c>
      <c r="AY18" s="189" t="str">
        <f t="shared" si="34"/>
        <v/>
      </c>
      <c r="AZ18" s="409"/>
      <c r="BA18" s="409"/>
      <c r="BB18" s="428"/>
      <c r="BC18" s="31"/>
      <c r="BD18" s="31"/>
      <c r="BE18" s="31"/>
      <c r="BF18" s="369">
        <f>IF(AND($B18&lt;&gt;"",Бланк!$N26=""),1,0)</f>
        <v>0</v>
      </c>
      <c r="BG18" s="367" t="str">
        <f t="shared" si="27"/>
        <v/>
      </c>
      <c r="BH18" s="1068">
        <f>N(IF(LEN(Бланк!$M26),ISNA(MATCH(Бланк!$M26,INDEX(Размер_кабеля_14,0,1),)),FALSE))</f>
        <v>0</v>
      </c>
      <c r="BI18" s="367" t="str">
        <f t="shared" si="28"/>
        <v/>
      </c>
      <c r="BJ18" s="389" t="str">
        <f>_xlfn.IFNA(HLOOKUP(1,$X18:$BI$25,ROWS($X18:$BI$25),0),"")</f>
        <v/>
      </c>
      <c r="BK18" s="339" t="str">
        <f t="shared" si="6"/>
        <v/>
      </c>
      <c r="BL18" s="33"/>
      <c r="BP18" s="98"/>
      <c r="BQ18" s="332" t="s">
        <v>143</v>
      </c>
      <c r="BR18" s="335" t="str">
        <f>$BP$6&amp;" (В графе 'Тип расцепителя' укажите прочерк)"</f>
        <v xml:space="preserve"> !Несоответствие выключателя и расцепителя (В графе 'Тип расцепителя' укажите прочерк)</v>
      </c>
      <c r="BS18" s="336">
        <v>200</v>
      </c>
      <c r="BT18" s="337" t="str">
        <f>"TM"&amp;BS18&amp;"D(G)"</f>
        <v>TM200D(G)</v>
      </c>
      <c r="BV18" s="296" t="b">
        <f>(Бланк!L26="-")</f>
        <v>0</v>
      </c>
      <c r="BW18" s="296" t="b">
        <f>(Бланк!M26="-")</f>
        <v>0</v>
      </c>
      <c r="BX18" s="296" t="b">
        <f>(Бланк!N26="-")</f>
        <v>0</v>
      </c>
      <c r="BY18" s="296" t="b">
        <f>(Бланк!L26="")</f>
        <v>1</v>
      </c>
      <c r="BZ18" s="296" t="b">
        <f>(Бланк!M26="")</f>
        <v>1</v>
      </c>
      <c r="CA18" s="296" t="b">
        <f>(Бланк!N26="")</f>
        <v>1</v>
      </c>
      <c r="CB18" s="296" t="b">
        <f t="shared" si="29"/>
        <v>0</v>
      </c>
      <c r="CC18" s="296" t="b">
        <f t="shared" si="30"/>
        <v>0</v>
      </c>
      <c r="CD18" s="363" t="b">
        <f t="shared" si="31"/>
        <v>0</v>
      </c>
      <c r="CE18" s="396" t="b">
        <f t="shared" si="7"/>
        <v>0</v>
      </c>
      <c r="CF18" s="397" t="b">
        <f t="shared" si="8"/>
        <v>0</v>
      </c>
    </row>
    <row r="19" spans="1:84" ht="13.5" thickBot="1" x14ac:dyDescent="0.25">
      <c r="A19" s="1044" t="s">
        <v>166</v>
      </c>
      <c r="B19" s="1045" t="str">
        <f>IF(ISBLANK(Бланк!B27),"",Бланк!B27)</f>
        <v/>
      </c>
      <c r="C19" s="1046" t="str">
        <f>IF(ISBLANK(Бланк!C27),"",Бланк!C27)</f>
        <v/>
      </c>
      <c r="D19" s="1046" t="str">
        <f>IF(ISBLANK(Бланк!D27),"",Бланк!D27)</f>
        <v/>
      </c>
      <c r="E19" s="1046" t="str">
        <f>IF(ISBLANK(Бланк!E27),"",Бланк!E27)</f>
        <v/>
      </c>
      <c r="F19" s="1047" t="str">
        <f>IF(ISBLANK(Бланк!H27),"",Бланк!H27)</f>
        <v/>
      </c>
      <c r="G19" s="798">
        <f t="shared" si="9"/>
        <v>0</v>
      </c>
      <c r="H19" s="1018">
        <f t="shared" si="10"/>
        <v>0</v>
      </c>
      <c r="I19" s="1018">
        <f t="shared" si="11"/>
        <v>0</v>
      </c>
      <c r="J19" s="1018">
        <f t="shared" si="12"/>
        <v>0</v>
      </c>
      <c r="K19" s="1018">
        <f t="shared" si="13"/>
        <v>0</v>
      </c>
      <c r="L19" s="1018">
        <f t="shared" si="14"/>
        <v>0</v>
      </c>
      <c r="M19" s="1018">
        <f t="shared" si="14"/>
        <v>0</v>
      </c>
      <c r="N19" s="1018">
        <f t="shared" si="15"/>
        <v>0</v>
      </c>
      <c r="O19" s="1018">
        <f t="shared" si="16"/>
        <v>0</v>
      </c>
      <c r="P19" s="1059">
        <f t="shared" si="17"/>
        <v>3</v>
      </c>
      <c r="Q19" s="201" t="str">
        <f t="shared" si="18"/>
        <v/>
      </c>
      <c r="R19" s="1059">
        <f t="shared" si="17"/>
        <v>3</v>
      </c>
      <c r="S19" s="201" t="str">
        <f t="shared" si="0"/>
        <v/>
      </c>
      <c r="T19" s="1059">
        <f t="shared" si="19"/>
        <v>3</v>
      </c>
      <c r="U19" s="201" t="str">
        <f t="shared" si="20"/>
        <v/>
      </c>
      <c r="V19" s="1063">
        <f ca="1">IF(MIN(In_15)=MAX(In_15),MIN(In_15),MIN(In_15)&amp;"..."&amp;MAX(In_15))</f>
        <v>0</v>
      </c>
      <c r="W19" s="1049" t="str">
        <f t="shared" si="21"/>
        <v/>
      </c>
      <c r="X19" s="1050">
        <f>N(IF(LEN($B19),ISNA(MATCH(Бланк!$B27,INDEX(Выключатель_отходящий,0,1),)),FALSE))</f>
        <v>0</v>
      </c>
      <c r="Y19" s="1049" t="str">
        <f t="shared" si="22"/>
        <v/>
      </c>
      <c r="Z19" s="1027">
        <f>N(AND(OR($B19="",$B19="-"),COUNTIF(Бланк!$C27:'Бланк'!$O27,"-")+COUNTIF(Бланк!$C27:'Бланк'!$O27,"")&lt;&gt;COLUMNS(Бланк!$C27:'Бланк'!$O27)))</f>
        <v>0</v>
      </c>
      <c r="AA19" s="1051" t="str">
        <f t="shared" si="32"/>
        <v/>
      </c>
      <c r="AB19" s="1052">
        <f>N(AND($B19="C60H-DC",Бланк!$K$3&lt;&gt;"IT"))</f>
        <v>0</v>
      </c>
      <c r="AC19" s="1053" t="str">
        <f t="shared" si="1"/>
        <v/>
      </c>
      <c r="AD19" s="1065">
        <f>N(IF(LEN($B19),ISNA(MATCH($C19,INDEX(Полюс15,0,1),)),FALSE))</f>
        <v>0</v>
      </c>
      <c r="AE19" s="1054" t="str">
        <f>IF(AD19,VLOOKUP(HLOOKUP(1,$G19:$O$25,ROWS($G19:$O$25),FALSE),$BM$4:$BN$12,2,FALSE),"")</f>
        <v/>
      </c>
      <c r="AF19" s="1029">
        <f>ISNUMBER($C19)*ISNUMBER($D19)*ISNUMBER(Габариты!EN20)</f>
        <v>0</v>
      </c>
      <c r="AG19" s="1055" t="str">
        <f t="shared" si="23"/>
        <v/>
      </c>
      <c r="AH19" s="1057">
        <f>N(IF(LEN($C19),ISNA(MATCH($D19,INDEX(In_15,0,1),)),FALSE))</f>
        <v>0</v>
      </c>
      <c r="AI19" s="1054" t="str">
        <f t="shared" si="2"/>
        <v/>
      </c>
      <c r="AJ19" s="1056">
        <f>N(IF(LEN($D19)*LEN(Бланк!$B27),ISNA(MATCH($E19,INDEX(Кривая15,0,1),)),FALSE))</f>
        <v>0</v>
      </c>
      <c r="AK19" s="1054" t="str">
        <f t="shared" si="3"/>
        <v/>
      </c>
      <c r="AL19" s="1057">
        <f>N(IF(LEN($E19)*((F19&lt;&gt;"")+K19+O19),ISNA(MATCH($F19,Id_15,0)),FALSE))</f>
        <v>0</v>
      </c>
      <c r="AM19" s="1049" t="str">
        <f t="shared" si="24"/>
        <v/>
      </c>
      <c r="AN19" s="1057">
        <f>N(IF(AND(LEN($D19),Бланк!$F27&lt;&gt;""),ISNA(MATCH(Бланк!$F27,INDEX(Ir_15,0,1),)),FALSE))</f>
        <v>0</v>
      </c>
      <c r="AO19" s="1048" t="str">
        <f t="shared" si="24"/>
        <v/>
      </c>
      <c r="AP19" s="1057">
        <f>N(IF(AND(LEN($D19),Бланк!$G27&lt;&gt;""),ISNA(MATCH(Бланк!$G27,INDEX(Im_15,0,1),)),FALSE))</f>
        <v>0</v>
      </c>
      <c r="AQ19" s="1048" t="str">
        <f t="shared" si="4"/>
        <v/>
      </c>
      <c r="AR19" s="1056">
        <f>$N19*(Бланк!J27="+")</f>
        <v>0</v>
      </c>
      <c r="AS19" s="1048" t="str">
        <f t="shared" si="33"/>
        <v/>
      </c>
      <c r="AT19" s="1056">
        <f>$N19*(Бланк!K27="+")</f>
        <v>0</v>
      </c>
      <c r="AU19" s="201" t="str">
        <f t="shared" si="25"/>
        <v/>
      </c>
      <c r="AV19" s="1028">
        <f t="shared" si="5"/>
        <v>0</v>
      </c>
      <c r="AW19" s="201" t="str">
        <f t="shared" si="26"/>
        <v/>
      </c>
      <c r="AX19" s="771">
        <f>IF(AND(B19&lt;&gt;"",Бланк!$O27=""),1,0)</f>
        <v>0</v>
      </c>
      <c r="AY19" s="189" t="str">
        <f>IF($AX19,$AY$3,"")</f>
        <v/>
      </c>
      <c r="AZ19" s="508"/>
      <c r="BA19" s="508"/>
      <c r="BB19" s="429"/>
      <c r="BC19" s="410"/>
      <c r="BD19" s="410"/>
      <c r="BE19" s="410"/>
      <c r="BF19" s="1024">
        <f>IF(AND($B19&lt;&gt;"",Бланк!$N27=""),1,0)</f>
        <v>0</v>
      </c>
      <c r="BG19" s="296" t="str">
        <f t="shared" si="27"/>
        <v/>
      </c>
      <c r="BH19" s="1066">
        <f>N(IF(LEN(Бланк!$M27),ISNA(MATCH(Бланк!$M27,INDEX(Размер_кабеля_15,0,1),)),FALSE))</f>
        <v>0</v>
      </c>
      <c r="BI19" s="296" t="str">
        <f t="shared" si="28"/>
        <v/>
      </c>
      <c r="BJ19" s="201" t="str">
        <f>_xlfn.IFNA(HLOOKUP(1,$X19:$BI$25,ROWS($X19:$BI$25),0),"")</f>
        <v/>
      </c>
      <c r="BK19" s="352" t="str">
        <f t="shared" si="6"/>
        <v/>
      </c>
      <c r="BL19" s="33"/>
      <c r="BP19" s="98"/>
      <c r="BQ19" s="332" t="s">
        <v>144</v>
      </c>
      <c r="BR19" s="335" t="str">
        <f>$BP$6&amp;" (В графе 'Тип расцепителя' укажите прочерк)"</f>
        <v xml:space="preserve"> !Несоответствие выключателя и расцепителя (В графе 'Тип расцепителя' укажите прочерк)</v>
      </c>
      <c r="BS19" s="336">
        <v>250</v>
      </c>
      <c r="BT19" s="337" t="str">
        <f>"TM"&amp;BS19&amp;"D(G)"</f>
        <v>TM250D(G)</v>
      </c>
      <c r="BV19" s="296" t="b">
        <f>(Бланк!L27="-")</f>
        <v>0</v>
      </c>
      <c r="BW19" s="296" t="b">
        <f>(Бланк!M27="-")</f>
        <v>0</v>
      </c>
      <c r="BX19" s="296" t="b">
        <f>(Бланк!N27="-")</f>
        <v>0</v>
      </c>
      <c r="BY19" s="296" t="b">
        <f>(Бланк!L27="")</f>
        <v>1</v>
      </c>
      <c r="BZ19" s="296" t="b">
        <f>(Бланк!M27="")</f>
        <v>1</v>
      </c>
      <c r="CA19" s="296" t="b">
        <f>(Бланк!N27="")</f>
        <v>1</v>
      </c>
      <c r="CB19" s="296" t="b">
        <f t="shared" si="29"/>
        <v>0</v>
      </c>
      <c r="CC19" s="296" t="b">
        <f t="shared" si="30"/>
        <v>0</v>
      </c>
      <c r="CD19" s="363" t="b">
        <f t="shared" si="31"/>
        <v>0</v>
      </c>
      <c r="CE19" s="396" t="b">
        <f t="shared" si="7"/>
        <v>0</v>
      </c>
      <c r="CF19" s="397" t="b">
        <f t="shared" si="8"/>
        <v>0</v>
      </c>
    </row>
    <row r="20" spans="1:84" s="1031" customFormat="1" x14ac:dyDescent="0.2">
      <c r="A20" s="21" t="s">
        <v>1305</v>
      </c>
      <c r="B20" s="21" t="str">
        <f>IF(ISBLANK(Бланк!B28),"",Бланк!B28)</f>
        <v/>
      </c>
      <c r="C20" s="1030" t="str">
        <f>IF(ISBLANK(Бланк!C28),"",Бланк!C28)</f>
        <v/>
      </c>
      <c r="D20" s="1030" t="str">
        <f>IF(ISBLANK(Бланк!D28),"",Бланк!D28)</f>
        <v/>
      </c>
      <c r="E20" s="1030" t="str">
        <f>IF(ISBLANK(Бланк!E28),"",Бланк!E28)</f>
        <v/>
      </c>
      <c r="F20" s="1058" t="str">
        <f>IF(ISBLANK(Бланк!H28),"",Бланк!H28)</f>
        <v/>
      </c>
      <c r="G20" s="1018">
        <f t="shared" si="9"/>
        <v>0</v>
      </c>
      <c r="H20" s="1018">
        <f t="shared" si="10"/>
        <v>0</v>
      </c>
      <c r="I20" s="1018">
        <f t="shared" si="11"/>
        <v>0</v>
      </c>
      <c r="J20" s="1018">
        <f t="shared" si="12"/>
        <v>0</v>
      </c>
      <c r="K20" s="1018">
        <f t="shared" si="13"/>
        <v>0</v>
      </c>
      <c r="L20" s="1018">
        <f t="shared" si="14"/>
        <v>0</v>
      </c>
      <c r="M20" s="1018">
        <f t="shared" si="14"/>
        <v>0</v>
      </c>
      <c r="N20" s="1018">
        <f t="shared" si="15"/>
        <v>0</v>
      </c>
      <c r="O20" s="1018">
        <f t="shared" si="16"/>
        <v>0</v>
      </c>
      <c r="P20" s="1059">
        <f t="shared" si="17"/>
        <v>3</v>
      </c>
      <c r="Q20" s="201" t="str">
        <f t="shared" ref="Q20:Q24" si="35">MID($B20,1,P20)</f>
        <v/>
      </c>
      <c r="R20" s="1059">
        <f t="shared" si="17"/>
        <v>3</v>
      </c>
      <c r="S20" s="201" t="str">
        <f t="shared" ref="S20:S24" si="36">MID($B20,1,R20)</f>
        <v/>
      </c>
      <c r="T20" s="1059">
        <f t="shared" ref="T20:T24" si="37">IF(G20,6,IF(H20,6,IF(I20,4,IF(J20,7,IF(K20,IF(ISERR(SEARCH("iDPN",B20)),5,6),IF(L20,4,IF(M20,5,3)))))))</f>
        <v>3</v>
      </c>
      <c r="U20" s="201" t="str">
        <f t="shared" ref="U20:U24" si="38">MID($B20,1,T20)</f>
        <v/>
      </c>
      <c r="V20" s="1063">
        <f ca="1">IF(MIN(In_16)=MAX(In_16),MIN(In_16),MIN(In_16)&amp;"..."&amp;MAX(In_16))</f>
        <v>0</v>
      </c>
      <c r="W20" s="1049" t="str">
        <f t="shared" si="21"/>
        <v/>
      </c>
      <c r="X20" s="1050">
        <f>N(IF(LEN($B20),ISNA(MATCH(Бланк!$B28,INDEX(Выключатель_отходящий,0,1),)),FALSE))</f>
        <v>0</v>
      </c>
      <c r="Y20" s="1049" t="str">
        <f t="shared" si="22"/>
        <v/>
      </c>
      <c r="Z20" s="1027">
        <f>N(AND(OR($B20="",$B20="-"),COUNTIF(Бланк!$C28:'Бланк'!$O28,"-")+COUNTIF(Бланк!$C28:'Бланк'!$O28,"")&lt;&gt;COLUMNS(Бланк!$C28:'Бланк'!$O28)))</f>
        <v>0</v>
      </c>
      <c r="AA20" s="1051" t="str">
        <f t="shared" si="32"/>
        <v/>
      </c>
      <c r="AB20" s="1052">
        <f>N(AND($B20="C60H-DC",Бланк!$K$3&lt;&gt;"IT"))</f>
        <v>0</v>
      </c>
      <c r="AC20" s="1053" t="str">
        <f t="shared" si="1"/>
        <v/>
      </c>
      <c r="AD20" s="1065">
        <f>N(IF(LEN($B20),ISNA(MATCH($C20,INDEX(Полюс16,0,1),)),FALSE))</f>
        <v>0</v>
      </c>
      <c r="AE20" s="1054" t="str">
        <f>IF(AD20,VLOOKUP(HLOOKUP(1,$G20:$O$25,ROWS($G20:$O$25),FALSE),$BM$4:$BN$12,2,FALSE),"")</f>
        <v/>
      </c>
      <c r="AF20" s="1029">
        <f>ISNUMBER($C20)*ISNUMBER($D20)*ISNUMBER(Габариты!EN21)</f>
        <v>0</v>
      </c>
      <c r="AG20" s="1055" t="str">
        <f t="shared" si="23"/>
        <v/>
      </c>
      <c r="AH20" s="1057">
        <f>N(IF(LEN($C20),ISNA(MATCH($D20,INDEX(In_16,0,1),)),FALSE))</f>
        <v>0</v>
      </c>
      <c r="AI20" s="1054" t="str">
        <f t="shared" si="2"/>
        <v/>
      </c>
      <c r="AJ20" s="1056">
        <f>N(IF(LEN($D20)*LEN(Бланк!$B28),ISNA(MATCH($E20,INDEX(Кривая16,0,1),)),FALSE))</f>
        <v>0</v>
      </c>
      <c r="AK20" s="1054" t="str">
        <f t="shared" ref="AK20:AK24" si="39">IF(AJ20,IF(G20,W20,VLOOKUP($S20,$BQ$5:$BR$24,2,FALSE)),"")</f>
        <v/>
      </c>
      <c r="AL20" s="1057">
        <f>N(IF(LEN($E20)*((F20&lt;&gt;"")+K20+O20),ISNA(MATCH($F20,Id_16,0)),FALSE))</f>
        <v>0</v>
      </c>
      <c r="AM20" s="1049" t="str">
        <f t="shared" ref="AM20:AM24" si="40">IF(AL20,AM$3,"")</f>
        <v/>
      </c>
      <c r="AN20" s="1057">
        <f>N(IF(AND(LEN($D20),Бланк!$F28&lt;&gt;""),ISNA(MATCH(Бланк!$F28,INDEX(Ir_16,0,1),)),FALSE))</f>
        <v>0</v>
      </c>
      <c r="AO20" s="1048" t="str">
        <f t="shared" ref="AO20:AO24" si="41">IF(AN20,AO$3,"")</f>
        <v/>
      </c>
      <c r="AP20" s="1057">
        <f>N(IF(AND(LEN($D20),Бланк!$G28&lt;&gt;""),ISNA(MATCH(Бланк!$G28,INDEX(Im_16,0,1),)),FALSE))</f>
        <v>0</v>
      </c>
      <c r="AQ20" s="1048" t="str">
        <f t="shared" ref="AQ20:AQ24" si="42">IF(AP20,AQ$3,"")</f>
        <v/>
      </c>
      <c r="AR20" s="1056">
        <f>$N20*(Бланк!J28="+")</f>
        <v>0</v>
      </c>
      <c r="AS20" s="1048" t="str">
        <f t="shared" ref="AS20:AS24" si="43">IF(AR20,$AS$3,"")</f>
        <v/>
      </c>
      <c r="AT20" s="1056">
        <f>$N20*(Бланк!K28="+")</f>
        <v>0</v>
      </c>
      <c r="AU20" s="201" t="str">
        <f t="shared" si="25"/>
        <v/>
      </c>
      <c r="AV20" s="1028">
        <f t="shared" ref="AV20:AV24" si="44">N(OR($CE20:$CF20))</f>
        <v>0</v>
      </c>
      <c r="AW20" s="201" t="str">
        <f t="shared" si="26"/>
        <v/>
      </c>
      <c r="AX20" s="771">
        <f>IF(AND(B20&lt;&gt;"",Бланк!$O28=""),1,0)</f>
        <v>0</v>
      </c>
      <c r="AY20" s="189" t="str">
        <f t="shared" ref="AY20:AY24" si="45">IF($AX20,$AY$3,"")</f>
        <v/>
      </c>
      <c r="AZ20" s="1040"/>
      <c r="BA20" s="1041"/>
      <c r="BB20" s="1042"/>
      <c r="BC20" s="18"/>
      <c r="BD20" s="1043"/>
      <c r="BE20" s="18"/>
      <c r="BF20" s="1024">
        <f>IF(AND($B20&lt;&gt;"",Бланк!$N28=""),1,0)</f>
        <v>0</v>
      </c>
      <c r="BG20" s="296" t="str">
        <f t="shared" ref="BG20:BG24" si="46">IF(BF20,BG$3,"")</f>
        <v/>
      </c>
      <c r="BH20" s="1066">
        <f>N(IF(LEN(Бланк!$M28),ISNA(MATCH(Бланк!$M28,INDEX(Размер_кабеля_16,0,1),)),FALSE))</f>
        <v>0</v>
      </c>
      <c r="BI20" s="296" t="str">
        <f t="shared" ref="BI20:BI24" si="47">IF(BH20,BI$3,"")</f>
        <v/>
      </c>
      <c r="BJ20" s="201" t="str">
        <f>_xlfn.IFNA(HLOOKUP(1,$X20:$BI$25,ROWS($X20:$BI$25),0),"")</f>
        <v/>
      </c>
      <c r="BK20" s="352" t="str">
        <f t="shared" si="6"/>
        <v/>
      </c>
      <c r="BL20" s="33"/>
      <c r="BP20" s="98"/>
      <c r="BQ20" s="332" t="s">
        <v>145</v>
      </c>
      <c r="BR20" s="335" t="str">
        <f>$BP$6&amp;" (В графе 'Тип расцепителя' укажите прочерк)"</f>
        <v xml:space="preserve"> !Несоответствие выключателя и расцепителя (В графе 'Тип расцепителя' укажите прочерк)</v>
      </c>
      <c r="BS20" s="336">
        <v>250</v>
      </c>
      <c r="BT20" s="337" t="str">
        <f>"Micrologic 2.2(5.2A), "&amp;BS20&amp;" A"</f>
        <v>Micrologic 2.2(5.2A), 250 A</v>
      </c>
      <c r="BV20" s="296" t="b">
        <f>(Бланк!L28="-")</f>
        <v>0</v>
      </c>
      <c r="BW20" s="296" t="b">
        <f>(Бланк!M28="-")</f>
        <v>0</v>
      </c>
      <c r="BX20" s="296" t="b">
        <f>(Бланк!N28="-")</f>
        <v>0</v>
      </c>
      <c r="BY20" s="296" t="b">
        <f>(Бланк!L28="")</f>
        <v>1</v>
      </c>
      <c r="BZ20" s="296" t="b">
        <f>(Бланк!M28="")</f>
        <v>1</v>
      </c>
      <c r="CA20" s="296" t="b">
        <f>(Бланк!N28="")</f>
        <v>1</v>
      </c>
      <c r="CB20" s="296" t="b">
        <f t="shared" ref="CB20:CB24" si="48">NOT(OR(BV20,BY20))</f>
        <v>0</v>
      </c>
      <c r="CC20" s="296" t="b">
        <f t="shared" ref="CC20:CC24" si="49">NOT(OR(BW20,BZ20))</f>
        <v>0</v>
      </c>
      <c r="CD20" s="363" t="b">
        <f t="shared" ref="CD20:CD24" si="50">NOT(OR(BX20,CA20))</f>
        <v>0</v>
      </c>
      <c r="CE20" s="396" t="b">
        <f t="shared" ref="CE20:CE24" si="51">AND(OR(CB20:CD20),OR(BV20:BX20))</f>
        <v>0</v>
      </c>
      <c r="CF20" s="397" t="b">
        <f t="shared" ref="CF20:CF24" si="52">AND(NOT(OR(CB20:CD20)),AND((BV20+BW20+BX20)&gt;0),(BV20+BW20+BX20)&lt;3)</f>
        <v>0</v>
      </c>
    </row>
    <row r="21" spans="1:84" s="1031" customFormat="1" x14ac:dyDescent="0.2">
      <c r="A21" s="21" t="s">
        <v>1306</v>
      </c>
      <c r="B21" s="21" t="str">
        <f>IF(ISBLANK(Бланк!B29),"",Бланк!B29)</f>
        <v/>
      </c>
      <c r="C21" s="1030" t="str">
        <f>IF(ISBLANK(Бланк!C29),"",Бланк!C29)</f>
        <v/>
      </c>
      <c r="D21" s="1030" t="str">
        <f>IF(ISBLANK(Бланк!D29),"",Бланк!D29)</f>
        <v/>
      </c>
      <c r="E21" s="1030" t="str">
        <f>IF(ISBLANK(Бланк!E29),"",Бланк!E29)</f>
        <v/>
      </c>
      <c r="F21" s="1058" t="str">
        <f>IF(ISBLANK(Бланк!H29),"",Бланк!H29)</f>
        <v/>
      </c>
      <c r="G21" s="1018">
        <f t="shared" si="9"/>
        <v>0</v>
      </c>
      <c r="H21" s="1018">
        <f t="shared" si="10"/>
        <v>0</v>
      </c>
      <c r="I21" s="1018">
        <f t="shared" si="11"/>
        <v>0</v>
      </c>
      <c r="J21" s="1018">
        <f t="shared" si="12"/>
        <v>0</v>
      </c>
      <c r="K21" s="1018">
        <f t="shared" si="13"/>
        <v>0</v>
      </c>
      <c r="L21" s="1018">
        <f t="shared" ref="L21:M24" si="53">IF(ISERROR(FIND(L$3,$B21)),0,1)</f>
        <v>0</v>
      </c>
      <c r="M21" s="1018">
        <f t="shared" si="53"/>
        <v>0</v>
      </c>
      <c r="N21" s="1018">
        <f t="shared" si="15"/>
        <v>0</v>
      </c>
      <c r="O21" s="1018">
        <f t="shared" si="16"/>
        <v>0</v>
      </c>
      <c r="P21" s="1059">
        <f t="shared" ref="P21:R24" si="54">IF($G21,6,IF($H21,8,IF($I21,5,IF($J21,7,IF($K21,IF(ISERR(SEARCH("iDPN",$B21)),5,6),IF($L21,4,IF($M21,6,3)))))))</f>
        <v>3</v>
      </c>
      <c r="Q21" s="201" t="str">
        <f t="shared" si="35"/>
        <v/>
      </c>
      <c r="R21" s="1059">
        <f t="shared" si="54"/>
        <v>3</v>
      </c>
      <c r="S21" s="201" t="str">
        <f t="shared" si="36"/>
        <v/>
      </c>
      <c r="T21" s="1059">
        <f t="shared" si="37"/>
        <v>3</v>
      </c>
      <c r="U21" s="201" t="str">
        <f t="shared" si="38"/>
        <v/>
      </c>
      <c r="V21" s="1063">
        <f ca="1">IF(MIN(In_17)=MAX(In_17),MIN(In_17),MIN(In_17)&amp;"..."&amp;MAX(In_17))</f>
        <v>0</v>
      </c>
      <c r="W21" s="1049" t="str">
        <f t="shared" si="21"/>
        <v/>
      </c>
      <c r="X21" s="1050">
        <f>N(IF(LEN($B21),ISNA(MATCH(Бланк!$B29,INDEX(Выключатель_отходящий,0,1),)),FALSE))</f>
        <v>0</v>
      </c>
      <c r="Y21" s="1049" t="str">
        <f t="shared" si="22"/>
        <v/>
      </c>
      <c r="Z21" s="1027">
        <f>N(AND(OR($B21="",$B21="-"),COUNTIF(Бланк!$C29:'Бланк'!$O29,"-")+COUNTIF(Бланк!$C29:'Бланк'!$O29,"")&lt;&gt;COLUMNS(Бланк!$C29:'Бланк'!$O29)))</f>
        <v>0</v>
      </c>
      <c r="AA21" s="1051" t="str">
        <f t="shared" si="32"/>
        <v/>
      </c>
      <c r="AB21" s="1052">
        <f>N(AND($B21="C60H-DC",Бланк!$K$3&lt;&gt;"IT"))</f>
        <v>0</v>
      </c>
      <c r="AC21" s="1053" t="str">
        <f t="shared" si="1"/>
        <v/>
      </c>
      <c r="AD21" s="1065">
        <f>N(IF(LEN($B21),ISNA(MATCH($C21,INDEX(Полюс17,0,1),)),FALSE))</f>
        <v>0</v>
      </c>
      <c r="AE21" s="1054" t="str">
        <f>IF(AD21,VLOOKUP(HLOOKUP(1,$G21:$O$25,ROWS($G21:$O$25),FALSE),$BM$4:$BN$12,2,FALSE),"")</f>
        <v/>
      </c>
      <c r="AF21" s="1029">
        <f>ISNUMBER($C21)*ISNUMBER($D21)*ISNUMBER(Габариты!EN22)</f>
        <v>0</v>
      </c>
      <c r="AG21" s="1055" t="str">
        <f t="shared" si="23"/>
        <v/>
      </c>
      <c r="AH21" s="1057">
        <f>N(IF(LEN($C21),ISNA(MATCH($D21,INDEX(In_17,0,1),)),FALSE))</f>
        <v>0</v>
      </c>
      <c r="AI21" s="1054" t="str">
        <f t="shared" si="2"/>
        <v/>
      </c>
      <c r="AJ21" s="1056">
        <f>N(IF(LEN($D21)*LEN(Бланк!$B29),ISNA(MATCH($E21,INDEX(Кривая17,0,1),)),FALSE))</f>
        <v>0</v>
      </c>
      <c r="AK21" s="1054" t="str">
        <f t="shared" si="39"/>
        <v/>
      </c>
      <c r="AL21" s="1057">
        <f>N(IF(LEN($E21)*((F21&lt;&gt;"")+K21+O21),ISNA(MATCH($F21,Id_17,0)),FALSE))</f>
        <v>0</v>
      </c>
      <c r="AM21" s="1049" t="str">
        <f t="shared" si="40"/>
        <v/>
      </c>
      <c r="AN21" s="1057">
        <f>N(IF(AND(LEN($D21),Бланк!$F29&lt;&gt;""),ISNA(MATCH(Бланк!$F29,INDEX(Ir_17,0,1),)),FALSE))</f>
        <v>0</v>
      </c>
      <c r="AO21" s="1048" t="str">
        <f t="shared" si="41"/>
        <v/>
      </c>
      <c r="AP21" s="1057">
        <f>N(IF(AND(LEN($D21),Бланк!$G29&lt;&gt;""),ISNA(MATCH(Бланк!$G29,INDEX(Im_17,0,1),)),FALSE))</f>
        <v>0</v>
      </c>
      <c r="AQ21" s="1048" t="str">
        <f t="shared" si="42"/>
        <v/>
      </c>
      <c r="AR21" s="1056">
        <f>$N21*(Бланк!J29="+")</f>
        <v>0</v>
      </c>
      <c r="AS21" s="1048" t="str">
        <f t="shared" si="43"/>
        <v/>
      </c>
      <c r="AT21" s="1056">
        <f>$N21*(Бланк!K29="+")</f>
        <v>0</v>
      </c>
      <c r="AU21" s="201" t="str">
        <f t="shared" si="25"/>
        <v/>
      </c>
      <c r="AV21" s="1028">
        <f t="shared" si="44"/>
        <v>0</v>
      </c>
      <c r="AW21" s="201" t="str">
        <f t="shared" si="26"/>
        <v/>
      </c>
      <c r="AX21" s="771">
        <f>IF(AND(B21&lt;&gt;"",Бланк!$O29=""),1,0)</f>
        <v>0</v>
      </c>
      <c r="AY21" s="189" t="str">
        <f t="shared" si="45"/>
        <v/>
      </c>
      <c r="AZ21" s="1040"/>
      <c r="BA21" s="1041"/>
      <c r="BB21" s="1042"/>
      <c r="BC21" s="18"/>
      <c r="BD21" s="1043"/>
      <c r="BE21" s="18"/>
      <c r="BF21" s="1024">
        <f>IF(AND($B21&lt;&gt;"",Бланк!$N29=""),1,0)</f>
        <v>0</v>
      </c>
      <c r="BG21" s="296" t="str">
        <f t="shared" si="46"/>
        <v/>
      </c>
      <c r="BH21" s="1066">
        <f>N(IF(LEN(Бланк!$M29),ISNA(MATCH(Бланк!$M29,INDEX(Размер_кабеля_17,0,1),)),FALSE))</f>
        <v>0</v>
      </c>
      <c r="BI21" s="296" t="str">
        <f t="shared" si="47"/>
        <v/>
      </c>
      <c r="BJ21" s="201" t="str">
        <f>_xlfn.IFNA(HLOOKUP(1,$X21:$BI$25,ROWS($X21:$BI$25),0),"")</f>
        <v/>
      </c>
      <c r="BK21" s="352" t="str">
        <f t="shared" si="6"/>
        <v/>
      </c>
      <c r="BL21" s="33"/>
      <c r="BP21" s="98"/>
      <c r="BQ21" s="332" t="s">
        <v>146</v>
      </c>
      <c r="BR21" s="335" t="str">
        <f>$BP$6&amp;" (В графе 'Тип расцепителя' укажите прочерк)"</f>
        <v xml:space="preserve"> !Несоответствие выключателя и расцепителя (В графе 'Тип расцепителя' укажите прочерк)</v>
      </c>
      <c r="BS21" s="336">
        <v>400</v>
      </c>
      <c r="BT21" s="337" t="str">
        <f>"Micrologic 2.3(5.3A), "&amp;BS21&amp;" A"</f>
        <v>Micrologic 2.3(5.3A), 400 A</v>
      </c>
      <c r="BV21" s="296" t="b">
        <f>(Бланк!L29="-")</f>
        <v>0</v>
      </c>
      <c r="BW21" s="296" t="b">
        <f>(Бланк!M29="-")</f>
        <v>0</v>
      </c>
      <c r="BX21" s="296" t="b">
        <f>(Бланк!N29="-")</f>
        <v>0</v>
      </c>
      <c r="BY21" s="296" t="b">
        <f>(Бланк!L29="")</f>
        <v>1</v>
      </c>
      <c r="BZ21" s="296" t="b">
        <f>(Бланк!M29="")</f>
        <v>1</v>
      </c>
      <c r="CA21" s="296" t="b">
        <f>(Бланк!N29="")</f>
        <v>1</v>
      </c>
      <c r="CB21" s="296" t="b">
        <f t="shared" si="48"/>
        <v>0</v>
      </c>
      <c r="CC21" s="296" t="b">
        <f t="shared" si="49"/>
        <v>0</v>
      </c>
      <c r="CD21" s="363" t="b">
        <f t="shared" si="50"/>
        <v>0</v>
      </c>
      <c r="CE21" s="396" t="b">
        <f t="shared" si="51"/>
        <v>0</v>
      </c>
      <c r="CF21" s="397" t="b">
        <f t="shared" si="52"/>
        <v>0</v>
      </c>
    </row>
    <row r="22" spans="1:84" s="1031" customFormat="1" x14ac:dyDescent="0.2">
      <c r="A22" s="21" t="s">
        <v>1307</v>
      </c>
      <c r="B22" s="21" t="str">
        <f>IF(ISBLANK(Бланк!B30),"",Бланк!B30)</f>
        <v/>
      </c>
      <c r="C22" s="1030" t="str">
        <f>IF(ISBLANK(Бланк!C30),"",Бланк!C30)</f>
        <v/>
      </c>
      <c r="D22" s="1030" t="str">
        <f>IF(ISBLANK(Бланк!D30),"",Бланк!D30)</f>
        <v/>
      </c>
      <c r="E22" s="1030" t="str">
        <f>IF(ISBLANK(Бланк!E30),"",Бланк!E30)</f>
        <v/>
      </c>
      <c r="F22" s="1058" t="str">
        <f>IF(ISBLANK(Бланк!H30),"",Бланк!H30)</f>
        <v/>
      </c>
      <c r="G22" s="1018">
        <f t="shared" si="9"/>
        <v>0</v>
      </c>
      <c r="H22" s="1018">
        <f t="shared" si="10"/>
        <v>0</v>
      </c>
      <c r="I22" s="1018">
        <f t="shared" si="11"/>
        <v>0</v>
      </c>
      <c r="J22" s="1018">
        <f t="shared" si="12"/>
        <v>0</v>
      </c>
      <c r="K22" s="1018">
        <f t="shared" si="13"/>
        <v>0</v>
      </c>
      <c r="L22" s="1018">
        <f t="shared" si="53"/>
        <v>0</v>
      </c>
      <c r="M22" s="1018">
        <f t="shared" si="53"/>
        <v>0</v>
      </c>
      <c r="N22" s="1018">
        <f t="shared" si="15"/>
        <v>0</v>
      </c>
      <c r="O22" s="1018">
        <f t="shared" si="16"/>
        <v>0</v>
      </c>
      <c r="P22" s="1059">
        <f t="shared" si="54"/>
        <v>3</v>
      </c>
      <c r="Q22" s="201" t="str">
        <f t="shared" si="35"/>
        <v/>
      </c>
      <c r="R22" s="1059">
        <f t="shared" si="54"/>
        <v>3</v>
      </c>
      <c r="S22" s="201" t="str">
        <f t="shared" si="36"/>
        <v/>
      </c>
      <c r="T22" s="1059">
        <f t="shared" si="37"/>
        <v>3</v>
      </c>
      <c r="U22" s="201" t="str">
        <f t="shared" si="38"/>
        <v/>
      </c>
      <c r="V22" s="1063">
        <f ca="1">IF(MIN(In_18)=MAX(In_18),MIN(In_18),MIN(In_18)&amp;"..."&amp;MAX(In_18))</f>
        <v>0</v>
      </c>
      <c r="W22" s="1049" t="str">
        <f t="shared" si="21"/>
        <v/>
      </c>
      <c r="X22" s="1050">
        <f>N(IF(LEN($B22),ISNA(MATCH(Бланк!$B30,INDEX(Выключатель_отходящий,0,1),)),FALSE))</f>
        <v>0</v>
      </c>
      <c r="Y22" s="1049" t="str">
        <f t="shared" si="22"/>
        <v/>
      </c>
      <c r="Z22" s="1027">
        <f>N(AND(OR($B22="",$B22="-"),COUNTIF(Бланк!$C30:'Бланк'!$O30,"-")+COUNTIF(Бланк!$C30:'Бланк'!$O30,"")&lt;&gt;COLUMNS(Бланк!$C30:'Бланк'!$O30)))</f>
        <v>0</v>
      </c>
      <c r="AA22" s="1051" t="str">
        <f t="shared" si="32"/>
        <v/>
      </c>
      <c r="AB22" s="1052">
        <f>N(AND($B22="C60H-DC",Бланк!$K$3&lt;&gt;"IT"))</f>
        <v>0</v>
      </c>
      <c r="AC22" s="1053" t="str">
        <f t="shared" si="1"/>
        <v/>
      </c>
      <c r="AD22" s="1065">
        <f>N(IF(LEN($B22),ISNA(MATCH($C22,INDEX(Полюс18,0,1),)),FALSE))</f>
        <v>0</v>
      </c>
      <c r="AE22" s="1054" t="str">
        <f>IF(AD22,VLOOKUP(HLOOKUP(1,$G22:$O$25,ROWS($G22:$O$25),FALSE),$BM$4:$BN$12,2,FALSE),"")</f>
        <v/>
      </c>
      <c r="AF22" s="1029">
        <f>ISNUMBER($C22)*ISNUMBER($D22)*ISNUMBER(Габариты!EN23)</f>
        <v>0</v>
      </c>
      <c r="AG22" s="1055" t="str">
        <f t="shared" si="23"/>
        <v/>
      </c>
      <c r="AH22" s="1057">
        <f>N(IF(LEN($C22),ISNA(MATCH($D22,INDEX(In_18,0,1),)),FALSE))</f>
        <v>0</v>
      </c>
      <c r="AI22" s="1054" t="str">
        <f t="shared" si="2"/>
        <v/>
      </c>
      <c r="AJ22" s="1056">
        <f>N(IF(LEN($D22)*LEN(Бланк!$B30),ISNA(MATCH($E22,INDEX(Кривая18,0,1),)),FALSE))</f>
        <v>0</v>
      </c>
      <c r="AK22" s="1054" t="str">
        <f t="shared" si="39"/>
        <v/>
      </c>
      <c r="AL22" s="1057">
        <f>N(IF(LEN($E22)*((F22&lt;&gt;"")+K22+O22),ISNA(MATCH($F22,Id_18,0)),FALSE))</f>
        <v>0</v>
      </c>
      <c r="AM22" s="944" t="str">
        <f t="shared" si="40"/>
        <v/>
      </c>
      <c r="AN22" s="1061">
        <f>N(IF(AND(LEN($D22),Бланк!$F30&lt;&gt;""),ISNA(MATCH(Бланк!$F30,INDEX(Ir_18,0,1),)),FALSE))</f>
        <v>0</v>
      </c>
      <c r="AO22" s="201" t="str">
        <f t="shared" si="41"/>
        <v/>
      </c>
      <c r="AP22" s="1061">
        <f>N(IF(AND(LEN($D22),Бланк!$G30&lt;&gt;""),ISNA(MATCH(Бланк!$G30,INDEX(Im_18,0,1),)),FALSE))</f>
        <v>0</v>
      </c>
      <c r="AQ22" s="201" t="str">
        <f t="shared" si="42"/>
        <v/>
      </c>
      <c r="AR22" s="771">
        <f>$N22*(Бланк!J30="+")</f>
        <v>0</v>
      </c>
      <c r="AS22" s="1048" t="str">
        <f t="shared" si="43"/>
        <v/>
      </c>
      <c r="AT22" s="1056">
        <f>$N22*(Бланк!K30="+")</f>
        <v>0</v>
      </c>
      <c r="AU22" s="201" t="str">
        <f t="shared" si="25"/>
        <v/>
      </c>
      <c r="AV22" s="1028">
        <f t="shared" si="44"/>
        <v>0</v>
      </c>
      <c r="AW22" s="201" t="str">
        <f t="shared" si="26"/>
        <v/>
      </c>
      <c r="AX22" s="771">
        <f>IF(AND(B22&lt;&gt;"",Бланк!$O30=""),1,0)</f>
        <v>0</v>
      </c>
      <c r="AY22" s="189" t="str">
        <f t="shared" si="45"/>
        <v/>
      </c>
      <c r="AZ22" s="1040"/>
      <c r="BA22" s="1041"/>
      <c r="BB22" s="1042"/>
      <c r="BC22" s="18"/>
      <c r="BD22" s="1043"/>
      <c r="BE22" s="18"/>
      <c r="BF22" s="1024">
        <f>IF(AND($B22&lt;&gt;"",Бланк!$N30=""),1,0)</f>
        <v>0</v>
      </c>
      <c r="BG22" s="296" t="str">
        <f t="shared" si="46"/>
        <v/>
      </c>
      <c r="BH22" s="1066">
        <f>N(IF(LEN(Бланк!$M30),ISNA(MATCH(Бланк!$M30,INDEX(Размер_кабеля_18,0,1),)),FALSE))</f>
        <v>0</v>
      </c>
      <c r="BI22" s="296" t="str">
        <f t="shared" si="47"/>
        <v/>
      </c>
      <c r="BJ22" s="201" t="str">
        <f>_xlfn.IFNA(HLOOKUP(1,$X22:$BI$25,ROWS($X22:$BI$25),0),"")</f>
        <v/>
      </c>
      <c r="BK22" s="352" t="str">
        <f t="shared" si="6"/>
        <v/>
      </c>
      <c r="BL22" s="33"/>
      <c r="BP22" s="98"/>
      <c r="BQ22" s="332" t="s">
        <v>147</v>
      </c>
      <c r="BR22" s="335" t="str">
        <f>$BP$6&amp;" (В графе 'Тип расцепителя' укажите прочерк)"</f>
        <v xml:space="preserve"> !Несоответствие выключателя и расцепителя (В графе 'Тип расцепителя' укажите прочерк)</v>
      </c>
      <c r="BS22" s="336">
        <v>630</v>
      </c>
      <c r="BT22" s="337" t="str">
        <f>"Micrologic 2.3(5.3A), "&amp;BS22&amp;" A"</f>
        <v>Micrologic 2.3(5.3A), 630 A</v>
      </c>
      <c r="BV22" s="296" t="b">
        <f>(Бланк!L30="-")</f>
        <v>0</v>
      </c>
      <c r="BW22" s="296" t="b">
        <f>(Бланк!M30="-")</f>
        <v>0</v>
      </c>
      <c r="BX22" s="296" t="b">
        <f>(Бланк!N30="-")</f>
        <v>0</v>
      </c>
      <c r="BY22" s="296" t="b">
        <f>(Бланк!L30="")</f>
        <v>1</v>
      </c>
      <c r="BZ22" s="296" t="b">
        <f>(Бланк!M30="")</f>
        <v>1</v>
      </c>
      <c r="CA22" s="296" t="b">
        <f>(Бланк!N30="")</f>
        <v>1</v>
      </c>
      <c r="CB22" s="296" t="b">
        <f t="shared" si="48"/>
        <v>0</v>
      </c>
      <c r="CC22" s="296" t="b">
        <f t="shared" si="49"/>
        <v>0</v>
      </c>
      <c r="CD22" s="363" t="b">
        <f t="shared" si="50"/>
        <v>0</v>
      </c>
      <c r="CE22" s="396" t="b">
        <f t="shared" si="51"/>
        <v>0</v>
      </c>
      <c r="CF22" s="397" t="b">
        <f t="shared" si="52"/>
        <v>0</v>
      </c>
    </row>
    <row r="23" spans="1:84" s="1031" customFormat="1" x14ac:dyDescent="0.2">
      <c r="A23" s="21" t="s">
        <v>1308</v>
      </c>
      <c r="B23" s="21" t="str">
        <f>IF(ISBLANK(Бланк!B31),"",Бланк!B31)</f>
        <v/>
      </c>
      <c r="C23" s="1030" t="str">
        <f>IF(ISBLANK(Бланк!C31),"",Бланк!C31)</f>
        <v/>
      </c>
      <c r="D23" s="1030" t="str">
        <f>IF(ISBLANK(Бланк!D31),"",Бланк!D31)</f>
        <v/>
      </c>
      <c r="E23" s="1030" t="str">
        <f>IF(ISBLANK(Бланк!E31),"",Бланк!E31)</f>
        <v/>
      </c>
      <c r="F23" s="1058" t="str">
        <f>IF(ISBLANK(Бланк!H31),"",Бланк!H31)</f>
        <v/>
      </c>
      <c r="G23" s="1018">
        <f t="shared" si="9"/>
        <v>0</v>
      </c>
      <c r="H23" s="1018">
        <f t="shared" si="10"/>
        <v>0</v>
      </c>
      <c r="I23" s="1018">
        <f t="shared" si="11"/>
        <v>0</v>
      </c>
      <c r="J23" s="1018">
        <f t="shared" si="12"/>
        <v>0</v>
      </c>
      <c r="K23" s="1018">
        <f t="shared" si="13"/>
        <v>0</v>
      </c>
      <c r="L23" s="1018">
        <f t="shared" si="53"/>
        <v>0</v>
      </c>
      <c r="M23" s="1018">
        <f t="shared" si="53"/>
        <v>0</v>
      </c>
      <c r="N23" s="1018">
        <f t="shared" si="15"/>
        <v>0</v>
      </c>
      <c r="O23" s="1018">
        <f t="shared" si="16"/>
        <v>0</v>
      </c>
      <c r="P23" s="1059">
        <f t="shared" si="54"/>
        <v>3</v>
      </c>
      <c r="Q23" s="201" t="str">
        <f t="shared" si="35"/>
        <v/>
      </c>
      <c r="R23" s="1059">
        <f t="shared" si="54"/>
        <v>3</v>
      </c>
      <c r="S23" s="201" t="str">
        <f t="shared" si="36"/>
        <v/>
      </c>
      <c r="T23" s="1059">
        <f t="shared" si="37"/>
        <v>3</v>
      </c>
      <c r="U23" s="201" t="str">
        <f t="shared" si="38"/>
        <v/>
      </c>
      <c r="V23" s="1063">
        <f ca="1">IF(MIN(In_19)=MAX(In_19),MIN(In_19),MIN(In_19)&amp;"..."&amp;MAX(In_19))</f>
        <v>0</v>
      </c>
      <c r="W23" s="1049" t="str">
        <f t="shared" si="21"/>
        <v/>
      </c>
      <c r="X23" s="1050">
        <f>N(IF(LEN($B23),ISNA(MATCH(Бланк!$B31,INDEX(Выключатель_отходящий,0,1),)),FALSE))</f>
        <v>0</v>
      </c>
      <c r="Y23" s="1049" t="str">
        <f t="shared" si="22"/>
        <v/>
      </c>
      <c r="Z23" s="1027">
        <f>N(AND(OR($B23="",$B23="-"),COUNTIF(Бланк!$C31:'Бланк'!$O31,"-")+COUNTIF(Бланк!$C31:'Бланк'!$O31,"")&lt;&gt;COLUMNS(Бланк!$C31:'Бланк'!$O31)))</f>
        <v>0</v>
      </c>
      <c r="AA23" s="1051" t="str">
        <f t="shared" si="32"/>
        <v/>
      </c>
      <c r="AB23" s="1052">
        <f>N(AND($B23="C60H-DC",Бланк!$K$3&lt;&gt;"IT"))</f>
        <v>0</v>
      </c>
      <c r="AC23" s="1053" t="str">
        <f t="shared" si="1"/>
        <v/>
      </c>
      <c r="AD23" s="1065">
        <f>N(IF(LEN($B23),ISNA(MATCH($C23,INDEX(Полюс19,0,1),)),FALSE))</f>
        <v>0</v>
      </c>
      <c r="AE23" s="1054" t="str">
        <f>IF(AD23,VLOOKUP(HLOOKUP(1,$G23:$O$25,ROWS($G23:$O$25),FALSE),$BM$4:$BN$12,2,FALSE),"")</f>
        <v/>
      </c>
      <c r="AF23" s="1029">
        <f>ISNUMBER($C23)*ISNUMBER($D23)*ISNUMBER(Габариты!EN24)</f>
        <v>0</v>
      </c>
      <c r="AG23" s="296" t="str">
        <f t="shared" si="23"/>
        <v/>
      </c>
      <c r="AH23" s="1061">
        <f>N(IF(LEN($C23),ISNA(MATCH($D23,INDEX(In_19,0,1),)),FALSE))</f>
        <v>0</v>
      </c>
      <c r="AI23" s="189" t="str">
        <f t="shared" si="2"/>
        <v/>
      </c>
      <c r="AJ23" s="771">
        <f>N(IF(LEN($D23)*LEN(Бланк!$B31),ISNA(MATCH($E23,INDEX(Кривая19,0,1),)),FALSE))</f>
        <v>0</v>
      </c>
      <c r="AK23" s="1054" t="str">
        <f t="shared" si="39"/>
        <v/>
      </c>
      <c r="AL23" s="1057">
        <f>N(IF(LEN($E23)*((F23&lt;&gt;"")+K23+O23),ISNA(MATCH($F23,Id_19,0)),FALSE))</f>
        <v>0</v>
      </c>
      <c r="AM23" s="944" t="str">
        <f t="shared" si="40"/>
        <v/>
      </c>
      <c r="AN23" s="1061">
        <f>N(IF(AND(LEN($D23),Бланк!$F31&lt;&gt;""),ISNA(MATCH(Бланк!$F31,INDEX(Ir_19,0,1),)),FALSE))</f>
        <v>0</v>
      </c>
      <c r="AO23" s="201" t="str">
        <f t="shared" si="41"/>
        <v/>
      </c>
      <c r="AP23" s="1061">
        <f>N(IF(AND(LEN($D23),Бланк!$G31&lt;&gt;""),ISNA(MATCH(Бланк!$G31,INDEX(Im_19,0,1),)),FALSE))</f>
        <v>0</v>
      </c>
      <c r="AQ23" s="201" t="str">
        <f t="shared" si="42"/>
        <v/>
      </c>
      <c r="AR23" s="771">
        <f>$N23*(Бланк!J31="+")</f>
        <v>0</v>
      </c>
      <c r="AS23" s="1048" t="str">
        <f t="shared" si="43"/>
        <v/>
      </c>
      <c r="AT23" s="1056">
        <f>$N23*(Бланк!K31="+")</f>
        <v>0</v>
      </c>
      <c r="AU23" s="201" t="str">
        <f t="shared" si="25"/>
        <v/>
      </c>
      <c r="AV23" s="1028">
        <f t="shared" si="44"/>
        <v>0</v>
      </c>
      <c r="AW23" s="201" t="str">
        <f t="shared" si="26"/>
        <v/>
      </c>
      <c r="AX23" s="771">
        <f>IF(AND(B23&lt;&gt;"",Бланк!$O31=""),1,0)</f>
        <v>0</v>
      </c>
      <c r="AY23" s="189" t="str">
        <f t="shared" si="45"/>
        <v/>
      </c>
      <c r="AZ23" s="1040"/>
      <c r="BA23" s="1041"/>
      <c r="BB23" s="1042"/>
      <c r="BC23" s="18"/>
      <c r="BD23" s="1043"/>
      <c r="BE23" s="18"/>
      <c r="BF23" s="1024">
        <f>IF(AND($B23&lt;&gt;"",Бланк!$N31=""),1,0)</f>
        <v>0</v>
      </c>
      <c r="BG23" s="296" t="str">
        <f t="shared" si="46"/>
        <v/>
      </c>
      <c r="BH23" s="1066">
        <f>N(IF(LEN(Бланк!$M31),ISNA(MATCH(Бланк!$M31,INDEX(Размер_кабеля_19,0,1),)),FALSE))</f>
        <v>0</v>
      </c>
      <c r="BI23" s="296" t="str">
        <f t="shared" si="47"/>
        <v/>
      </c>
      <c r="BJ23" s="201" t="str">
        <f>_xlfn.IFNA(HLOOKUP(1,$X23:$BI$25,ROWS($X23:$BI$25),0),"")</f>
        <v/>
      </c>
      <c r="BK23" s="352" t="str">
        <f t="shared" si="6"/>
        <v/>
      </c>
      <c r="BL23" s="33"/>
      <c r="BP23" s="9"/>
      <c r="BQ23" s="9"/>
      <c r="BR23" s="9"/>
      <c r="BV23" s="296" t="b">
        <f>(Бланк!L31="-")</f>
        <v>0</v>
      </c>
      <c r="BW23" s="296" t="b">
        <f>(Бланк!M31="-")</f>
        <v>0</v>
      </c>
      <c r="BX23" s="296" t="b">
        <f>(Бланк!N31="-")</f>
        <v>0</v>
      </c>
      <c r="BY23" s="296" t="b">
        <f>(Бланк!L31="")</f>
        <v>1</v>
      </c>
      <c r="BZ23" s="296" t="b">
        <f>(Бланк!M31="")</f>
        <v>1</v>
      </c>
      <c r="CA23" s="296" t="b">
        <f>(Бланк!N31="")</f>
        <v>1</v>
      </c>
      <c r="CB23" s="296" t="b">
        <f t="shared" si="48"/>
        <v>0</v>
      </c>
      <c r="CC23" s="296" t="b">
        <f t="shared" si="49"/>
        <v>0</v>
      </c>
      <c r="CD23" s="363" t="b">
        <f t="shared" si="50"/>
        <v>0</v>
      </c>
      <c r="CE23" s="396" t="b">
        <f t="shared" si="51"/>
        <v>0</v>
      </c>
      <c r="CF23" s="397" t="b">
        <f t="shared" si="52"/>
        <v>0</v>
      </c>
    </row>
    <row r="24" spans="1:84" s="1031" customFormat="1" ht="13.5" thickBot="1" x14ac:dyDescent="0.25">
      <c r="A24" s="21" t="s">
        <v>1309</v>
      </c>
      <c r="B24" s="21" t="str">
        <f>IF(ISBLANK(Бланк!B32),"",Бланк!B32)</f>
        <v/>
      </c>
      <c r="C24" s="1030" t="str">
        <f>IF(ISBLANK(Бланк!C32),"",Бланк!C32)</f>
        <v/>
      </c>
      <c r="D24" s="1030" t="str">
        <f>IF(ISBLANK(Бланк!D32),"",Бланк!D32)</f>
        <v/>
      </c>
      <c r="E24" s="1030" t="str">
        <f>IF(ISBLANK(Бланк!E32),"",Бланк!E32)</f>
        <v/>
      </c>
      <c r="F24" s="1058" t="str">
        <f>IF(ISBLANK(Бланк!H32),"",Бланк!H32)</f>
        <v/>
      </c>
      <c r="G24" s="1018">
        <f t="shared" si="9"/>
        <v>0</v>
      </c>
      <c r="H24" s="1018">
        <f t="shared" si="10"/>
        <v>0</v>
      </c>
      <c r="I24" s="1018">
        <f t="shared" si="11"/>
        <v>0</v>
      </c>
      <c r="J24" s="1018">
        <f t="shared" si="12"/>
        <v>0</v>
      </c>
      <c r="K24" s="1018">
        <f t="shared" si="13"/>
        <v>0</v>
      </c>
      <c r="L24" s="1018">
        <f t="shared" si="53"/>
        <v>0</v>
      </c>
      <c r="M24" s="1018">
        <f t="shared" si="53"/>
        <v>0</v>
      </c>
      <c r="N24" s="1018">
        <f t="shared" si="15"/>
        <v>0</v>
      </c>
      <c r="O24" s="1018">
        <f t="shared" si="16"/>
        <v>0</v>
      </c>
      <c r="P24" s="1059">
        <f t="shared" si="54"/>
        <v>3</v>
      </c>
      <c r="Q24" s="201" t="str">
        <f t="shared" si="35"/>
        <v/>
      </c>
      <c r="R24" s="1059">
        <f t="shared" si="54"/>
        <v>3</v>
      </c>
      <c r="S24" s="201" t="str">
        <f t="shared" si="36"/>
        <v/>
      </c>
      <c r="T24" s="1059">
        <f t="shared" si="37"/>
        <v>3</v>
      </c>
      <c r="U24" s="201" t="str">
        <f t="shared" si="38"/>
        <v/>
      </c>
      <c r="V24" s="1063">
        <f ca="1">IF(MIN(In_20)=MAX(In_20),MIN(In_20),MIN(In_20)&amp;"..."&amp;MAX(In_20))</f>
        <v>0</v>
      </c>
      <c r="W24" s="944" t="str">
        <f t="shared" si="21"/>
        <v/>
      </c>
      <c r="X24" s="1060">
        <f>N(IF(LEN($B24),ISNA(MATCH(Бланк!$B32,INDEX(Выключатель_отходящий,0,1),)),FALSE))</f>
        <v>0</v>
      </c>
      <c r="Y24" s="944" t="str">
        <f t="shared" si="22"/>
        <v/>
      </c>
      <c r="Z24" s="1019">
        <f>N(AND(OR($B24="",$B24="-"),COUNTIF(Бланк!$C32:'Бланк'!$O32,"-")+COUNTIF(Бланк!$C32:'Бланк'!$O32,"")&lt;&gt;COLUMNS(Бланк!$C32:'Бланк'!$O32)))</f>
        <v>0</v>
      </c>
      <c r="AA24" s="352" t="str">
        <f t="shared" si="32"/>
        <v/>
      </c>
      <c r="AB24" s="1028">
        <f>N(AND($B24="C60H-DC",Бланк!$K$3&lt;&gt;"IT"))</f>
        <v>0</v>
      </c>
      <c r="AC24" s="201" t="str">
        <f t="shared" si="1"/>
        <v/>
      </c>
      <c r="AD24" s="1066">
        <f>N(IF(LEN($B24),ISNA(MATCH($C24,INDEX(Полюс20,0,1),)),FALSE))</f>
        <v>0</v>
      </c>
      <c r="AE24" s="189" t="str">
        <f>IF(AD24,VLOOKUP(HLOOKUP(1,$G24:$O$25,ROWS($G24:$O$25),FALSE),$BM$4:$BN$12,2,FALSE),"")</f>
        <v/>
      </c>
      <c r="AF24" s="1024">
        <f>ISNUMBER($C24)*ISNUMBER($D24)*ISNUMBER(Габариты!EN25)</f>
        <v>0</v>
      </c>
      <c r="AG24" s="296" t="str">
        <f t="shared" si="23"/>
        <v/>
      </c>
      <c r="AH24" s="1061">
        <f>N(IF(LEN($C24),ISNA(MATCH($D24,INDEX(In_20,0,1),)),FALSE))</f>
        <v>0</v>
      </c>
      <c r="AI24" s="189" t="str">
        <f t="shared" si="2"/>
        <v/>
      </c>
      <c r="AJ24" s="771">
        <f>N(IF(LEN($D24)*LEN(Бланк!$B32),ISNA(MATCH($E24,INDEX(Кривая20,0,1),)),FALSE))</f>
        <v>0</v>
      </c>
      <c r="AK24" s="189" t="str">
        <f t="shared" si="39"/>
        <v/>
      </c>
      <c r="AL24" s="1061">
        <f>N(IF(LEN($E24)*((F24&lt;&gt;"")+K24+O24),ISNA(MATCH($F24,Id_20,0)),FALSE))</f>
        <v>0</v>
      </c>
      <c r="AM24" s="944" t="str">
        <f t="shared" si="40"/>
        <v/>
      </c>
      <c r="AN24" s="1061">
        <f>N(IF(AND(LEN($D24),Бланк!$F32&lt;&gt;""),ISNA(MATCH(Бланк!$F32,INDEX(Ir_20,0,1),)),FALSE))</f>
        <v>0</v>
      </c>
      <c r="AO24" s="201" t="str">
        <f t="shared" si="41"/>
        <v/>
      </c>
      <c r="AP24" s="1061">
        <f>N(IF(AND(LEN($D24),Бланк!$G32&lt;&gt;""),ISNA(MATCH(Бланк!$G32,INDEX(Im_20,0,1),)),FALSE))</f>
        <v>0</v>
      </c>
      <c r="AQ24" s="201" t="str">
        <f t="shared" si="42"/>
        <v/>
      </c>
      <c r="AR24" s="771">
        <f>$N24*(Бланк!J32="+")</f>
        <v>0</v>
      </c>
      <c r="AS24" s="1048" t="str">
        <f t="shared" si="43"/>
        <v/>
      </c>
      <c r="AT24" s="1056">
        <f>$N24*(Бланк!K32="+")</f>
        <v>0</v>
      </c>
      <c r="AU24" s="201" t="str">
        <f t="shared" si="25"/>
        <v/>
      </c>
      <c r="AV24" s="1028">
        <f t="shared" si="44"/>
        <v>0</v>
      </c>
      <c r="AW24" s="201" t="str">
        <f t="shared" si="26"/>
        <v/>
      </c>
      <c r="AX24" s="771">
        <f>IF(AND(B24&lt;&gt;"",Бланк!$O32=""),1,0)</f>
        <v>0</v>
      </c>
      <c r="AY24" s="189" t="str">
        <f t="shared" si="45"/>
        <v/>
      </c>
      <c r="AZ24" s="1040"/>
      <c r="BA24" s="1041"/>
      <c r="BB24" s="1042"/>
      <c r="BC24" s="18"/>
      <c r="BD24" s="1043"/>
      <c r="BE24" s="18"/>
      <c r="BF24" s="1024">
        <f>IF(AND($B24&lt;&gt;"",Бланк!$N32=""),1,0)</f>
        <v>0</v>
      </c>
      <c r="BG24" s="296" t="str">
        <f t="shared" si="46"/>
        <v/>
      </c>
      <c r="BH24" s="1066">
        <f>N(IF(LEN(Бланк!$M32),ISNA(MATCH(Бланк!$M32,INDEX(Размер_кабеля_20,0,1),)),FALSE))</f>
        <v>0</v>
      </c>
      <c r="BI24" s="296" t="str">
        <f t="shared" si="47"/>
        <v/>
      </c>
      <c r="BJ24" s="201" t="str">
        <f>_xlfn.IFNA(HLOOKUP(1,$X24:$BI$25,ROWS($X24:$BI$25),0),"")</f>
        <v/>
      </c>
      <c r="BK24" s="352" t="str">
        <f t="shared" si="6"/>
        <v/>
      </c>
      <c r="BL24" s="33"/>
      <c r="BP24" s="9"/>
      <c r="BQ24" s="9"/>
      <c r="BR24" s="9"/>
      <c r="BV24" s="296" t="b">
        <f>(Бланк!L32="-")</f>
        <v>0</v>
      </c>
      <c r="BW24" s="296" t="b">
        <f>(Бланк!M32="-")</f>
        <v>0</v>
      </c>
      <c r="BX24" s="296" t="b">
        <f>(Бланк!N32="-")</f>
        <v>0</v>
      </c>
      <c r="BY24" s="296" t="b">
        <f>(Бланк!L32="")</f>
        <v>1</v>
      </c>
      <c r="BZ24" s="296" t="b">
        <f>(Бланк!M32="")</f>
        <v>1</v>
      </c>
      <c r="CA24" s="296" t="b">
        <f>(Бланк!N32="")</f>
        <v>1</v>
      </c>
      <c r="CB24" s="296" t="b">
        <f t="shared" si="48"/>
        <v>0</v>
      </c>
      <c r="CC24" s="296" t="b">
        <f t="shared" si="49"/>
        <v>0</v>
      </c>
      <c r="CD24" s="363" t="b">
        <f t="shared" si="50"/>
        <v>0</v>
      </c>
      <c r="CE24" s="398" t="b">
        <f t="shared" si="51"/>
        <v>0</v>
      </c>
      <c r="CF24" s="399" t="b">
        <f t="shared" si="52"/>
        <v>0</v>
      </c>
    </row>
    <row r="25" spans="1:84" ht="13.5" thickBot="1" x14ac:dyDescent="0.25">
      <c r="G25" s="275" t="s">
        <v>322</v>
      </c>
      <c r="H25" s="275" t="s">
        <v>323</v>
      </c>
      <c r="I25" s="275" t="s">
        <v>105</v>
      </c>
      <c r="J25" s="275" t="s">
        <v>148</v>
      </c>
      <c r="K25" s="275" t="s">
        <v>508</v>
      </c>
      <c r="L25" s="275" t="s">
        <v>534</v>
      </c>
      <c r="M25" s="275" t="s">
        <v>437</v>
      </c>
      <c r="N25" s="275" t="s">
        <v>149</v>
      </c>
      <c r="O25" s="275" t="s">
        <v>150</v>
      </c>
      <c r="V25" s="33"/>
      <c r="W25" s="33"/>
      <c r="X25" s="463" t="str">
        <f>MID(X$2,SEARCH(" ",$AB2)+1,2)</f>
        <v>0</v>
      </c>
      <c r="Y25" s="33"/>
      <c r="Z25" s="404" t="str">
        <f>MID(Z$2,SEARCH(" ",$AB2)+1,2)</f>
        <v>1</v>
      </c>
      <c r="AA25" s="33"/>
      <c r="AB25" s="404" t="str">
        <f>MID(AB$2,SEARCH(" ",$AB2)+1,2)</f>
        <v>2</v>
      </c>
      <c r="AC25" s="186"/>
      <c r="AD25" s="404" t="str">
        <f>MID(AD$2,SEARCH(" ",$AB2)+1,2)</f>
        <v>3</v>
      </c>
      <c r="AE25" s="186"/>
      <c r="AF25" s="404" t="str">
        <f>MID(AF$2,SEARCH(" ",$AB2)+1,2)</f>
        <v>4</v>
      </c>
      <c r="AG25" s="33"/>
      <c r="AH25" s="404" t="str">
        <f>MID(AH$2,SEARCH(" ",$AB2)+1,2)</f>
        <v>5</v>
      </c>
      <c r="AI25" s="186"/>
      <c r="AJ25" s="404" t="str">
        <f>MID(AJ$2,SEARCH(" ",$AB2)+1,2)</f>
        <v>6</v>
      </c>
      <c r="AK25" s="186"/>
      <c r="AL25" s="404" t="str">
        <f>MID(AL$2,SEARCH(" ",$AB2)+1,2)</f>
        <v>7</v>
      </c>
      <c r="AM25" s="186"/>
      <c r="AN25" s="939" t="str">
        <f>MID(AN$2,SEARCH(" ",$AB2)+1,2)</f>
        <v>8</v>
      </c>
      <c r="AO25" s="186"/>
      <c r="AP25" s="939" t="str">
        <f>MID(AP$2,SEARCH(" ",$AB2)+1,2)</f>
        <v>9</v>
      </c>
      <c r="AQ25" s="186"/>
      <c r="AR25" s="404" t="str">
        <f>MID(AR$2,SEARCH(" ",$AB2)+1,2)</f>
        <v>10</v>
      </c>
      <c r="AS25" s="186"/>
      <c r="AT25" s="404" t="str">
        <f>MID(AT$2,SEARCH(" ",$AB2)+1,2)</f>
        <v>11</v>
      </c>
      <c r="AU25" s="186"/>
      <c r="AV25" s="404" t="str">
        <f>MID(AV$2,SEARCH(" ",$AB2)+1,2)</f>
        <v>12</v>
      </c>
      <c r="AW25" s="186"/>
      <c r="AX25" s="404" t="str">
        <f>MID(AX$2,SEARCH(" ",$AB2)+1,2)</f>
        <v>13</v>
      </c>
      <c r="AY25" s="186"/>
      <c r="AZ25" s="1024" t="str">
        <f>MID(AZ$2,SEARCH(" ",$AB2)+1,2)</f>
        <v>14</v>
      </c>
      <c r="BA25" s="186"/>
      <c r="BB25" s="1024" t="str">
        <f>MID(BB$2,SEARCH(" ",$AB2)+1,2)</f>
        <v>15</v>
      </c>
      <c r="BC25" s="186"/>
      <c r="BD25" s="1024" t="str">
        <f>MID(BD$2,SEARCH(" ",$AB2)+1,2)</f>
        <v>16</v>
      </c>
      <c r="BE25" s="186"/>
      <c r="BF25" s="738" t="str">
        <f>MID(BF$2,SEARCH(" ",$AB2)+1,2)</f>
        <v>17</v>
      </c>
      <c r="BG25" s="186"/>
      <c r="BH25" s="738" t="str">
        <f>MID(BH$2,SEARCH(" ",$AB2)+1,2)</f>
        <v>18</v>
      </c>
      <c r="BI25" s="186"/>
      <c r="BJ25" s="186"/>
      <c r="BK25" s="33"/>
      <c r="BL25" s="33"/>
      <c r="BP25" s="9"/>
      <c r="BV25" s="1031"/>
      <c r="BW25" s="1031"/>
      <c r="BX25" s="1031"/>
      <c r="BY25" s="1031"/>
      <c r="BZ25" s="1031"/>
      <c r="CA25" s="1031"/>
      <c r="CB25" s="1031"/>
      <c r="CC25" s="1031"/>
      <c r="CD25" s="1031"/>
      <c r="CE25" s="1031"/>
      <c r="CF25" s="1031"/>
    </row>
    <row r="26" spans="1:84" x14ac:dyDescent="0.2">
      <c r="B26" s="309" t="s">
        <v>728</v>
      </c>
      <c r="V26" s="33"/>
      <c r="W26" s="33"/>
      <c r="X26" s="33"/>
      <c r="Y26" s="33"/>
      <c r="Z26" s="33"/>
      <c r="AA26" s="33"/>
      <c r="AB26" s="33"/>
      <c r="AC26" s="33"/>
      <c r="AD26" s="3"/>
      <c r="BL26" s="9"/>
      <c r="BM26" s="9"/>
      <c r="BN26" s="9"/>
      <c r="BO26" s="9"/>
      <c r="BP26" s="9"/>
      <c r="BU26" s="9"/>
      <c r="BV26" s="1031"/>
      <c r="BW26" s="1031"/>
      <c r="BX26" s="1031"/>
      <c r="BY26" s="1031"/>
      <c r="BZ26" s="1031"/>
      <c r="CA26" s="1031"/>
      <c r="CB26" s="1031"/>
      <c r="CC26" s="1031"/>
      <c r="CD26" s="1031"/>
      <c r="CE26" s="1031"/>
      <c r="CF26" s="1031"/>
    </row>
    <row r="27" spans="1:84" x14ac:dyDescent="0.2">
      <c r="B27" s="309" t="b">
        <f>ISNUMBER(SEARCH("АВР",Бланк!$B$11))</f>
        <v>0</v>
      </c>
      <c r="P27" s="104"/>
      <c r="Q27" s="104"/>
      <c r="R27" s="304"/>
      <c r="S27" s="304"/>
      <c r="T27" s="104"/>
      <c r="U27" s="104"/>
      <c r="AA27" s="407"/>
      <c r="AE27" s="407"/>
      <c r="AF27" s="407"/>
      <c r="BL27" s="9"/>
      <c r="BM27" s="9"/>
      <c r="BN27" s="9"/>
      <c r="BO27" s="9"/>
      <c r="BP27" s="9"/>
      <c r="BU27" s="9"/>
      <c r="BV27" s="1031"/>
      <c r="BW27" s="1031"/>
      <c r="BX27" s="1031"/>
      <c r="BY27" s="1031"/>
      <c r="BZ27" s="1031"/>
      <c r="CA27" s="1031"/>
      <c r="CB27" s="1031"/>
      <c r="CC27" s="1031"/>
      <c r="CD27" s="1031"/>
      <c r="CE27" s="1031"/>
      <c r="CF27" s="1031"/>
    </row>
    <row r="28" spans="1:84" x14ac:dyDescent="0.2">
      <c r="BL28" s="9"/>
      <c r="BM28" s="9"/>
      <c r="BN28" s="9"/>
      <c r="BO28" s="9"/>
      <c r="BP28" s="9"/>
      <c r="BQ28" s="9"/>
      <c r="BR28" s="9"/>
      <c r="BU28" s="9"/>
      <c r="BV28" s="9"/>
      <c r="BW28" s="9"/>
      <c r="BX28" s="9"/>
      <c r="BY28" s="9"/>
    </row>
    <row r="29" spans="1:84" x14ac:dyDescent="0.2">
      <c r="BL29" s="9"/>
      <c r="BM29" s="9"/>
      <c r="BN29" s="9"/>
      <c r="BO29" s="9"/>
      <c r="BP29" s="9"/>
      <c r="BQ29" s="9"/>
      <c r="BR29" s="9"/>
      <c r="BU29" s="9"/>
    </row>
    <row r="30" spans="1:84" x14ac:dyDescent="0.2">
      <c r="BK30" s="307"/>
      <c r="BL30" s="9"/>
      <c r="BM30" s="9"/>
      <c r="BN30" s="9"/>
      <c r="BO30" s="9"/>
      <c r="BP30" s="9"/>
      <c r="BQ30" s="9"/>
      <c r="BR30" s="9"/>
      <c r="BU30" s="9"/>
    </row>
    <row r="31" spans="1:84" x14ac:dyDescent="0.2">
      <c r="BL31" s="9"/>
      <c r="BM31" s="9"/>
      <c r="BN31" s="9"/>
      <c r="BO31" s="9"/>
      <c r="BP31" s="9"/>
      <c r="BQ31" s="9"/>
      <c r="BR31" s="9"/>
      <c r="BU31" s="9"/>
    </row>
    <row r="32" spans="1:84" x14ac:dyDescent="0.2">
      <c r="BL32" s="9"/>
      <c r="BM32" s="9"/>
      <c r="BN32" s="9"/>
      <c r="BO32" s="9"/>
      <c r="BP32" s="9"/>
      <c r="BQ32" s="9"/>
      <c r="BR32" s="9"/>
      <c r="BU32" s="9"/>
    </row>
    <row r="33" spans="4:77" x14ac:dyDescent="0.2">
      <c r="BL33" s="9"/>
      <c r="BM33" s="9"/>
      <c r="BN33" s="9"/>
      <c r="BO33" s="9"/>
      <c r="BP33" s="9"/>
      <c r="BQ33" s="9"/>
      <c r="BR33" s="9"/>
      <c r="BU33" s="9"/>
    </row>
    <row r="34" spans="4:77" x14ac:dyDescent="0.2">
      <c r="BL34" s="9"/>
      <c r="BM34" s="9"/>
      <c r="BN34" s="9"/>
      <c r="BO34" s="9"/>
      <c r="BP34" s="9"/>
      <c r="BQ34" s="9"/>
      <c r="BR34" s="9"/>
      <c r="BS34" s="9"/>
      <c r="BT34" s="9"/>
      <c r="BU34" s="9"/>
    </row>
    <row r="35" spans="4:77" x14ac:dyDescent="0.2">
      <c r="BL35" s="9"/>
      <c r="BM35" s="9"/>
      <c r="BN35" s="9"/>
      <c r="BO35" s="9"/>
      <c r="BP35" s="9"/>
      <c r="BQ35" s="9"/>
      <c r="BR35" s="9"/>
      <c r="BS35" s="9"/>
      <c r="BT35" s="9"/>
      <c r="BU35" s="9"/>
    </row>
    <row r="36" spans="4:77" x14ac:dyDescent="0.2">
      <c r="BL36" s="9"/>
      <c r="BM36" s="9"/>
      <c r="BN36" s="9"/>
      <c r="BO36" s="9"/>
      <c r="BP36" s="9"/>
      <c r="BQ36" s="9"/>
      <c r="BR36" s="9"/>
      <c r="BS36" s="9"/>
      <c r="BT36" s="9"/>
      <c r="BU36" s="9"/>
    </row>
    <row r="37" spans="4:77" x14ac:dyDescent="0.2">
      <c r="BL37" s="9"/>
      <c r="BM37" s="9"/>
      <c r="BN37" s="9"/>
      <c r="BO37" s="9"/>
      <c r="BP37" s="9"/>
      <c r="BQ37" s="9"/>
      <c r="BR37" s="9"/>
      <c r="BS37" s="9"/>
      <c r="BT37" s="9"/>
      <c r="BU37" s="9"/>
    </row>
    <row r="38" spans="4:77" x14ac:dyDescent="0.2">
      <c r="BL38" s="9"/>
      <c r="BM38" s="9"/>
      <c r="BN38" s="9"/>
      <c r="BO38" s="9"/>
      <c r="BP38" s="9"/>
      <c r="BQ38" s="9"/>
      <c r="BR38" s="9"/>
      <c r="BS38" s="9"/>
      <c r="BT38" s="9"/>
      <c r="BU38" s="9"/>
    </row>
    <row r="39" spans="4:77" x14ac:dyDescent="0.2">
      <c r="BL39" s="9"/>
      <c r="BM39" s="9"/>
      <c r="BN39" s="9"/>
      <c r="BO39" s="9"/>
      <c r="BP39" s="9"/>
      <c r="BQ39" s="9"/>
      <c r="BR39" s="9"/>
      <c r="BS39" s="9"/>
      <c r="BT39" s="9"/>
      <c r="BU39" s="9"/>
    </row>
    <row r="40" spans="4:77" x14ac:dyDescent="0.2">
      <c r="BL40" s="9"/>
      <c r="BM40" s="9"/>
      <c r="BN40" s="9"/>
      <c r="BO40" s="9"/>
      <c r="BP40" s="9"/>
      <c r="BQ40" s="9"/>
      <c r="BR40" s="9"/>
      <c r="BS40" s="9"/>
      <c r="BT40" s="9"/>
      <c r="BU40" s="9"/>
    </row>
    <row r="41" spans="4:77" x14ac:dyDescent="0.2">
      <c r="BL41" s="9"/>
      <c r="BM41" s="9"/>
      <c r="BN41" s="9"/>
      <c r="BO41" s="9"/>
      <c r="BP41" s="9"/>
      <c r="BQ41" s="9"/>
      <c r="BR41" s="9"/>
      <c r="BS41" s="9"/>
      <c r="BT41" s="9"/>
      <c r="BU41" s="9"/>
    </row>
    <row r="42" spans="4:77" x14ac:dyDescent="0.2">
      <c r="BL42" s="9"/>
      <c r="BM42" s="9"/>
      <c r="BN42" s="9"/>
      <c r="BO42" s="9"/>
      <c r="BP42" s="9"/>
      <c r="BQ42" s="9"/>
      <c r="BR42" s="9"/>
      <c r="BS42" s="9"/>
      <c r="BT42" s="9"/>
      <c r="BU42" s="9"/>
    </row>
    <row r="43" spans="4:77" x14ac:dyDescent="0.2">
      <c r="BL43" s="9"/>
      <c r="BM43" s="9"/>
      <c r="BN43" s="9"/>
      <c r="BO43" s="9"/>
      <c r="BP43" s="9"/>
      <c r="BQ43" s="9"/>
      <c r="BR43" s="9"/>
      <c r="BS43" s="9"/>
      <c r="BT43" s="9"/>
      <c r="BU43" s="9"/>
    </row>
    <row r="44" spans="4:77" s="9" customFormat="1" x14ac:dyDescent="0.2">
      <c r="D44" s="22"/>
      <c r="AD44" s="22"/>
      <c r="AR44"/>
      <c r="AT44"/>
    </row>
    <row r="45" spans="4:77" s="9" customFormat="1" x14ac:dyDescent="0.2">
      <c r="D45" s="22"/>
      <c r="AD45" s="22"/>
    </row>
    <row r="46" spans="4:77" x14ac:dyDescent="0.2">
      <c r="BL46" s="9"/>
      <c r="BM46" s="9"/>
      <c r="BN46" s="9"/>
      <c r="BO46" s="9"/>
      <c r="BP46" s="9"/>
      <c r="BQ46" s="9"/>
      <c r="BR46" s="9"/>
      <c r="BS46" s="9"/>
      <c r="BT46" s="9"/>
      <c r="BU46" s="9"/>
    </row>
    <row r="47" spans="4:77" x14ac:dyDescent="0.2">
      <c r="BL47" s="9"/>
      <c r="BM47" s="9"/>
      <c r="BN47" s="9"/>
      <c r="BO47" s="9"/>
      <c r="BP47" s="9"/>
      <c r="BQ47" s="9"/>
      <c r="BR47" s="9"/>
      <c r="BS47" s="9"/>
      <c r="BT47" s="9"/>
      <c r="BU47" s="9"/>
    </row>
    <row r="48" spans="4:77" x14ac:dyDescent="0.2"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</row>
    <row r="49" spans="4:77" x14ac:dyDescent="0.2"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</row>
    <row r="50" spans="4:77" x14ac:dyDescent="0.2"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</row>
    <row r="51" spans="4:77" x14ac:dyDescent="0.2"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</row>
    <row r="52" spans="4:77" x14ac:dyDescent="0.2"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</row>
    <row r="53" spans="4:77" x14ac:dyDescent="0.2"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</row>
    <row r="54" spans="4:77" x14ac:dyDescent="0.2"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</row>
    <row r="55" spans="4:77" x14ac:dyDescent="0.2"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</row>
    <row r="56" spans="4:77" x14ac:dyDescent="0.2"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</row>
    <row r="57" spans="4:77" x14ac:dyDescent="0.2"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</row>
    <row r="58" spans="4:77" x14ac:dyDescent="0.2"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</row>
    <row r="59" spans="4:77" x14ac:dyDescent="0.2"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</row>
    <row r="60" spans="4:77" x14ac:dyDescent="0.2"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</row>
    <row r="61" spans="4:77" x14ac:dyDescent="0.2"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</row>
    <row r="62" spans="4:77" x14ac:dyDescent="0.2"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</row>
    <row r="63" spans="4:77" s="9" customFormat="1" x14ac:dyDescent="0.2">
      <c r="D63" s="22"/>
      <c r="AD63" s="22"/>
    </row>
    <row r="64" spans="4:77" x14ac:dyDescent="0.2"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</row>
    <row r="65" spans="64:77" x14ac:dyDescent="0.2"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</row>
    <row r="66" spans="64:77" x14ac:dyDescent="0.2"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</row>
    <row r="67" spans="64:77" x14ac:dyDescent="0.2"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</row>
    <row r="68" spans="64:77" x14ac:dyDescent="0.2"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</row>
    <row r="69" spans="64:77" x14ac:dyDescent="0.2"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</row>
    <row r="70" spans="64:77" x14ac:dyDescent="0.2"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</row>
    <row r="71" spans="64:77" x14ac:dyDescent="0.2"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</row>
    <row r="72" spans="64:77" x14ac:dyDescent="0.2"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</row>
    <row r="73" spans="64:77" x14ac:dyDescent="0.2"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</row>
    <row r="74" spans="64:77" x14ac:dyDescent="0.2"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</row>
    <row r="75" spans="64:77" x14ac:dyDescent="0.2"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</row>
    <row r="76" spans="64:77" x14ac:dyDescent="0.2"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</row>
    <row r="77" spans="64:77" x14ac:dyDescent="0.2"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</row>
    <row r="78" spans="64:77" x14ac:dyDescent="0.2"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</row>
    <row r="79" spans="64:77" x14ac:dyDescent="0.2"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</row>
    <row r="80" spans="64:77" x14ac:dyDescent="0.2"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</row>
    <row r="81" spans="4:77" s="9" customFormat="1" x14ac:dyDescent="0.2">
      <c r="D81" s="22"/>
      <c r="AD81" s="22"/>
    </row>
    <row r="82" spans="4:77" x14ac:dyDescent="0.2"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</row>
    <row r="83" spans="4:77" x14ac:dyDescent="0.2"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</row>
    <row r="84" spans="4:77" x14ac:dyDescent="0.2"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</row>
    <row r="85" spans="4:77" x14ac:dyDescent="0.2"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</row>
    <row r="86" spans="4:77" x14ac:dyDescent="0.2"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</row>
    <row r="87" spans="4:77" x14ac:dyDescent="0.2"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</row>
    <row r="88" spans="4:77" x14ac:dyDescent="0.2"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</row>
    <row r="89" spans="4:77" x14ac:dyDescent="0.2"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</row>
    <row r="90" spans="4:77" x14ac:dyDescent="0.2"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</row>
    <row r="91" spans="4:77" x14ac:dyDescent="0.2"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</row>
    <row r="92" spans="4:77" x14ac:dyDescent="0.2"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</row>
    <row r="93" spans="4:77" x14ac:dyDescent="0.2"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</row>
    <row r="94" spans="4:77" x14ac:dyDescent="0.2"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</row>
    <row r="95" spans="4:77" x14ac:dyDescent="0.2"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</row>
    <row r="96" spans="4:77" x14ac:dyDescent="0.2"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</row>
    <row r="97" spans="4:77" x14ac:dyDescent="0.2"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</row>
    <row r="98" spans="4:77" x14ac:dyDescent="0.2"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</row>
    <row r="99" spans="4:77" s="9" customFormat="1" x14ac:dyDescent="0.2">
      <c r="D99" s="22"/>
      <c r="AD99" s="22"/>
    </row>
    <row r="100" spans="4:77" s="9" customFormat="1" x14ac:dyDescent="0.2">
      <c r="D100" s="22"/>
      <c r="AD100" s="22"/>
    </row>
    <row r="101" spans="4:77" s="9" customFormat="1" x14ac:dyDescent="0.2">
      <c r="D101" s="22"/>
      <c r="AD101" s="22"/>
    </row>
    <row r="102" spans="4:77" s="9" customFormat="1" x14ac:dyDescent="0.2">
      <c r="D102" s="22"/>
      <c r="AD102" s="22"/>
    </row>
    <row r="103" spans="4:77" s="9" customFormat="1" x14ac:dyDescent="0.2">
      <c r="D103" s="22"/>
      <c r="AD103" s="22"/>
    </row>
    <row r="104" spans="4:77" s="9" customFormat="1" x14ac:dyDescent="0.2">
      <c r="D104" s="22"/>
      <c r="AD104" s="22"/>
    </row>
    <row r="105" spans="4:77" s="9" customFormat="1" x14ac:dyDescent="0.2">
      <c r="D105" s="22"/>
      <c r="AD105" s="22"/>
    </row>
    <row r="106" spans="4:77" s="9" customFormat="1" x14ac:dyDescent="0.2">
      <c r="D106" s="22"/>
      <c r="AD106" s="22"/>
    </row>
    <row r="107" spans="4:77" s="9" customFormat="1" x14ac:dyDescent="0.2">
      <c r="D107" s="22"/>
      <c r="AD107" s="22"/>
    </row>
    <row r="108" spans="4:77" s="9" customFormat="1" x14ac:dyDescent="0.2">
      <c r="D108" s="22"/>
      <c r="AD108" s="22"/>
    </row>
    <row r="109" spans="4:77" s="9" customFormat="1" x14ac:dyDescent="0.2">
      <c r="D109" s="22"/>
      <c r="AD109" s="22"/>
    </row>
    <row r="110" spans="4:77" s="9" customFormat="1" x14ac:dyDescent="0.2">
      <c r="D110" s="22"/>
      <c r="AD110" s="22"/>
    </row>
    <row r="111" spans="4:77" s="9" customFormat="1" x14ac:dyDescent="0.2">
      <c r="D111" s="22"/>
      <c r="AD111" s="22"/>
    </row>
    <row r="112" spans="4:77" s="9" customFormat="1" x14ac:dyDescent="0.2">
      <c r="D112" s="22"/>
      <c r="AD112" s="22"/>
    </row>
    <row r="113" spans="4:77" s="9" customFormat="1" x14ac:dyDescent="0.2">
      <c r="D113" s="22"/>
      <c r="AD113" s="22"/>
    </row>
    <row r="114" spans="4:77" s="9" customFormat="1" x14ac:dyDescent="0.2">
      <c r="D114" s="22"/>
      <c r="AD114" s="22"/>
    </row>
    <row r="115" spans="4:77" s="9" customFormat="1" x14ac:dyDescent="0.2">
      <c r="D115" s="22"/>
      <c r="AD115" s="22"/>
    </row>
    <row r="116" spans="4:77" s="9" customFormat="1" x14ac:dyDescent="0.2">
      <c r="D116" s="22"/>
      <c r="AD116" s="22"/>
    </row>
    <row r="117" spans="4:77" s="9" customFormat="1" x14ac:dyDescent="0.2">
      <c r="D117" s="22"/>
      <c r="V117" s="18"/>
      <c r="W117" s="18"/>
      <c r="X117" s="18"/>
      <c r="Y117" s="18"/>
      <c r="Z117" s="18"/>
      <c r="AA117" s="18"/>
      <c r="AB117" s="18"/>
      <c r="AC117" s="18"/>
      <c r="AD117" s="3"/>
      <c r="AE117" s="18"/>
      <c r="AH117" s="18"/>
      <c r="AI117" s="18"/>
      <c r="AJ117" s="18"/>
      <c r="AK117" s="18"/>
      <c r="AL117" s="18"/>
    </row>
    <row r="118" spans="4:77" x14ac:dyDescent="0.2">
      <c r="V118" s="33"/>
      <c r="W118" s="33"/>
      <c r="X118" s="33"/>
      <c r="Y118" s="33"/>
      <c r="Z118" s="33"/>
      <c r="AA118" s="33"/>
      <c r="AB118" s="33"/>
      <c r="AC118" s="33"/>
      <c r="AD118" s="124"/>
      <c r="AE118" s="33"/>
      <c r="AH118" s="33"/>
      <c r="AI118" s="33"/>
      <c r="AJ118" s="33"/>
      <c r="AK118" s="33"/>
      <c r="AL118" s="33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</row>
    <row r="119" spans="4:77" x14ac:dyDescent="0.2">
      <c r="V119" s="33"/>
      <c r="W119" s="33"/>
      <c r="X119" s="33"/>
      <c r="Y119" s="33"/>
      <c r="Z119" s="33"/>
      <c r="AA119" s="33"/>
      <c r="AB119" s="33"/>
      <c r="AC119" s="33"/>
      <c r="AD119" s="124"/>
      <c r="AE119" s="33"/>
      <c r="AH119" s="33"/>
      <c r="AI119" s="33"/>
      <c r="AJ119" s="33"/>
      <c r="AK119" s="33"/>
      <c r="AL119" s="33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</row>
    <row r="120" spans="4:77" x14ac:dyDescent="0.2">
      <c r="V120" s="33"/>
      <c r="W120" s="33"/>
      <c r="X120" s="33"/>
      <c r="Y120" s="33"/>
      <c r="Z120" s="33"/>
      <c r="AA120" s="33"/>
      <c r="AB120" s="33"/>
      <c r="AC120" s="33"/>
      <c r="AD120" s="124"/>
      <c r="AE120" s="33"/>
      <c r="AH120" s="33"/>
      <c r="AI120" s="33"/>
      <c r="AJ120" s="33"/>
      <c r="AK120" s="33"/>
      <c r="AL120" s="33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</row>
    <row r="121" spans="4:77" x14ac:dyDescent="0.2">
      <c r="V121" s="33"/>
      <c r="W121" s="33"/>
      <c r="X121" s="33"/>
      <c r="Y121" s="33"/>
      <c r="Z121" s="33"/>
      <c r="AA121" s="33"/>
      <c r="AB121" s="33"/>
      <c r="AC121" s="33"/>
      <c r="AD121" s="124"/>
      <c r="AE121" s="33"/>
      <c r="AH121" s="33"/>
      <c r="AI121" s="33"/>
      <c r="AJ121" s="33"/>
      <c r="AK121" s="33"/>
      <c r="AL121" s="33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</row>
    <row r="122" spans="4:77" x14ac:dyDescent="0.2">
      <c r="V122" s="33"/>
      <c r="W122" s="33"/>
      <c r="X122" s="33"/>
      <c r="Y122" s="33"/>
      <c r="Z122" s="33"/>
      <c r="AA122" s="33"/>
      <c r="AB122" s="33"/>
      <c r="AC122" s="33"/>
      <c r="AD122" s="124"/>
      <c r="AE122" s="33"/>
      <c r="AH122" s="33"/>
      <c r="AI122" s="33"/>
      <c r="AJ122" s="33"/>
      <c r="AK122" s="33"/>
      <c r="AL122" s="33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</row>
    <row r="123" spans="4:77" x14ac:dyDescent="0.2">
      <c r="V123" s="33"/>
      <c r="W123" s="33"/>
      <c r="X123" s="33"/>
      <c r="Y123" s="33"/>
      <c r="Z123" s="33"/>
      <c r="AA123" s="33"/>
      <c r="AB123" s="33"/>
      <c r="AC123" s="33"/>
      <c r="AD123" s="124"/>
      <c r="AE123" s="33"/>
      <c r="AH123" s="33"/>
      <c r="AI123" s="33"/>
      <c r="AJ123" s="33"/>
      <c r="AK123" s="33"/>
      <c r="AL123" s="33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</row>
    <row r="124" spans="4:77" x14ac:dyDescent="0.2">
      <c r="V124" s="33"/>
      <c r="W124" s="33"/>
      <c r="X124" s="33"/>
      <c r="Y124" s="33"/>
      <c r="Z124" s="33"/>
      <c r="AA124" s="33"/>
      <c r="AB124" s="33"/>
      <c r="AC124" s="33"/>
      <c r="AD124" s="124"/>
      <c r="AE124" s="33"/>
      <c r="AH124" s="33"/>
      <c r="AI124" s="33"/>
      <c r="AJ124" s="33"/>
      <c r="AK124" s="33"/>
      <c r="AL124" s="33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</row>
    <row r="125" spans="4:77" x14ac:dyDescent="0.2">
      <c r="V125" s="33"/>
      <c r="W125" s="33"/>
      <c r="X125" s="33"/>
      <c r="Y125" s="33"/>
      <c r="Z125" s="33"/>
      <c r="AA125" s="33"/>
      <c r="AB125" s="33"/>
      <c r="AC125" s="33"/>
      <c r="AD125" s="124"/>
      <c r="AE125" s="33"/>
      <c r="AH125" s="33"/>
      <c r="AI125" s="33"/>
      <c r="AJ125" s="33"/>
      <c r="AK125" s="33"/>
      <c r="AL125" s="33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</row>
    <row r="126" spans="4:77" x14ac:dyDescent="0.2">
      <c r="V126" s="33"/>
      <c r="W126" s="33"/>
      <c r="X126" s="33"/>
      <c r="Y126" s="33"/>
      <c r="Z126" s="33"/>
      <c r="AA126" s="33"/>
      <c r="AB126" s="33"/>
      <c r="AC126" s="33"/>
      <c r="AD126" s="124"/>
      <c r="AE126" s="33"/>
      <c r="AH126" s="33"/>
      <c r="AI126" s="33"/>
      <c r="AJ126" s="33"/>
      <c r="AK126" s="33"/>
      <c r="AL126" s="33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</row>
    <row r="127" spans="4:77" x14ac:dyDescent="0.2">
      <c r="V127" s="33"/>
      <c r="W127" s="33"/>
      <c r="X127" s="33"/>
      <c r="Y127" s="33"/>
      <c r="Z127" s="33"/>
      <c r="AA127" s="33"/>
      <c r="AB127" s="33"/>
      <c r="AC127" s="33"/>
      <c r="AD127" s="124"/>
      <c r="AE127" s="33"/>
      <c r="AH127" s="33"/>
      <c r="AI127" s="33"/>
      <c r="AJ127" s="33"/>
      <c r="AK127" s="33"/>
      <c r="AL127" s="33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</row>
    <row r="128" spans="4:77" x14ac:dyDescent="0.2">
      <c r="V128" s="33"/>
      <c r="W128" s="33"/>
      <c r="X128" s="33"/>
      <c r="Y128" s="33"/>
      <c r="Z128" s="33"/>
      <c r="AA128" s="33"/>
      <c r="AB128" s="33"/>
      <c r="AC128" s="33"/>
      <c r="AD128" s="124"/>
      <c r="AE128" s="33"/>
      <c r="AH128" s="33"/>
      <c r="AI128" s="33"/>
      <c r="AJ128" s="33"/>
      <c r="AK128" s="33"/>
      <c r="AL128" s="33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</row>
    <row r="129" spans="22:77" x14ac:dyDescent="0.2">
      <c r="V129" s="33"/>
      <c r="W129" s="33"/>
      <c r="X129" s="33"/>
      <c r="Y129" s="33"/>
      <c r="Z129" s="33"/>
      <c r="AA129" s="33"/>
      <c r="AB129" s="33"/>
      <c r="AC129" s="33"/>
      <c r="AD129" s="124"/>
      <c r="AE129" s="33"/>
      <c r="AH129" s="33"/>
      <c r="AI129" s="33"/>
      <c r="AJ129" s="33"/>
      <c r="AK129" s="33"/>
      <c r="AL129" s="33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</row>
    <row r="130" spans="22:77" x14ac:dyDescent="0.2">
      <c r="V130" s="33"/>
      <c r="W130" s="33"/>
      <c r="X130" s="33"/>
      <c r="Y130" s="33"/>
      <c r="Z130" s="33"/>
      <c r="AA130" s="33"/>
      <c r="AB130" s="33"/>
      <c r="AC130" s="33"/>
      <c r="AD130" s="124"/>
      <c r="AE130" s="33"/>
      <c r="AH130" s="33"/>
      <c r="AI130" s="33"/>
      <c r="AJ130" s="33"/>
      <c r="AK130" s="33"/>
      <c r="AL130" s="33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</row>
    <row r="131" spans="22:77" x14ac:dyDescent="0.2">
      <c r="V131" s="33"/>
      <c r="W131" s="33"/>
      <c r="X131" s="33"/>
      <c r="Y131" s="33"/>
      <c r="Z131" s="33"/>
      <c r="AA131" s="33"/>
      <c r="AB131" s="33"/>
      <c r="AC131" s="33"/>
      <c r="AD131" s="124"/>
      <c r="AE131" s="33"/>
      <c r="AH131" s="33"/>
      <c r="AI131" s="33"/>
      <c r="AJ131" s="33"/>
      <c r="AK131" s="33"/>
      <c r="AL131" s="33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</row>
    <row r="132" spans="22:77" x14ac:dyDescent="0.2">
      <c r="V132" s="33"/>
      <c r="W132" s="33"/>
      <c r="X132" s="33"/>
      <c r="Y132" s="33"/>
      <c r="Z132" s="33"/>
      <c r="AA132" s="33"/>
      <c r="AB132" s="33"/>
      <c r="AC132" s="33"/>
      <c r="AD132" s="124"/>
      <c r="AE132" s="33"/>
      <c r="AH132" s="33"/>
      <c r="AI132" s="33"/>
      <c r="AJ132" s="33"/>
      <c r="AK132" s="33"/>
      <c r="AL132" s="33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</row>
    <row r="133" spans="22:77" x14ac:dyDescent="0.2">
      <c r="V133" s="33"/>
      <c r="W133" s="33"/>
      <c r="X133" s="33"/>
      <c r="Y133" s="33"/>
      <c r="Z133" s="33"/>
      <c r="AA133" s="33"/>
      <c r="AB133" s="33"/>
      <c r="AC133" s="33"/>
      <c r="AD133" s="124"/>
      <c r="AE133" s="33"/>
      <c r="AH133" s="33"/>
      <c r="AI133" s="33"/>
      <c r="AJ133" s="33"/>
      <c r="AK133" s="33"/>
      <c r="AL133" s="33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</row>
    <row r="134" spans="22:77" x14ac:dyDescent="0.2">
      <c r="V134" s="33"/>
      <c r="W134" s="33"/>
      <c r="X134" s="33"/>
      <c r="Y134" s="33"/>
      <c r="Z134" s="33"/>
      <c r="AA134" s="33"/>
      <c r="AB134" s="33"/>
      <c r="AC134" s="33"/>
      <c r="AD134" s="124"/>
      <c r="AE134" s="33"/>
      <c r="AH134" s="33"/>
      <c r="AI134" s="33"/>
      <c r="AJ134" s="33"/>
      <c r="AK134" s="33"/>
      <c r="AL134" s="33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</row>
    <row r="135" spans="22:77" x14ac:dyDescent="0.2">
      <c r="V135" s="33"/>
      <c r="W135" s="33"/>
      <c r="X135" s="33"/>
      <c r="Y135" s="33"/>
      <c r="Z135" s="33"/>
      <c r="AA135" s="33"/>
      <c r="AB135" s="33"/>
      <c r="AC135" s="33"/>
      <c r="AD135" s="124"/>
      <c r="AE135" s="33"/>
      <c r="AH135" s="33"/>
      <c r="AI135" s="33"/>
      <c r="AJ135" s="33"/>
      <c r="AK135" s="33"/>
      <c r="AL135" s="33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</row>
    <row r="136" spans="22:77" x14ac:dyDescent="0.2">
      <c r="V136" s="33"/>
      <c r="W136" s="33"/>
      <c r="X136" s="33"/>
      <c r="Y136" s="33"/>
      <c r="Z136" s="33"/>
      <c r="AA136" s="33"/>
      <c r="AB136" s="33"/>
      <c r="AC136" s="33"/>
      <c r="AD136" s="124"/>
      <c r="AE136" s="33"/>
      <c r="AH136" s="33"/>
      <c r="AI136" s="33"/>
      <c r="AJ136" s="33"/>
      <c r="AK136" s="33"/>
      <c r="AL136" s="33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</row>
    <row r="137" spans="22:77" x14ac:dyDescent="0.2">
      <c r="V137" s="33"/>
      <c r="W137" s="33"/>
      <c r="X137" s="33"/>
      <c r="Y137" s="33"/>
      <c r="Z137" s="33"/>
      <c r="AA137" s="33"/>
      <c r="AB137" s="33"/>
      <c r="AC137" s="33"/>
      <c r="AD137" s="124"/>
      <c r="AE137" s="33"/>
      <c r="AH137" s="33"/>
      <c r="AI137" s="33"/>
      <c r="AJ137" s="33"/>
      <c r="AK137" s="33"/>
      <c r="AL137" s="33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</row>
    <row r="138" spans="22:77" x14ac:dyDescent="0.2">
      <c r="V138" s="33"/>
      <c r="W138" s="33"/>
      <c r="X138" s="33"/>
      <c r="Y138" s="33"/>
      <c r="Z138" s="33"/>
      <c r="AA138" s="33"/>
      <c r="AB138" s="33"/>
      <c r="AC138" s="33"/>
      <c r="AD138" s="124"/>
      <c r="AE138" s="33"/>
      <c r="AH138" s="33"/>
      <c r="AI138" s="33"/>
      <c r="AJ138" s="33"/>
      <c r="AK138" s="33"/>
      <c r="AL138" s="33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</row>
    <row r="139" spans="22:77" x14ac:dyDescent="0.2">
      <c r="V139" s="33"/>
      <c r="W139" s="33"/>
      <c r="X139" s="33"/>
      <c r="Y139" s="33"/>
      <c r="Z139" s="33"/>
      <c r="AA139" s="33"/>
      <c r="AB139" s="33"/>
      <c r="AC139" s="33"/>
      <c r="AD139" s="124"/>
      <c r="AE139" s="33"/>
      <c r="AH139" s="33"/>
      <c r="AI139" s="33"/>
      <c r="AJ139" s="33"/>
      <c r="AK139" s="33"/>
      <c r="AL139" s="33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</row>
    <row r="140" spans="22:77" x14ac:dyDescent="0.2">
      <c r="V140" s="33"/>
      <c r="W140" s="33"/>
      <c r="X140" s="33"/>
      <c r="Y140" s="33"/>
      <c r="Z140" s="33"/>
      <c r="AA140" s="33"/>
      <c r="AB140" s="33"/>
      <c r="AC140" s="33"/>
      <c r="AD140" s="124"/>
      <c r="AE140" s="33"/>
      <c r="AH140" s="33"/>
      <c r="AI140" s="33"/>
      <c r="AJ140" s="33"/>
      <c r="AK140" s="33"/>
      <c r="AL140" s="33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</row>
    <row r="141" spans="22:77" x14ac:dyDescent="0.2">
      <c r="V141" s="33"/>
      <c r="W141" s="33"/>
      <c r="X141" s="33"/>
      <c r="Y141" s="33"/>
      <c r="Z141" s="33"/>
      <c r="AA141" s="33"/>
      <c r="AB141" s="33"/>
      <c r="AC141" s="33"/>
      <c r="AD141" s="124"/>
      <c r="AE141" s="33"/>
      <c r="AH141" s="33"/>
      <c r="AI141" s="33"/>
      <c r="AJ141" s="33"/>
      <c r="AK141" s="33"/>
      <c r="AL141" s="33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</row>
    <row r="142" spans="22:77" x14ac:dyDescent="0.2">
      <c r="V142" s="33"/>
      <c r="W142" s="33"/>
      <c r="X142" s="33"/>
      <c r="Y142" s="33"/>
      <c r="Z142" s="33"/>
      <c r="AA142" s="33"/>
      <c r="AB142" s="33"/>
      <c r="AC142" s="33"/>
      <c r="AD142" s="124"/>
      <c r="AE142" s="33"/>
      <c r="AH142" s="33"/>
      <c r="AI142" s="33"/>
      <c r="AJ142" s="33"/>
      <c r="AK142" s="33"/>
      <c r="AL142" s="33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</row>
    <row r="143" spans="22:77" x14ac:dyDescent="0.2">
      <c r="V143" s="33"/>
      <c r="W143" s="33"/>
      <c r="X143" s="33"/>
      <c r="Y143" s="33"/>
      <c r="Z143" s="33"/>
      <c r="AA143" s="33"/>
      <c r="AB143" s="33"/>
      <c r="AC143" s="33"/>
      <c r="AD143" s="124"/>
      <c r="AE143" s="33"/>
      <c r="AH143" s="33"/>
      <c r="AI143" s="33"/>
      <c r="AJ143" s="33"/>
      <c r="AK143" s="33"/>
      <c r="AL143" s="33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</row>
    <row r="144" spans="22:77" x14ac:dyDescent="0.2">
      <c r="V144" s="33"/>
      <c r="W144" s="33"/>
      <c r="X144" s="33"/>
      <c r="Y144" s="33"/>
      <c r="Z144" s="33"/>
      <c r="AA144" s="33"/>
      <c r="AB144" s="33"/>
      <c r="AC144" s="33"/>
      <c r="AD144" s="124"/>
      <c r="AE144" s="33"/>
      <c r="AH144" s="33"/>
      <c r="AI144" s="33"/>
      <c r="AJ144" s="33"/>
      <c r="AK144" s="33"/>
      <c r="AL144" s="33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</row>
    <row r="145" spans="22:77" x14ac:dyDescent="0.2">
      <c r="V145" s="33"/>
      <c r="W145" s="33"/>
      <c r="X145" s="33"/>
      <c r="Y145" s="33"/>
      <c r="Z145" s="33"/>
      <c r="AA145" s="33"/>
      <c r="AB145" s="33"/>
      <c r="AC145" s="33"/>
      <c r="AD145" s="124"/>
      <c r="AE145" s="33"/>
      <c r="AH145" s="33"/>
      <c r="AI145" s="33"/>
      <c r="AJ145" s="33"/>
      <c r="AK145" s="33"/>
      <c r="AL145" s="33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</row>
    <row r="146" spans="22:77" x14ac:dyDescent="0.2">
      <c r="V146" s="33"/>
      <c r="W146" s="33"/>
      <c r="X146" s="33"/>
      <c r="Y146" s="33"/>
      <c r="Z146" s="33"/>
      <c r="AA146" s="33"/>
      <c r="AB146" s="33"/>
      <c r="AC146" s="33"/>
      <c r="AD146" s="124"/>
      <c r="AE146" s="33"/>
      <c r="AH146" s="33"/>
      <c r="AI146" s="33"/>
      <c r="AJ146" s="33"/>
      <c r="AK146" s="33"/>
      <c r="AL146" s="33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</row>
    <row r="147" spans="22:77" x14ac:dyDescent="0.2">
      <c r="V147" s="33"/>
      <c r="W147" s="33"/>
      <c r="X147" s="33"/>
      <c r="Y147" s="33"/>
      <c r="Z147" s="33"/>
      <c r="AA147" s="33"/>
      <c r="AB147" s="33"/>
      <c r="AC147" s="33"/>
      <c r="AD147" s="124"/>
      <c r="AE147" s="33"/>
      <c r="AH147" s="33"/>
      <c r="AI147" s="33"/>
      <c r="AJ147" s="33"/>
      <c r="AK147" s="33"/>
      <c r="AL147" s="33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</row>
    <row r="148" spans="22:77" x14ac:dyDescent="0.2">
      <c r="V148" s="33"/>
      <c r="W148" s="33"/>
      <c r="X148" s="33"/>
      <c r="Y148" s="33"/>
      <c r="Z148" s="33"/>
      <c r="AA148" s="33"/>
      <c r="AB148" s="33"/>
      <c r="AC148" s="33"/>
      <c r="AD148" s="124"/>
      <c r="AE148" s="33"/>
      <c r="AH148" s="33"/>
      <c r="AI148" s="33"/>
      <c r="AJ148" s="33"/>
      <c r="AK148" s="33"/>
      <c r="AL148" s="33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</row>
    <row r="149" spans="22:77" x14ac:dyDescent="0.2">
      <c r="V149" s="33"/>
      <c r="W149" s="33"/>
      <c r="X149" s="33"/>
      <c r="Y149" s="33"/>
      <c r="Z149" s="33"/>
      <c r="AA149" s="33"/>
      <c r="AB149" s="33"/>
      <c r="AC149" s="33"/>
      <c r="AD149" s="124"/>
      <c r="AE149" s="33"/>
      <c r="AH149" s="33"/>
      <c r="AI149" s="33"/>
      <c r="AJ149" s="33"/>
      <c r="AK149" s="33"/>
      <c r="AL149" s="33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</row>
    <row r="150" spans="22:77" x14ac:dyDescent="0.2">
      <c r="V150" s="33"/>
      <c r="W150" s="33"/>
      <c r="X150" s="33"/>
      <c r="Y150" s="33"/>
      <c r="Z150" s="33"/>
      <c r="AA150" s="33"/>
      <c r="AB150" s="33"/>
      <c r="AC150" s="33"/>
      <c r="AD150" s="124"/>
      <c r="AE150" s="33"/>
      <c r="AH150" s="33"/>
      <c r="AI150" s="33"/>
      <c r="AJ150" s="33"/>
      <c r="AK150" s="33"/>
      <c r="AL150" s="33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</row>
    <row r="151" spans="22:77" x14ac:dyDescent="0.2">
      <c r="V151" s="33"/>
      <c r="W151" s="33"/>
      <c r="X151" s="33"/>
      <c r="Y151" s="33"/>
      <c r="Z151" s="33"/>
      <c r="AA151" s="33"/>
      <c r="AB151" s="33"/>
      <c r="AC151" s="33"/>
      <c r="AD151" s="124"/>
      <c r="AE151" s="33"/>
      <c r="AH151" s="33"/>
      <c r="AI151" s="33"/>
      <c r="AJ151" s="33"/>
      <c r="AK151" s="33"/>
      <c r="AL151" s="33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</row>
    <row r="152" spans="22:77" x14ac:dyDescent="0.2">
      <c r="V152" s="33"/>
      <c r="W152" s="33"/>
      <c r="X152" s="33"/>
      <c r="Y152" s="33"/>
      <c r="Z152" s="33"/>
      <c r="AA152" s="33"/>
      <c r="AB152" s="33"/>
      <c r="AC152" s="33"/>
      <c r="AD152" s="124"/>
      <c r="AE152" s="33"/>
      <c r="AH152" s="33"/>
      <c r="AI152" s="33"/>
      <c r="AJ152" s="33"/>
      <c r="AK152" s="33"/>
      <c r="AL152" s="33"/>
    </row>
    <row r="153" spans="22:77" x14ac:dyDescent="0.2">
      <c r="V153" s="33"/>
      <c r="W153" s="33"/>
      <c r="X153" s="33"/>
      <c r="Y153" s="33"/>
      <c r="Z153" s="33"/>
      <c r="AA153" s="33"/>
      <c r="AB153" s="33"/>
      <c r="AC153" s="33"/>
      <c r="AD153" s="124"/>
      <c r="AE153" s="33"/>
      <c r="AH153" s="33"/>
      <c r="AI153" s="33"/>
      <c r="AJ153" s="33"/>
      <c r="AK153" s="33"/>
      <c r="AL153" s="33"/>
    </row>
    <row r="154" spans="22:77" x14ac:dyDescent="0.2">
      <c r="V154" s="33"/>
      <c r="W154" s="33"/>
      <c r="X154" s="33"/>
      <c r="Y154" s="33"/>
      <c r="Z154" s="33"/>
      <c r="AA154" s="33"/>
      <c r="AB154" s="33"/>
      <c r="AC154" s="33"/>
      <c r="AD154" s="124"/>
      <c r="AE154" s="33"/>
      <c r="AH154" s="33"/>
      <c r="AI154" s="33"/>
      <c r="AJ154" s="33"/>
      <c r="AK154" s="33"/>
      <c r="AL154" s="33"/>
    </row>
    <row r="155" spans="22:77" x14ac:dyDescent="0.2">
      <c r="V155" s="33"/>
      <c r="W155" s="33"/>
      <c r="X155" s="33"/>
      <c r="Y155" s="33"/>
      <c r="Z155" s="33"/>
      <c r="AA155" s="33"/>
      <c r="AB155" s="33"/>
      <c r="AC155" s="33"/>
      <c r="AD155" s="124"/>
      <c r="AE155" s="33"/>
      <c r="AH155" s="33"/>
      <c r="AI155" s="33"/>
      <c r="AJ155" s="33"/>
      <c r="AK155" s="33"/>
      <c r="AL155" s="33"/>
    </row>
    <row r="156" spans="22:77" x14ac:dyDescent="0.2">
      <c r="V156" s="33"/>
      <c r="W156" s="33"/>
      <c r="X156" s="33"/>
      <c r="Y156" s="33"/>
      <c r="Z156" s="33"/>
      <c r="AA156" s="33"/>
      <c r="AB156" s="33"/>
      <c r="AC156" s="33"/>
      <c r="AD156" s="124"/>
      <c r="AE156" s="33"/>
      <c r="AH156" s="33"/>
      <c r="AI156" s="33"/>
      <c r="AJ156" s="33"/>
      <c r="AK156" s="33"/>
      <c r="AL156" s="33"/>
    </row>
    <row r="157" spans="22:77" x14ac:dyDescent="0.2">
      <c r="V157" s="33"/>
      <c r="W157" s="33"/>
      <c r="X157" s="33"/>
      <c r="Y157" s="33"/>
      <c r="Z157" s="33"/>
      <c r="AA157" s="33"/>
      <c r="AB157" s="33"/>
      <c r="AC157" s="33"/>
      <c r="AD157" s="124"/>
      <c r="AE157" s="33"/>
      <c r="AH157" s="33"/>
      <c r="AI157" s="33"/>
      <c r="AJ157" s="33"/>
      <c r="AK157" s="33"/>
      <c r="AL157" s="33"/>
    </row>
    <row r="158" spans="22:77" x14ac:dyDescent="0.2">
      <c r="V158" s="33"/>
      <c r="W158" s="33"/>
      <c r="X158" s="33"/>
      <c r="Y158" s="33"/>
      <c r="Z158" s="33"/>
      <c r="AA158" s="33"/>
      <c r="AB158" s="33"/>
      <c r="AC158" s="33"/>
      <c r="AD158" s="124"/>
      <c r="AE158" s="33"/>
      <c r="AH158" s="33"/>
      <c r="AI158" s="33"/>
      <c r="AJ158" s="33"/>
      <c r="AK158" s="33"/>
      <c r="AL158" s="33"/>
    </row>
    <row r="159" spans="22:77" x14ac:dyDescent="0.2">
      <c r="V159" s="33"/>
      <c r="W159" s="33"/>
      <c r="X159" s="33"/>
      <c r="Y159" s="33"/>
      <c r="Z159" s="33"/>
      <c r="AA159" s="33"/>
      <c r="AB159" s="33"/>
      <c r="AC159" s="33"/>
      <c r="AD159" s="124"/>
      <c r="AE159" s="33"/>
      <c r="AH159" s="33"/>
      <c r="AI159" s="33"/>
      <c r="AJ159" s="33"/>
      <c r="AK159" s="33"/>
      <c r="AL159" s="33"/>
    </row>
    <row r="160" spans="22:77" x14ac:dyDescent="0.2">
      <c r="V160" s="33"/>
      <c r="W160" s="33"/>
      <c r="X160" s="33"/>
      <c r="Y160" s="33"/>
      <c r="Z160" s="33"/>
      <c r="AA160" s="33"/>
      <c r="AB160" s="33"/>
      <c r="AC160" s="33"/>
      <c r="AD160" s="124"/>
      <c r="AE160" s="33"/>
      <c r="AH160" s="33"/>
      <c r="AI160" s="33"/>
      <c r="AJ160" s="33"/>
      <c r="AK160" s="33"/>
      <c r="AL160" s="33"/>
    </row>
    <row r="161" spans="22:38" x14ac:dyDescent="0.2">
      <c r="V161" s="33"/>
      <c r="W161" s="33"/>
      <c r="X161" s="33"/>
      <c r="Y161" s="33"/>
      <c r="Z161" s="33"/>
      <c r="AA161" s="33"/>
      <c r="AB161" s="33"/>
      <c r="AC161" s="33"/>
      <c r="AD161" s="124"/>
      <c r="AE161" s="33"/>
      <c r="AH161" s="33"/>
      <c r="AI161" s="33"/>
      <c r="AJ161" s="33"/>
      <c r="AK161" s="33"/>
      <c r="AL161" s="33"/>
    </row>
    <row r="162" spans="22:38" x14ac:dyDescent="0.2">
      <c r="V162" s="33"/>
      <c r="W162" s="33"/>
      <c r="X162" s="33"/>
      <c r="Y162" s="33"/>
      <c r="Z162" s="33"/>
      <c r="AA162" s="33"/>
      <c r="AB162" s="33"/>
      <c r="AC162" s="33"/>
      <c r="AD162" s="124"/>
      <c r="AE162" s="33"/>
      <c r="AH162" s="33"/>
      <c r="AI162" s="33"/>
      <c r="AJ162" s="33"/>
      <c r="AK162" s="33"/>
      <c r="AL162" s="33"/>
    </row>
    <row r="163" spans="22:38" x14ac:dyDescent="0.2">
      <c r="V163" s="33"/>
      <c r="W163" s="33"/>
      <c r="X163" s="33"/>
      <c r="Y163" s="33"/>
      <c r="Z163" s="33"/>
      <c r="AA163" s="33"/>
      <c r="AB163" s="33"/>
      <c r="AC163" s="33"/>
      <c r="AD163" s="124"/>
      <c r="AE163" s="33"/>
      <c r="AH163" s="33"/>
      <c r="AI163" s="33"/>
      <c r="AJ163" s="33"/>
      <c r="AK163" s="33"/>
      <c r="AL163" s="33"/>
    </row>
    <row r="164" spans="22:38" x14ac:dyDescent="0.2">
      <c r="V164" s="33"/>
      <c r="W164" s="33"/>
      <c r="X164" s="33"/>
      <c r="Y164" s="33"/>
      <c r="Z164" s="33"/>
      <c r="AA164" s="33"/>
      <c r="AB164" s="33"/>
      <c r="AC164" s="33"/>
      <c r="AD164" s="124"/>
      <c r="AE164" s="33"/>
      <c r="AH164" s="33"/>
      <c r="AI164" s="33"/>
      <c r="AJ164" s="33"/>
      <c r="AK164" s="33"/>
      <c r="AL164" s="33"/>
    </row>
    <row r="165" spans="22:38" x14ac:dyDescent="0.2">
      <c r="V165" s="33"/>
      <c r="W165" s="33"/>
      <c r="X165" s="33"/>
      <c r="Y165" s="33"/>
      <c r="Z165" s="33"/>
      <c r="AA165" s="33"/>
      <c r="AB165" s="33"/>
      <c r="AC165" s="33"/>
      <c r="AD165" s="124"/>
      <c r="AE165" s="33"/>
      <c r="AH165" s="33"/>
      <c r="AI165" s="33"/>
      <c r="AJ165" s="33"/>
      <c r="AK165" s="33"/>
      <c r="AL165" s="33"/>
    </row>
    <row r="166" spans="22:38" x14ac:dyDescent="0.2">
      <c r="V166" s="33"/>
      <c r="W166" s="33"/>
      <c r="X166" s="33"/>
      <c r="Y166" s="33"/>
      <c r="Z166" s="33"/>
      <c r="AA166" s="33"/>
      <c r="AB166" s="33"/>
      <c r="AC166" s="33"/>
      <c r="AD166" s="124"/>
      <c r="AE166" s="33"/>
      <c r="AH166" s="33"/>
      <c r="AI166" s="33"/>
      <c r="AJ166" s="33"/>
      <c r="AK166" s="33"/>
      <c r="AL166" s="33"/>
    </row>
    <row r="167" spans="22:38" x14ac:dyDescent="0.2">
      <c r="V167" s="33"/>
      <c r="W167" s="33"/>
      <c r="X167" s="33"/>
      <c r="Y167" s="33"/>
      <c r="Z167" s="33"/>
      <c r="AA167" s="33"/>
      <c r="AB167" s="33"/>
      <c r="AC167" s="33"/>
      <c r="AD167" s="124"/>
      <c r="AE167" s="33"/>
      <c r="AH167" s="33"/>
      <c r="AI167" s="33"/>
      <c r="AJ167" s="33"/>
      <c r="AK167" s="33"/>
      <c r="AL167" s="33"/>
    </row>
    <row r="168" spans="22:38" x14ac:dyDescent="0.2">
      <c r="V168" s="33"/>
      <c r="W168" s="33"/>
      <c r="X168" s="33"/>
      <c r="Y168" s="33"/>
      <c r="Z168" s="33"/>
      <c r="AA168" s="33"/>
      <c r="AB168" s="33"/>
      <c r="AC168" s="33"/>
      <c r="AD168" s="124"/>
      <c r="AE168" s="33"/>
      <c r="AH168" s="33"/>
      <c r="AI168" s="33"/>
      <c r="AJ168" s="33"/>
      <c r="AK168" s="33"/>
      <c r="AL168" s="33"/>
    </row>
    <row r="169" spans="22:38" x14ac:dyDescent="0.2">
      <c r="V169" s="33"/>
      <c r="W169" s="33"/>
      <c r="X169" s="33"/>
      <c r="Y169" s="33"/>
      <c r="Z169" s="33"/>
      <c r="AA169" s="33"/>
      <c r="AB169" s="33"/>
      <c r="AC169" s="33"/>
      <c r="AD169" s="124"/>
      <c r="AE169" s="33"/>
      <c r="AH169" s="33"/>
      <c r="AI169" s="33"/>
      <c r="AJ169" s="33"/>
      <c r="AK169" s="33"/>
      <c r="AL169" s="33"/>
    </row>
    <row r="170" spans="22:38" x14ac:dyDescent="0.2">
      <c r="V170" s="33"/>
      <c r="W170" s="33"/>
      <c r="X170" s="33"/>
      <c r="Y170" s="33"/>
      <c r="Z170" s="33"/>
      <c r="AA170" s="33"/>
      <c r="AB170" s="33"/>
      <c r="AC170" s="33"/>
      <c r="AD170" s="124"/>
      <c r="AE170" s="33"/>
      <c r="AH170" s="33"/>
      <c r="AI170" s="33"/>
      <c r="AJ170" s="33"/>
      <c r="AK170" s="33"/>
      <c r="AL170" s="33"/>
    </row>
    <row r="171" spans="22:38" x14ac:dyDescent="0.2">
      <c r="V171" s="33"/>
      <c r="W171" s="33"/>
      <c r="X171" s="33"/>
      <c r="Y171" s="33"/>
      <c r="Z171" s="33"/>
      <c r="AA171" s="33"/>
      <c r="AB171" s="33"/>
      <c r="AC171" s="33"/>
      <c r="AD171" s="124"/>
      <c r="AE171" s="33"/>
      <c r="AH171" s="33"/>
      <c r="AI171" s="33"/>
      <c r="AJ171" s="33"/>
      <c r="AK171" s="33"/>
      <c r="AL171" s="33"/>
    </row>
    <row r="172" spans="22:38" x14ac:dyDescent="0.2">
      <c r="V172" s="33"/>
      <c r="W172" s="33"/>
      <c r="X172" s="33"/>
      <c r="Y172" s="33"/>
      <c r="Z172" s="33"/>
      <c r="AA172" s="33"/>
      <c r="AB172" s="33"/>
      <c r="AC172" s="33"/>
      <c r="AD172" s="124"/>
      <c r="AE172" s="33"/>
      <c r="AH172" s="33"/>
      <c r="AI172" s="33"/>
      <c r="AJ172" s="33"/>
      <c r="AK172" s="33"/>
      <c r="AL172" s="33"/>
    </row>
    <row r="173" spans="22:38" x14ac:dyDescent="0.2">
      <c r="V173" s="33"/>
      <c r="W173" s="33"/>
      <c r="X173" s="33"/>
      <c r="Y173" s="33"/>
      <c r="Z173" s="33"/>
      <c r="AA173" s="33"/>
      <c r="AB173" s="33"/>
      <c r="AC173" s="33"/>
      <c r="AD173" s="124"/>
      <c r="AE173" s="33"/>
      <c r="AH173" s="33"/>
      <c r="AI173" s="33"/>
      <c r="AJ173" s="33"/>
      <c r="AK173" s="33"/>
      <c r="AL173" s="33"/>
    </row>
    <row r="174" spans="22:38" x14ac:dyDescent="0.2">
      <c r="V174" s="33"/>
      <c r="W174" s="33"/>
      <c r="X174" s="33"/>
      <c r="Y174" s="33"/>
      <c r="Z174" s="33"/>
      <c r="AA174" s="33"/>
      <c r="AB174" s="33"/>
      <c r="AC174" s="33"/>
      <c r="AD174" s="124"/>
      <c r="AE174" s="33"/>
      <c r="AH174" s="33"/>
      <c r="AI174" s="33"/>
      <c r="AJ174" s="33"/>
      <c r="AK174" s="33"/>
      <c r="AL174" s="33"/>
    </row>
    <row r="175" spans="22:38" x14ac:dyDescent="0.2">
      <c r="V175" s="33"/>
      <c r="W175" s="33"/>
      <c r="X175" s="33"/>
      <c r="Y175" s="33"/>
      <c r="Z175" s="33"/>
      <c r="AA175" s="33"/>
      <c r="AB175" s="33"/>
      <c r="AC175" s="33"/>
      <c r="AD175" s="124"/>
      <c r="AE175" s="33"/>
      <c r="AH175" s="33"/>
      <c r="AI175" s="33"/>
      <c r="AJ175" s="33"/>
      <c r="AK175" s="33"/>
      <c r="AL175" s="33"/>
    </row>
    <row r="176" spans="22:38" x14ac:dyDescent="0.2">
      <c r="V176" s="33"/>
      <c r="W176" s="33"/>
      <c r="X176" s="33"/>
      <c r="Y176" s="33"/>
      <c r="Z176" s="33"/>
      <c r="AA176" s="33"/>
      <c r="AB176" s="33"/>
      <c r="AC176" s="33"/>
      <c r="AD176" s="124"/>
      <c r="AE176" s="33"/>
      <c r="AH176" s="33"/>
      <c r="AI176" s="33"/>
      <c r="AJ176" s="33"/>
      <c r="AK176" s="33"/>
      <c r="AL176" s="33"/>
    </row>
    <row r="177" spans="22:38" x14ac:dyDescent="0.2">
      <c r="V177" s="33"/>
      <c r="W177" s="33"/>
      <c r="X177" s="33"/>
      <c r="Y177" s="33"/>
      <c r="Z177" s="33"/>
      <c r="AA177" s="33"/>
      <c r="AB177" s="33"/>
      <c r="AC177" s="33"/>
      <c r="AD177" s="124"/>
      <c r="AE177" s="33"/>
      <c r="AH177" s="33"/>
      <c r="AI177" s="33"/>
      <c r="AJ177" s="33"/>
      <c r="AK177" s="33"/>
      <c r="AL177" s="33"/>
    </row>
    <row r="178" spans="22:38" x14ac:dyDescent="0.2">
      <c r="V178" s="33"/>
      <c r="W178" s="33"/>
      <c r="X178" s="33"/>
      <c r="Y178" s="33"/>
      <c r="Z178" s="33"/>
      <c r="AA178" s="33"/>
      <c r="AB178" s="33"/>
      <c r="AC178" s="33"/>
      <c r="AD178" s="124"/>
      <c r="AE178" s="33"/>
      <c r="AH178" s="33"/>
      <c r="AI178" s="33"/>
      <c r="AJ178" s="33"/>
      <c r="AK178" s="33"/>
      <c r="AL178" s="33"/>
    </row>
    <row r="179" spans="22:38" x14ac:dyDescent="0.2">
      <c r="V179" s="33"/>
      <c r="W179" s="33"/>
      <c r="X179" s="33"/>
      <c r="Y179" s="33"/>
      <c r="Z179" s="33"/>
      <c r="AA179" s="33"/>
      <c r="AB179" s="33"/>
      <c r="AC179" s="33"/>
      <c r="AD179" s="124"/>
      <c r="AE179" s="33"/>
      <c r="AH179" s="33"/>
      <c r="AI179" s="33"/>
      <c r="AJ179" s="33"/>
      <c r="AK179" s="33"/>
      <c r="AL179" s="33"/>
    </row>
    <row r="180" spans="22:38" x14ac:dyDescent="0.2">
      <c r="V180" s="33"/>
      <c r="W180" s="33"/>
      <c r="X180" s="33"/>
      <c r="Y180" s="33"/>
      <c r="Z180" s="33"/>
      <c r="AA180" s="33"/>
      <c r="AB180" s="33"/>
      <c r="AC180" s="33"/>
      <c r="AD180" s="124"/>
      <c r="AE180" s="33"/>
      <c r="AH180" s="33"/>
      <c r="AI180" s="33"/>
      <c r="AJ180" s="33"/>
      <c r="AK180" s="33"/>
      <c r="AL180" s="33"/>
    </row>
    <row r="181" spans="22:38" x14ac:dyDescent="0.2">
      <c r="V181" s="33"/>
      <c r="W181" s="33"/>
      <c r="X181" s="33"/>
      <c r="Y181" s="33"/>
      <c r="Z181" s="33"/>
      <c r="AA181" s="33"/>
      <c r="AB181" s="33"/>
      <c r="AC181" s="33"/>
      <c r="AD181" s="124"/>
      <c r="AE181" s="33"/>
      <c r="AH181" s="33"/>
      <c r="AI181" s="33"/>
      <c r="AJ181" s="33"/>
      <c r="AK181" s="33"/>
      <c r="AL181" s="33"/>
    </row>
    <row r="182" spans="22:38" x14ac:dyDescent="0.2">
      <c r="V182" s="33"/>
      <c r="W182" s="33"/>
      <c r="X182" s="33"/>
      <c r="Y182" s="33"/>
      <c r="Z182" s="33"/>
      <c r="AA182" s="33"/>
      <c r="AB182" s="33"/>
      <c r="AC182" s="33"/>
      <c r="AD182" s="124"/>
      <c r="AE182" s="33"/>
      <c r="AH182" s="33"/>
      <c r="AI182" s="33"/>
      <c r="AJ182" s="33"/>
      <c r="AK182" s="33"/>
      <c r="AL182" s="33"/>
    </row>
    <row r="183" spans="22:38" x14ac:dyDescent="0.2">
      <c r="V183" s="33"/>
      <c r="W183" s="33"/>
      <c r="X183" s="33"/>
      <c r="Y183" s="33"/>
      <c r="Z183" s="33"/>
      <c r="AA183" s="33"/>
      <c r="AB183" s="33"/>
      <c r="AC183" s="33"/>
      <c r="AD183" s="124"/>
      <c r="AE183" s="33"/>
      <c r="AH183" s="33"/>
      <c r="AI183" s="33"/>
      <c r="AJ183" s="33"/>
      <c r="AK183" s="33"/>
      <c r="AL183" s="33"/>
    </row>
    <row r="184" spans="22:38" x14ac:dyDescent="0.2">
      <c r="V184" s="33"/>
      <c r="W184" s="33"/>
      <c r="X184" s="33"/>
      <c r="Y184" s="33"/>
      <c r="Z184" s="33"/>
      <c r="AA184" s="33"/>
      <c r="AB184" s="33"/>
      <c r="AC184" s="33"/>
      <c r="AD184" s="124"/>
      <c r="AE184" s="33"/>
      <c r="AH184" s="33"/>
      <c r="AI184" s="33"/>
      <c r="AJ184" s="33"/>
      <c r="AK184" s="33"/>
      <c r="AL184" s="33"/>
    </row>
    <row r="185" spans="22:38" x14ac:dyDescent="0.2">
      <c r="V185" s="33"/>
      <c r="W185" s="33"/>
      <c r="X185" s="33"/>
      <c r="Y185" s="33"/>
      <c r="Z185" s="33"/>
      <c r="AA185" s="33"/>
      <c r="AB185" s="33"/>
      <c r="AC185" s="33"/>
      <c r="AD185" s="124"/>
      <c r="AE185" s="33"/>
      <c r="AH185" s="33"/>
      <c r="AI185" s="33"/>
      <c r="AJ185" s="33"/>
      <c r="AK185" s="33"/>
      <c r="AL185" s="33"/>
    </row>
    <row r="186" spans="22:38" x14ac:dyDescent="0.2">
      <c r="V186" s="33"/>
      <c r="W186" s="33"/>
      <c r="X186" s="33"/>
      <c r="Y186" s="33"/>
      <c r="Z186" s="33"/>
      <c r="AA186" s="33"/>
      <c r="AB186" s="33"/>
      <c r="AC186" s="33"/>
      <c r="AD186" s="124"/>
      <c r="AE186" s="33"/>
      <c r="AH186" s="33"/>
      <c r="AI186" s="33"/>
      <c r="AJ186" s="33"/>
      <c r="AK186" s="33"/>
      <c r="AL186" s="33"/>
    </row>
    <row r="187" spans="22:38" x14ac:dyDescent="0.2">
      <c r="V187" s="33"/>
      <c r="W187" s="33"/>
      <c r="X187" s="33"/>
      <c r="Y187" s="33"/>
      <c r="Z187" s="33"/>
      <c r="AA187" s="33"/>
      <c r="AB187" s="33"/>
      <c r="AC187" s="33"/>
      <c r="AD187" s="124"/>
      <c r="AE187" s="33"/>
      <c r="AH187" s="33"/>
      <c r="AI187" s="33"/>
      <c r="AJ187" s="33"/>
      <c r="AK187" s="33"/>
      <c r="AL187" s="33"/>
    </row>
    <row r="188" spans="22:38" x14ac:dyDescent="0.2">
      <c r="V188" s="33"/>
      <c r="W188" s="33"/>
      <c r="X188" s="33"/>
      <c r="Y188" s="33"/>
      <c r="Z188" s="33"/>
      <c r="AA188" s="33"/>
      <c r="AB188" s="33"/>
      <c r="AC188" s="33"/>
      <c r="AD188" s="124"/>
      <c r="AE188" s="33"/>
      <c r="AH188" s="33"/>
      <c r="AI188" s="33"/>
      <c r="AJ188" s="33"/>
      <c r="AK188" s="33"/>
      <c r="AL188" s="33"/>
    </row>
    <row r="189" spans="22:38" x14ac:dyDescent="0.2">
      <c r="V189" s="33"/>
      <c r="W189" s="33"/>
      <c r="X189" s="33"/>
      <c r="Y189" s="33"/>
      <c r="Z189" s="33"/>
      <c r="AA189" s="33"/>
      <c r="AB189" s="33"/>
      <c r="AC189" s="33"/>
      <c r="AD189" s="124"/>
      <c r="AE189" s="33"/>
      <c r="AH189" s="33"/>
      <c r="AI189" s="33"/>
      <c r="AJ189" s="33"/>
      <c r="AK189" s="33"/>
      <c r="AL189" s="33"/>
    </row>
    <row r="190" spans="22:38" x14ac:dyDescent="0.2">
      <c r="V190" s="33"/>
      <c r="W190" s="33"/>
      <c r="X190" s="33"/>
      <c r="Y190" s="33"/>
      <c r="Z190" s="33"/>
      <c r="AA190" s="33"/>
      <c r="AB190" s="33"/>
      <c r="AC190" s="33"/>
      <c r="AD190" s="124"/>
      <c r="AE190" s="33"/>
      <c r="AH190" s="33"/>
      <c r="AI190" s="33"/>
      <c r="AJ190" s="33"/>
      <c r="AK190" s="33"/>
      <c r="AL190" s="33"/>
    </row>
    <row r="191" spans="22:38" x14ac:dyDescent="0.2">
      <c r="V191" s="33"/>
      <c r="W191" s="33"/>
      <c r="X191" s="33"/>
      <c r="Y191" s="33"/>
      <c r="Z191" s="33"/>
      <c r="AA191" s="33"/>
      <c r="AB191" s="33"/>
      <c r="AC191" s="33"/>
      <c r="AD191" s="124"/>
      <c r="AE191" s="33"/>
      <c r="AH191" s="33"/>
      <c r="AI191" s="33"/>
      <c r="AJ191" s="33"/>
      <c r="AK191" s="33"/>
      <c r="AL191" s="33"/>
    </row>
    <row r="192" spans="22:38" x14ac:dyDescent="0.2">
      <c r="V192" s="33"/>
      <c r="W192" s="33"/>
      <c r="X192" s="33"/>
      <c r="Y192" s="33"/>
      <c r="Z192" s="33"/>
      <c r="AA192" s="33"/>
      <c r="AB192" s="33"/>
      <c r="AC192" s="33"/>
      <c r="AD192" s="124"/>
      <c r="AE192" s="33"/>
      <c r="AH192" s="33"/>
      <c r="AI192" s="33"/>
      <c r="AJ192" s="33"/>
      <c r="AK192" s="33"/>
      <c r="AL192" s="33"/>
    </row>
    <row r="193" spans="22:38" x14ac:dyDescent="0.2">
      <c r="V193" s="33"/>
      <c r="W193" s="33"/>
      <c r="X193" s="33"/>
      <c r="Y193" s="33"/>
      <c r="Z193" s="33"/>
      <c r="AA193" s="33"/>
      <c r="AB193" s="33"/>
      <c r="AC193" s="33"/>
      <c r="AD193" s="124"/>
      <c r="AE193" s="33"/>
      <c r="AH193" s="33"/>
      <c r="AI193" s="33"/>
      <c r="AJ193" s="33"/>
      <c r="AK193" s="33"/>
      <c r="AL193" s="33"/>
    </row>
    <row r="194" spans="22:38" x14ac:dyDescent="0.2">
      <c r="V194" s="33"/>
      <c r="W194" s="33"/>
      <c r="X194" s="33"/>
      <c r="Y194" s="33"/>
      <c r="Z194" s="33"/>
      <c r="AA194" s="33"/>
      <c r="AB194" s="33"/>
      <c r="AC194" s="33"/>
      <c r="AD194" s="124"/>
      <c r="AE194" s="33"/>
      <c r="AH194" s="33"/>
      <c r="AI194" s="33"/>
      <c r="AJ194" s="33"/>
      <c r="AK194" s="33"/>
      <c r="AL194" s="33"/>
    </row>
    <row r="195" spans="22:38" x14ac:dyDescent="0.2">
      <c r="V195" s="33"/>
      <c r="W195" s="33"/>
      <c r="X195" s="33"/>
      <c r="Y195" s="33"/>
      <c r="Z195" s="33"/>
      <c r="AA195" s="33"/>
      <c r="AB195" s="33"/>
      <c r="AC195" s="33"/>
      <c r="AD195" s="124"/>
      <c r="AE195" s="33"/>
      <c r="AH195" s="33"/>
      <c r="AI195" s="33"/>
      <c r="AJ195" s="33"/>
      <c r="AK195" s="33"/>
      <c r="AL195" s="33"/>
    </row>
    <row r="196" spans="22:38" x14ac:dyDescent="0.2">
      <c r="V196" s="33"/>
      <c r="W196" s="33"/>
      <c r="X196" s="33"/>
      <c r="Y196" s="33"/>
      <c r="Z196" s="33"/>
      <c r="AA196" s="33"/>
      <c r="AB196" s="33"/>
      <c r="AC196" s="33"/>
      <c r="AD196" s="124"/>
      <c r="AE196" s="33"/>
      <c r="AH196" s="33"/>
      <c r="AI196" s="33"/>
      <c r="AJ196" s="33"/>
      <c r="AK196" s="33"/>
      <c r="AL196" s="33"/>
    </row>
    <row r="197" spans="22:38" x14ac:dyDescent="0.2">
      <c r="V197" s="33"/>
      <c r="W197" s="33"/>
      <c r="X197" s="33"/>
      <c r="Y197" s="33"/>
      <c r="Z197" s="33"/>
      <c r="AA197" s="33"/>
      <c r="AB197" s="33"/>
      <c r="AC197" s="33"/>
      <c r="AD197" s="124"/>
      <c r="AE197" s="33"/>
      <c r="AH197" s="33"/>
      <c r="AI197" s="33"/>
      <c r="AJ197" s="33"/>
      <c r="AK197" s="33"/>
      <c r="AL197" s="33"/>
    </row>
    <row r="198" spans="22:38" x14ac:dyDescent="0.2">
      <c r="V198" s="33"/>
      <c r="W198" s="33"/>
      <c r="X198" s="33"/>
      <c r="Y198" s="33"/>
      <c r="Z198" s="33"/>
      <c r="AA198" s="33"/>
      <c r="AB198" s="33"/>
      <c r="AC198" s="33"/>
      <c r="AD198" s="124"/>
      <c r="AE198" s="33"/>
      <c r="AH198" s="33"/>
      <c r="AI198" s="33"/>
      <c r="AJ198" s="33"/>
      <c r="AK198" s="33"/>
      <c r="AL198" s="33"/>
    </row>
    <row r="199" spans="22:38" x14ac:dyDescent="0.2">
      <c r="V199" s="33"/>
      <c r="W199" s="33"/>
      <c r="X199" s="33"/>
      <c r="Y199" s="33"/>
      <c r="Z199" s="33"/>
      <c r="AA199" s="33"/>
      <c r="AB199" s="33"/>
      <c r="AC199" s="33"/>
      <c r="AD199" s="124"/>
      <c r="AE199" s="33"/>
      <c r="AH199" s="33"/>
      <c r="AI199" s="33"/>
      <c r="AJ199" s="33"/>
      <c r="AK199" s="33"/>
      <c r="AL199" s="33"/>
    </row>
    <row r="200" spans="22:38" x14ac:dyDescent="0.2">
      <c r="V200" s="33"/>
      <c r="W200" s="33"/>
      <c r="X200" s="33"/>
      <c r="Y200" s="33"/>
      <c r="Z200" s="33"/>
      <c r="AA200" s="33"/>
      <c r="AB200" s="33"/>
      <c r="AC200" s="33"/>
      <c r="AD200" s="124"/>
      <c r="AE200" s="33"/>
      <c r="AH200" s="33"/>
      <c r="AI200" s="33"/>
      <c r="AJ200" s="33"/>
      <c r="AK200" s="33"/>
      <c r="AL200" s="33"/>
    </row>
    <row r="201" spans="22:38" x14ac:dyDescent="0.2">
      <c r="V201" s="33"/>
      <c r="W201" s="33"/>
      <c r="X201" s="33"/>
      <c r="Y201" s="33"/>
      <c r="Z201" s="33"/>
      <c r="AA201" s="33"/>
      <c r="AB201" s="33"/>
      <c r="AC201" s="33"/>
      <c r="AD201" s="124"/>
      <c r="AE201" s="33"/>
      <c r="AH201" s="33"/>
      <c r="AI201" s="33"/>
      <c r="AJ201" s="33"/>
      <c r="AK201" s="33"/>
      <c r="AL201" s="33"/>
    </row>
    <row r="202" spans="22:38" x14ac:dyDescent="0.2">
      <c r="V202" s="33"/>
      <c r="W202" s="33"/>
      <c r="X202" s="33"/>
      <c r="Y202" s="33"/>
      <c r="Z202" s="33"/>
      <c r="AA202" s="33"/>
      <c r="AB202" s="33"/>
      <c r="AC202" s="33"/>
      <c r="AD202" s="124"/>
      <c r="AE202" s="33"/>
      <c r="AH202" s="33"/>
      <c r="AI202" s="33"/>
      <c r="AJ202" s="33"/>
      <c r="AK202" s="33"/>
      <c r="AL202" s="33"/>
    </row>
    <row r="203" spans="22:38" x14ac:dyDescent="0.2">
      <c r="V203" s="33"/>
      <c r="W203" s="33"/>
      <c r="X203" s="33"/>
      <c r="Y203" s="33"/>
      <c r="Z203" s="33"/>
      <c r="AA203" s="33"/>
      <c r="AB203" s="33"/>
      <c r="AC203" s="33"/>
      <c r="AD203" s="124"/>
      <c r="AE203" s="33"/>
      <c r="AH203" s="33"/>
      <c r="AI203" s="33"/>
      <c r="AJ203" s="33"/>
      <c r="AK203" s="33"/>
      <c r="AL203" s="33"/>
    </row>
    <row r="204" spans="22:38" x14ac:dyDescent="0.2">
      <c r="V204" s="33"/>
      <c r="W204" s="33"/>
      <c r="X204" s="33"/>
      <c r="Y204" s="33"/>
      <c r="Z204" s="33"/>
      <c r="AA204" s="33"/>
      <c r="AB204" s="33"/>
      <c r="AC204" s="33"/>
      <c r="AD204" s="124"/>
      <c r="AE204" s="33"/>
      <c r="AH204" s="33"/>
      <c r="AI204" s="33"/>
      <c r="AJ204" s="33"/>
      <c r="AK204" s="33"/>
      <c r="AL204" s="33"/>
    </row>
    <row r="205" spans="22:38" x14ac:dyDescent="0.2">
      <c r="V205" s="33"/>
      <c r="W205" s="33"/>
      <c r="X205" s="33"/>
      <c r="Y205" s="33"/>
      <c r="Z205" s="33"/>
      <c r="AA205" s="33"/>
      <c r="AB205" s="33"/>
      <c r="AC205" s="33"/>
      <c r="AD205" s="124"/>
      <c r="AE205" s="33"/>
      <c r="AH205" s="33"/>
      <c r="AI205" s="33"/>
      <c r="AJ205" s="33"/>
      <c r="AK205" s="33"/>
      <c r="AL205" s="33"/>
    </row>
    <row r="206" spans="22:38" x14ac:dyDescent="0.2">
      <c r="V206" s="33"/>
      <c r="W206" s="33"/>
      <c r="X206" s="33"/>
      <c r="Y206" s="33"/>
      <c r="Z206" s="33"/>
      <c r="AA206" s="33"/>
      <c r="AB206" s="33"/>
      <c r="AC206" s="33"/>
      <c r="AD206" s="124"/>
      <c r="AE206" s="33"/>
      <c r="AH206" s="33"/>
      <c r="AI206" s="33"/>
      <c r="AJ206" s="33"/>
      <c r="AK206" s="33"/>
      <c r="AL206" s="33"/>
    </row>
    <row r="207" spans="22:38" x14ac:dyDescent="0.2">
      <c r="V207" s="33"/>
      <c r="W207" s="33"/>
      <c r="X207" s="33"/>
      <c r="Y207" s="33"/>
      <c r="Z207" s="33"/>
      <c r="AA207" s="33"/>
      <c r="AB207" s="33"/>
      <c r="AC207" s="33"/>
      <c r="AD207" s="124"/>
      <c r="AE207" s="33"/>
      <c r="AH207" s="33"/>
      <c r="AI207" s="33"/>
      <c r="AJ207" s="33"/>
      <c r="AK207" s="33"/>
      <c r="AL207" s="33"/>
    </row>
    <row r="208" spans="22:38" x14ac:dyDescent="0.2">
      <c r="V208" s="33"/>
      <c r="W208" s="33"/>
      <c r="X208" s="33"/>
      <c r="Y208" s="33"/>
      <c r="Z208" s="33"/>
      <c r="AA208" s="33"/>
      <c r="AB208" s="33"/>
      <c r="AC208" s="33"/>
      <c r="AD208" s="124"/>
      <c r="AE208" s="33"/>
      <c r="AH208" s="33"/>
      <c r="AI208" s="33"/>
      <c r="AJ208" s="33"/>
      <c r="AK208" s="33"/>
      <c r="AL208" s="33"/>
    </row>
    <row r="209" spans="22:38" x14ac:dyDescent="0.2">
      <c r="V209" s="33"/>
      <c r="W209" s="33"/>
      <c r="X209" s="33"/>
      <c r="Y209" s="33"/>
      <c r="Z209" s="33"/>
      <c r="AA209" s="33"/>
      <c r="AB209" s="33"/>
      <c r="AC209" s="33"/>
      <c r="AD209" s="124"/>
      <c r="AE209" s="33"/>
      <c r="AH209" s="33"/>
      <c r="AI209" s="33"/>
      <c r="AJ209" s="33"/>
      <c r="AK209" s="33"/>
      <c r="AL209" s="33"/>
    </row>
    <row r="210" spans="22:38" x14ac:dyDescent="0.2">
      <c r="V210" s="33"/>
      <c r="W210" s="33"/>
      <c r="X210" s="33"/>
      <c r="Y210" s="33"/>
      <c r="Z210" s="33"/>
      <c r="AA210" s="33"/>
      <c r="AB210" s="33"/>
      <c r="AC210" s="33"/>
      <c r="AD210" s="124"/>
      <c r="AE210" s="33"/>
      <c r="AH210" s="33"/>
      <c r="AI210" s="33"/>
      <c r="AJ210" s="33"/>
      <c r="AK210" s="33"/>
      <c r="AL210" s="33"/>
    </row>
    <row r="211" spans="22:38" x14ac:dyDescent="0.2">
      <c r="V211" s="33"/>
      <c r="W211" s="33"/>
      <c r="X211" s="33"/>
      <c r="Y211" s="33"/>
      <c r="Z211" s="33"/>
      <c r="AA211" s="33"/>
      <c r="AB211" s="33"/>
      <c r="AC211" s="33"/>
      <c r="AD211" s="124"/>
      <c r="AE211" s="33"/>
      <c r="AH211" s="33"/>
      <c r="AI211" s="33"/>
      <c r="AJ211" s="33"/>
      <c r="AK211" s="33"/>
      <c r="AL211" s="33"/>
    </row>
    <row r="212" spans="22:38" x14ac:dyDescent="0.2">
      <c r="V212" s="33"/>
      <c r="W212" s="33"/>
      <c r="X212" s="33"/>
      <c r="Y212" s="33"/>
      <c r="Z212" s="33"/>
      <c r="AA212" s="33"/>
      <c r="AB212" s="33"/>
      <c r="AC212" s="33"/>
      <c r="AD212" s="124"/>
      <c r="AE212" s="33"/>
      <c r="AH212" s="33"/>
      <c r="AI212" s="33"/>
      <c r="AJ212" s="33"/>
      <c r="AK212" s="33"/>
      <c r="AL212" s="33"/>
    </row>
    <row r="213" spans="22:38" x14ac:dyDescent="0.2">
      <c r="V213" s="33"/>
      <c r="W213" s="33"/>
      <c r="X213" s="33"/>
      <c r="Y213" s="33"/>
      <c r="Z213" s="33"/>
      <c r="AA213" s="33"/>
      <c r="AB213" s="33"/>
      <c r="AC213" s="33"/>
      <c r="AD213" s="124"/>
      <c r="AE213" s="33"/>
      <c r="AH213" s="33"/>
      <c r="AI213" s="33"/>
      <c r="AJ213" s="33"/>
      <c r="AK213" s="33"/>
      <c r="AL213" s="33"/>
    </row>
    <row r="214" spans="22:38" x14ac:dyDescent="0.2">
      <c r="V214" s="33"/>
      <c r="W214" s="33"/>
      <c r="X214" s="33"/>
      <c r="Y214" s="33"/>
      <c r="Z214" s="33"/>
      <c r="AA214" s="33"/>
      <c r="AB214" s="33"/>
      <c r="AC214" s="33"/>
      <c r="AD214" s="124"/>
      <c r="AE214" s="33"/>
      <c r="AH214" s="33"/>
      <c r="AI214" s="33"/>
      <c r="AJ214" s="33"/>
      <c r="AK214" s="33"/>
      <c r="AL214" s="33"/>
    </row>
    <row r="215" spans="22:38" x14ac:dyDescent="0.2">
      <c r="V215" s="33"/>
      <c r="W215" s="33"/>
      <c r="X215" s="33"/>
      <c r="Y215" s="33"/>
      <c r="Z215" s="33"/>
      <c r="AA215" s="33"/>
      <c r="AB215" s="33"/>
      <c r="AC215" s="33"/>
      <c r="AD215" s="124"/>
      <c r="AE215" s="33"/>
      <c r="AH215" s="33"/>
      <c r="AI215" s="33"/>
      <c r="AJ215" s="33"/>
      <c r="AK215" s="33"/>
      <c r="AL215" s="33"/>
    </row>
    <row r="216" spans="22:38" x14ac:dyDescent="0.2">
      <c r="V216" s="33"/>
      <c r="W216" s="33"/>
      <c r="X216" s="33"/>
      <c r="Y216" s="33"/>
      <c r="Z216" s="33"/>
      <c r="AA216" s="33"/>
      <c r="AB216" s="33"/>
      <c r="AC216" s="33"/>
      <c r="AD216" s="124"/>
      <c r="AE216" s="33"/>
      <c r="AH216" s="33"/>
      <c r="AI216" s="33"/>
      <c r="AJ216" s="33"/>
      <c r="AK216" s="33"/>
      <c r="AL216" s="33"/>
    </row>
    <row r="217" spans="22:38" x14ac:dyDescent="0.2">
      <c r="V217" s="33"/>
      <c r="W217" s="33"/>
      <c r="X217" s="33"/>
      <c r="Y217" s="33"/>
      <c r="Z217" s="33"/>
      <c r="AA217" s="33"/>
      <c r="AB217" s="33"/>
      <c r="AC217" s="33"/>
      <c r="AD217" s="124"/>
      <c r="AE217" s="33"/>
      <c r="AH217" s="33"/>
      <c r="AI217" s="33"/>
      <c r="AJ217" s="33"/>
      <c r="AK217" s="33"/>
      <c r="AL217" s="33"/>
    </row>
    <row r="218" spans="22:38" x14ac:dyDescent="0.2">
      <c r="V218" s="33"/>
      <c r="W218" s="33"/>
      <c r="X218" s="33"/>
      <c r="Y218" s="33"/>
      <c r="Z218" s="33"/>
      <c r="AA218" s="33"/>
      <c r="AB218" s="33"/>
      <c r="AC218" s="33"/>
      <c r="AD218" s="124"/>
      <c r="AE218" s="33"/>
      <c r="AH218" s="33"/>
      <c r="AI218" s="33"/>
      <c r="AJ218" s="33"/>
      <c r="AK218" s="33"/>
      <c r="AL218" s="33"/>
    </row>
    <row r="219" spans="22:38" x14ac:dyDescent="0.2">
      <c r="V219" s="33"/>
      <c r="W219" s="33"/>
      <c r="X219" s="33"/>
      <c r="Y219" s="33"/>
      <c r="Z219" s="33"/>
      <c r="AA219" s="33"/>
      <c r="AB219" s="33"/>
      <c r="AC219" s="33"/>
      <c r="AD219" s="124"/>
      <c r="AE219" s="33"/>
      <c r="AH219" s="33"/>
      <c r="AI219" s="33"/>
      <c r="AJ219" s="33"/>
      <c r="AK219" s="33"/>
      <c r="AL219" s="33"/>
    </row>
    <row r="220" spans="22:38" x14ac:dyDescent="0.2">
      <c r="V220" s="33"/>
      <c r="W220" s="33"/>
      <c r="X220" s="33"/>
      <c r="Y220" s="33"/>
      <c r="Z220" s="33"/>
      <c r="AA220" s="33"/>
      <c r="AB220" s="33"/>
      <c r="AC220" s="33"/>
      <c r="AD220" s="124"/>
      <c r="AE220" s="33"/>
      <c r="AH220" s="33"/>
      <c r="AI220" s="33"/>
      <c r="AJ220" s="33"/>
      <c r="AK220" s="33"/>
      <c r="AL220" s="33"/>
    </row>
    <row r="221" spans="22:38" x14ac:dyDescent="0.2">
      <c r="V221" s="33"/>
      <c r="W221" s="33"/>
      <c r="X221" s="33"/>
      <c r="Y221" s="33"/>
      <c r="Z221" s="33"/>
      <c r="AA221" s="33"/>
      <c r="AB221" s="33"/>
      <c r="AC221" s="33"/>
      <c r="AD221" s="124"/>
      <c r="AE221" s="33"/>
      <c r="AH221" s="33"/>
      <c r="AI221" s="33"/>
      <c r="AJ221" s="33"/>
      <c r="AK221" s="33"/>
      <c r="AL221" s="33"/>
    </row>
    <row r="222" spans="22:38" x14ac:dyDescent="0.2">
      <c r="V222" s="33"/>
      <c r="W222" s="33"/>
      <c r="X222" s="33"/>
      <c r="Y222" s="33"/>
      <c r="Z222" s="33"/>
      <c r="AA222" s="33"/>
      <c r="AB222" s="33"/>
      <c r="AC222" s="33"/>
      <c r="AD222" s="124"/>
      <c r="AE222" s="33"/>
      <c r="AH222" s="33"/>
      <c r="AI222" s="33"/>
      <c r="AJ222" s="33"/>
      <c r="AK222" s="33"/>
      <c r="AL222" s="33"/>
    </row>
    <row r="223" spans="22:38" x14ac:dyDescent="0.2">
      <c r="V223" s="33"/>
      <c r="W223" s="33"/>
      <c r="X223" s="33"/>
      <c r="Y223" s="33"/>
      <c r="Z223" s="33"/>
      <c r="AA223" s="33"/>
      <c r="AB223" s="33"/>
      <c r="AC223" s="33"/>
      <c r="AD223" s="124"/>
      <c r="AE223" s="33"/>
      <c r="AH223" s="33"/>
      <c r="AI223" s="33"/>
      <c r="AJ223" s="33"/>
      <c r="AK223" s="33"/>
      <c r="AL223" s="33"/>
    </row>
    <row r="224" spans="22:38" x14ac:dyDescent="0.2">
      <c r="V224" s="33"/>
      <c r="W224" s="33"/>
      <c r="X224" s="33"/>
      <c r="Y224" s="33"/>
      <c r="Z224" s="33"/>
      <c r="AA224" s="33"/>
      <c r="AB224" s="33"/>
      <c r="AC224" s="33"/>
      <c r="AD224" s="124"/>
      <c r="AE224" s="33"/>
      <c r="AH224" s="33"/>
      <c r="AI224" s="33"/>
      <c r="AJ224" s="33"/>
      <c r="AK224" s="33"/>
      <c r="AL224" s="33"/>
    </row>
    <row r="225" spans="22:38" x14ac:dyDescent="0.2">
      <c r="V225" s="33"/>
      <c r="W225" s="33"/>
      <c r="X225" s="33"/>
      <c r="Y225" s="33"/>
      <c r="Z225" s="33"/>
      <c r="AA225" s="33"/>
      <c r="AB225" s="33"/>
      <c r="AC225" s="33"/>
      <c r="AD225" s="124"/>
      <c r="AE225" s="33"/>
      <c r="AH225" s="33"/>
      <c r="AI225" s="33"/>
      <c r="AJ225" s="33"/>
      <c r="AK225" s="33"/>
      <c r="AL225" s="33"/>
    </row>
    <row r="226" spans="22:38" x14ac:dyDescent="0.2">
      <c r="V226" s="33"/>
      <c r="W226" s="33"/>
      <c r="X226" s="33"/>
      <c r="Y226" s="33"/>
      <c r="Z226" s="33"/>
      <c r="AA226" s="33"/>
      <c r="AB226" s="33"/>
      <c r="AC226" s="33"/>
      <c r="AD226" s="124"/>
      <c r="AE226" s="33"/>
      <c r="AH226" s="33"/>
      <c r="AI226" s="33"/>
      <c r="AJ226" s="33"/>
      <c r="AK226" s="33"/>
      <c r="AL226" s="33"/>
    </row>
    <row r="227" spans="22:38" x14ac:dyDescent="0.2">
      <c r="V227" s="33"/>
      <c r="W227" s="33"/>
      <c r="X227" s="33"/>
      <c r="Y227" s="33"/>
      <c r="Z227" s="33"/>
      <c r="AA227" s="33"/>
      <c r="AB227" s="33"/>
      <c r="AC227" s="33"/>
      <c r="AD227" s="124"/>
      <c r="AE227" s="33"/>
      <c r="AH227" s="33"/>
      <c r="AI227" s="33"/>
      <c r="AJ227" s="33"/>
      <c r="AK227" s="33"/>
      <c r="AL227" s="33"/>
    </row>
    <row r="228" spans="22:38" x14ac:dyDescent="0.2">
      <c r="V228" s="33"/>
      <c r="W228" s="33"/>
      <c r="X228" s="33"/>
      <c r="Y228" s="33"/>
      <c r="Z228" s="33"/>
      <c r="AA228" s="33"/>
      <c r="AB228" s="33"/>
      <c r="AC228" s="33"/>
      <c r="AD228" s="124"/>
      <c r="AE228" s="33"/>
      <c r="AH228" s="33"/>
      <c r="AI228" s="33"/>
      <c r="AJ228" s="33"/>
      <c r="AK228" s="33"/>
      <c r="AL228" s="33"/>
    </row>
    <row r="229" spans="22:38" x14ac:dyDescent="0.2">
      <c r="V229" s="33"/>
      <c r="W229" s="33"/>
      <c r="X229" s="33"/>
      <c r="Y229" s="33"/>
      <c r="Z229" s="33"/>
      <c r="AA229" s="33"/>
      <c r="AB229" s="33"/>
      <c r="AC229" s="33"/>
      <c r="AD229" s="124"/>
      <c r="AE229" s="33"/>
      <c r="AH229" s="33"/>
      <c r="AI229" s="33"/>
      <c r="AJ229" s="33"/>
      <c r="AK229" s="33"/>
      <c r="AL229" s="33"/>
    </row>
    <row r="230" spans="22:38" x14ac:dyDescent="0.2">
      <c r="V230" s="33"/>
      <c r="W230" s="33"/>
      <c r="X230" s="33"/>
      <c r="Y230" s="33"/>
      <c r="Z230" s="33"/>
      <c r="AA230" s="33"/>
      <c r="AB230" s="33"/>
      <c r="AC230" s="33"/>
      <c r="AD230" s="124"/>
      <c r="AE230" s="33"/>
      <c r="AH230" s="33"/>
      <c r="AI230" s="33"/>
      <c r="AJ230" s="33"/>
      <c r="AK230" s="33"/>
      <c r="AL230" s="33"/>
    </row>
    <row r="231" spans="22:38" x14ac:dyDescent="0.2">
      <c r="V231" s="33"/>
      <c r="W231" s="33"/>
      <c r="X231" s="33"/>
      <c r="Y231" s="33"/>
      <c r="Z231" s="33"/>
      <c r="AA231" s="33"/>
      <c r="AB231" s="33"/>
      <c r="AC231" s="33"/>
      <c r="AD231" s="124"/>
      <c r="AE231" s="33"/>
      <c r="AH231" s="33"/>
      <c r="AI231" s="33"/>
      <c r="AJ231" s="33"/>
      <c r="AK231" s="33"/>
      <c r="AL231" s="33"/>
    </row>
    <row r="232" spans="22:38" x14ac:dyDescent="0.2">
      <c r="V232" s="33"/>
      <c r="W232" s="33"/>
      <c r="X232" s="33"/>
      <c r="Y232" s="33"/>
      <c r="Z232" s="33"/>
      <c r="AA232" s="33"/>
      <c r="AB232" s="33"/>
      <c r="AC232" s="33"/>
      <c r="AD232" s="124"/>
      <c r="AE232" s="33"/>
      <c r="AH232" s="33"/>
      <c r="AI232" s="33"/>
      <c r="AJ232" s="33"/>
      <c r="AK232" s="33"/>
      <c r="AL232" s="33"/>
    </row>
    <row r="233" spans="22:38" x14ac:dyDescent="0.2">
      <c r="V233" s="33"/>
      <c r="W233" s="33"/>
      <c r="X233" s="33"/>
      <c r="Y233" s="33"/>
      <c r="Z233" s="33"/>
      <c r="AA233" s="33"/>
      <c r="AB233" s="33"/>
      <c r="AC233" s="33"/>
      <c r="AD233" s="124"/>
      <c r="AE233" s="33"/>
      <c r="AH233" s="33"/>
      <c r="AI233" s="33"/>
      <c r="AJ233" s="33"/>
      <c r="AK233" s="33"/>
      <c r="AL233" s="33"/>
    </row>
    <row r="234" spans="22:38" x14ac:dyDescent="0.2">
      <c r="V234" s="33"/>
      <c r="W234" s="33"/>
      <c r="X234" s="33"/>
      <c r="Y234" s="33"/>
      <c r="Z234" s="33"/>
      <c r="AA234" s="33"/>
      <c r="AB234" s="33"/>
      <c r="AC234" s="33"/>
      <c r="AD234" s="124"/>
      <c r="AE234" s="33"/>
      <c r="AH234" s="33"/>
      <c r="AI234" s="33"/>
      <c r="AJ234" s="33"/>
      <c r="AK234" s="33"/>
      <c r="AL234" s="33"/>
    </row>
    <row r="235" spans="22:38" x14ac:dyDescent="0.2">
      <c r="V235" s="33"/>
      <c r="W235" s="33"/>
      <c r="X235" s="33"/>
      <c r="Y235" s="33"/>
      <c r="Z235" s="33"/>
      <c r="AA235" s="33"/>
      <c r="AB235" s="33"/>
      <c r="AC235" s="33"/>
      <c r="AD235" s="124"/>
      <c r="AE235" s="33"/>
      <c r="AH235" s="33"/>
      <c r="AI235" s="33"/>
      <c r="AJ235" s="33"/>
      <c r="AK235" s="33"/>
      <c r="AL235" s="33"/>
    </row>
    <row r="236" spans="22:38" x14ac:dyDescent="0.2">
      <c r="V236" s="33"/>
      <c r="W236" s="33"/>
      <c r="X236" s="33"/>
      <c r="Y236" s="33"/>
      <c r="Z236" s="33"/>
      <c r="AA236" s="33"/>
      <c r="AB236" s="33"/>
      <c r="AC236" s="33"/>
      <c r="AD236" s="124"/>
      <c r="AE236" s="33"/>
      <c r="AH236" s="33"/>
      <c r="AI236" s="33"/>
      <c r="AJ236" s="33"/>
      <c r="AK236" s="33"/>
      <c r="AL236" s="33"/>
    </row>
    <row r="237" spans="22:38" x14ac:dyDescent="0.2">
      <c r="V237" s="33"/>
      <c r="W237" s="33"/>
      <c r="X237" s="33"/>
      <c r="Y237" s="33"/>
      <c r="Z237" s="33"/>
      <c r="AA237" s="33"/>
      <c r="AB237" s="33"/>
      <c r="AC237" s="33"/>
      <c r="AD237" s="124"/>
      <c r="AE237" s="33"/>
      <c r="AH237" s="33"/>
      <c r="AI237" s="33"/>
      <c r="AJ237" s="33"/>
      <c r="AK237" s="33"/>
      <c r="AL237" s="33"/>
    </row>
    <row r="238" spans="22:38" x14ac:dyDescent="0.2">
      <c r="V238" s="33"/>
      <c r="W238" s="33"/>
      <c r="X238" s="33"/>
      <c r="Y238" s="33"/>
      <c r="Z238" s="33"/>
      <c r="AA238" s="33"/>
      <c r="AB238" s="33"/>
      <c r="AC238" s="33"/>
      <c r="AD238" s="124"/>
      <c r="AE238" s="33"/>
      <c r="AH238" s="33"/>
      <c r="AI238" s="33"/>
      <c r="AJ238" s="33"/>
      <c r="AK238" s="33"/>
      <c r="AL238" s="33"/>
    </row>
    <row r="239" spans="22:38" x14ac:dyDescent="0.2">
      <c r="V239" s="33"/>
      <c r="W239" s="33"/>
      <c r="X239" s="33"/>
      <c r="Y239" s="33"/>
      <c r="Z239" s="33"/>
      <c r="AA239" s="33"/>
      <c r="AB239" s="33"/>
      <c r="AC239" s="33"/>
      <c r="AD239" s="124"/>
      <c r="AE239" s="33"/>
      <c r="AH239" s="33"/>
      <c r="AI239" s="33"/>
      <c r="AJ239" s="33"/>
      <c r="AK239" s="33"/>
      <c r="AL239" s="33"/>
    </row>
    <row r="240" spans="22:38" x14ac:dyDescent="0.2">
      <c r="V240" s="33"/>
      <c r="W240" s="33"/>
      <c r="X240" s="33"/>
      <c r="Y240" s="33"/>
      <c r="Z240" s="33"/>
      <c r="AA240" s="33"/>
      <c r="AB240" s="33"/>
      <c r="AC240" s="33"/>
      <c r="AD240" s="124"/>
      <c r="AE240" s="33"/>
      <c r="AH240" s="33"/>
      <c r="AI240" s="33"/>
      <c r="AJ240" s="33"/>
      <c r="AK240" s="33"/>
      <c r="AL240" s="33"/>
    </row>
    <row r="241" spans="22:38" x14ac:dyDescent="0.2">
      <c r="V241" s="33"/>
      <c r="W241" s="33"/>
      <c r="X241" s="33"/>
      <c r="Y241" s="33"/>
      <c r="Z241" s="33"/>
      <c r="AA241" s="33"/>
      <c r="AB241" s="33"/>
      <c r="AC241" s="33"/>
      <c r="AD241" s="124"/>
      <c r="AE241" s="33"/>
      <c r="AH241" s="33"/>
      <c r="AI241" s="33"/>
      <c r="AJ241" s="33"/>
      <c r="AK241" s="33"/>
      <c r="AL241" s="33"/>
    </row>
    <row r="242" spans="22:38" x14ac:dyDescent="0.2">
      <c r="V242" s="33"/>
      <c r="W242" s="33"/>
      <c r="X242" s="33"/>
      <c r="Y242" s="33"/>
      <c r="Z242" s="33"/>
      <c r="AA242" s="33"/>
      <c r="AB242" s="33"/>
      <c r="AC242" s="33"/>
      <c r="AD242" s="124"/>
      <c r="AE242" s="33"/>
      <c r="AH242" s="33"/>
      <c r="AI242" s="33"/>
      <c r="AJ242" s="33"/>
      <c r="AK242" s="33"/>
      <c r="AL242" s="33"/>
    </row>
    <row r="243" spans="22:38" x14ac:dyDescent="0.2">
      <c r="V243" s="33"/>
      <c r="W243" s="33"/>
      <c r="X243" s="33"/>
      <c r="Y243" s="33"/>
      <c r="Z243" s="33"/>
      <c r="AA243" s="33"/>
      <c r="AB243" s="33"/>
      <c r="AC243" s="33"/>
      <c r="AD243" s="124"/>
      <c r="AE243" s="33"/>
      <c r="AH243" s="33"/>
      <c r="AI243" s="33"/>
      <c r="AJ243" s="33"/>
      <c r="AK243" s="33"/>
      <c r="AL243" s="33"/>
    </row>
    <row r="244" spans="22:38" x14ac:dyDescent="0.2">
      <c r="V244" s="33"/>
      <c r="W244" s="33"/>
      <c r="X244" s="33"/>
      <c r="Y244" s="33"/>
      <c r="Z244" s="33"/>
      <c r="AA244" s="33"/>
      <c r="AB244" s="33"/>
      <c r="AC244" s="33"/>
      <c r="AD244" s="124"/>
      <c r="AE244" s="33"/>
      <c r="AH244" s="33"/>
      <c r="AI244" s="33"/>
      <c r="AJ244" s="33"/>
      <c r="AK244" s="33"/>
      <c r="AL244" s="33"/>
    </row>
    <row r="245" spans="22:38" x14ac:dyDescent="0.2">
      <c r="V245" s="33"/>
      <c r="W245" s="33"/>
      <c r="X245" s="33"/>
      <c r="Y245" s="33"/>
      <c r="Z245" s="33"/>
      <c r="AA245" s="33"/>
      <c r="AB245" s="33"/>
      <c r="AC245" s="33"/>
      <c r="AD245" s="124"/>
      <c r="AE245" s="33"/>
      <c r="AH245" s="33"/>
      <c r="AI245" s="33"/>
      <c r="AJ245" s="33"/>
      <c r="AK245" s="33"/>
      <c r="AL245" s="33"/>
    </row>
    <row r="246" spans="22:38" x14ac:dyDescent="0.2">
      <c r="V246" s="33"/>
      <c r="W246" s="33"/>
      <c r="X246" s="33"/>
      <c r="Y246" s="33"/>
      <c r="Z246" s="33"/>
      <c r="AA246" s="33"/>
      <c r="AB246" s="33"/>
      <c r="AC246" s="33"/>
      <c r="AD246" s="124"/>
      <c r="AE246" s="33"/>
      <c r="AH246" s="33"/>
      <c r="AI246" s="33"/>
      <c r="AJ246" s="33"/>
      <c r="AK246" s="33"/>
      <c r="AL246" s="33"/>
    </row>
    <row r="247" spans="22:38" x14ac:dyDescent="0.2">
      <c r="V247" s="33"/>
      <c r="W247" s="33"/>
      <c r="X247" s="33"/>
      <c r="Y247" s="33"/>
      <c r="Z247" s="33"/>
      <c r="AA247" s="33"/>
      <c r="AB247" s="33"/>
      <c r="AC247" s="33"/>
      <c r="AD247" s="124"/>
      <c r="AE247" s="33"/>
      <c r="AH247" s="33"/>
      <c r="AI247" s="33"/>
      <c r="AJ247" s="33"/>
      <c r="AK247" s="33"/>
      <c r="AL247" s="33"/>
    </row>
    <row r="248" spans="22:38" x14ac:dyDescent="0.2">
      <c r="V248" s="33"/>
      <c r="W248" s="33"/>
      <c r="X248" s="33"/>
      <c r="Y248" s="33"/>
      <c r="Z248" s="33"/>
      <c r="AA248" s="33"/>
      <c r="AB248" s="33"/>
      <c r="AC248" s="33"/>
      <c r="AD248" s="124"/>
      <c r="AE248" s="33"/>
      <c r="AH248" s="33"/>
      <c r="AI248" s="33"/>
      <c r="AJ248" s="33"/>
      <c r="AK248" s="33"/>
      <c r="AL248" s="33"/>
    </row>
    <row r="249" spans="22:38" x14ac:dyDescent="0.2">
      <c r="V249" s="33"/>
      <c r="W249" s="33"/>
      <c r="X249" s="33"/>
      <c r="Y249" s="33"/>
      <c r="Z249" s="33"/>
      <c r="AA249" s="33"/>
      <c r="AB249" s="33"/>
      <c r="AC249" s="33"/>
      <c r="AD249" s="124"/>
      <c r="AE249" s="33"/>
      <c r="AH249" s="33"/>
      <c r="AI249" s="33"/>
      <c r="AJ249" s="33"/>
      <c r="AK249" s="33"/>
      <c r="AL249" s="33"/>
    </row>
    <row r="250" spans="22:38" x14ac:dyDescent="0.2">
      <c r="V250" s="33"/>
      <c r="W250" s="33"/>
      <c r="X250" s="33"/>
      <c r="Y250" s="33"/>
      <c r="Z250" s="33"/>
      <c r="AA250" s="33"/>
      <c r="AB250" s="33"/>
      <c r="AC250" s="33"/>
      <c r="AD250" s="124"/>
      <c r="AE250" s="33"/>
      <c r="AH250" s="33"/>
      <c r="AI250" s="33"/>
      <c r="AJ250" s="33"/>
      <c r="AK250" s="33"/>
      <c r="AL250" s="33"/>
    </row>
    <row r="251" spans="22:38" x14ac:dyDescent="0.2">
      <c r="V251" s="33"/>
      <c r="W251" s="33"/>
      <c r="X251" s="33"/>
      <c r="Y251" s="33"/>
      <c r="Z251" s="33"/>
      <c r="AA251" s="33"/>
      <c r="AB251" s="33"/>
      <c r="AC251" s="33"/>
      <c r="AD251" s="124"/>
      <c r="AE251" s="33"/>
      <c r="AH251" s="33"/>
      <c r="AI251" s="33"/>
      <c r="AJ251" s="33"/>
      <c r="AK251" s="33"/>
      <c r="AL251" s="33"/>
    </row>
    <row r="252" spans="22:38" x14ac:dyDescent="0.2">
      <c r="V252" s="33"/>
      <c r="W252" s="33"/>
      <c r="X252" s="33"/>
      <c r="Y252" s="33"/>
      <c r="Z252" s="33"/>
      <c r="AA252" s="33"/>
      <c r="AB252" s="33"/>
      <c r="AC252" s="33"/>
      <c r="AD252" s="124"/>
      <c r="AE252" s="33"/>
      <c r="AH252" s="33"/>
      <c r="AI252" s="33"/>
      <c r="AJ252" s="33"/>
      <c r="AK252" s="33"/>
      <c r="AL252" s="33"/>
    </row>
    <row r="253" spans="22:38" x14ac:dyDescent="0.2">
      <c r="V253" s="33"/>
      <c r="W253" s="33"/>
      <c r="X253" s="33"/>
      <c r="Y253" s="33"/>
      <c r="Z253" s="33"/>
      <c r="AA253" s="33"/>
      <c r="AB253" s="33"/>
      <c r="AC253" s="33"/>
      <c r="AD253" s="124"/>
      <c r="AE253" s="33"/>
      <c r="AH253" s="33"/>
      <c r="AI253" s="33"/>
      <c r="AJ253" s="33"/>
      <c r="AK253" s="33"/>
      <c r="AL253" s="33"/>
    </row>
    <row r="254" spans="22:38" x14ac:dyDescent="0.2">
      <c r="V254" s="33"/>
      <c r="W254" s="33"/>
      <c r="X254" s="33"/>
      <c r="Y254" s="33"/>
      <c r="Z254" s="33"/>
      <c r="AA254" s="33"/>
      <c r="AB254" s="33"/>
      <c r="AC254" s="33"/>
      <c r="AD254" s="124"/>
      <c r="AE254" s="33"/>
      <c r="AH254" s="33"/>
      <c r="AI254" s="33"/>
      <c r="AJ254" s="33"/>
      <c r="AK254" s="33"/>
      <c r="AL254" s="33"/>
    </row>
    <row r="255" spans="22:38" x14ac:dyDescent="0.2">
      <c r="V255" s="33"/>
      <c r="W255" s="33"/>
      <c r="X255" s="33"/>
      <c r="Y255" s="33"/>
      <c r="Z255" s="33"/>
      <c r="AA255" s="33"/>
      <c r="AB255" s="33"/>
      <c r="AC255" s="33"/>
      <c r="AD255" s="124"/>
      <c r="AE255" s="33"/>
      <c r="AH255" s="33"/>
      <c r="AI255" s="33"/>
      <c r="AJ255" s="33"/>
      <c r="AK255" s="33"/>
      <c r="AL255" s="33"/>
    </row>
  </sheetData>
  <mergeCells count="56">
    <mergeCell ref="DM2:DN2"/>
    <mergeCell ref="DO2:DP2"/>
    <mergeCell ref="CW2:CX2"/>
    <mergeCell ref="DA2:DB2"/>
    <mergeCell ref="BV2:BX2"/>
    <mergeCell ref="CB2:CD2"/>
    <mergeCell ref="BY2:CA2"/>
    <mergeCell ref="DI2:DJ2"/>
    <mergeCell ref="DK2:DL2"/>
    <mergeCell ref="BQ4:BR4"/>
    <mergeCell ref="BS4:BT4"/>
    <mergeCell ref="BP3:BT3"/>
    <mergeCell ref="BM3:BN3"/>
    <mergeCell ref="AF2:AG2"/>
    <mergeCell ref="AV2:AW2"/>
    <mergeCell ref="BJ2:BJ3"/>
    <mergeCell ref="AX2:AY2"/>
    <mergeCell ref="BF2:BG2"/>
    <mergeCell ref="AJ2:AK2"/>
    <mergeCell ref="BB2:BC2"/>
    <mergeCell ref="AZ2:BA2"/>
    <mergeCell ref="BH2:BI2"/>
    <mergeCell ref="AN2:AO2"/>
    <mergeCell ref="AP2:AQ2"/>
    <mergeCell ref="A2:A3"/>
    <mergeCell ref="BK2:BK3"/>
    <mergeCell ref="G2:O2"/>
    <mergeCell ref="B2:B3"/>
    <mergeCell ref="C2:C3"/>
    <mergeCell ref="AL2:AM2"/>
    <mergeCell ref="AR2:AS2"/>
    <mergeCell ref="D2:D3"/>
    <mergeCell ref="E2:E3"/>
    <mergeCell ref="P2:W2"/>
    <mergeCell ref="AD2:AE2"/>
    <mergeCell ref="AH2:AI2"/>
    <mergeCell ref="F2:F3"/>
    <mergeCell ref="AT2:AU2"/>
    <mergeCell ref="Z2:AA2"/>
    <mergeCell ref="X2:Y2"/>
    <mergeCell ref="DQ2:DR2"/>
    <mergeCell ref="CH1:DD1"/>
    <mergeCell ref="BD2:BE2"/>
    <mergeCell ref="CH2:CK2"/>
    <mergeCell ref="CL2:CM2"/>
    <mergeCell ref="Z1:BK1"/>
    <mergeCell ref="AB2:AC2"/>
    <mergeCell ref="CQ2:CR2"/>
    <mergeCell ref="DD2:DD3"/>
    <mergeCell ref="CY2:CZ2"/>
    <mergeCell ref="DG2:DG3"/>
    <mergeCell ref="DC2:DC3"/>
    <mergeCell ref="CU2:CV2"/>
    <mergeCell ref="CS2:CT2"/>
    <mergeCell ref="CE2:CF2"/>
    <mergeCell ref="BV1:CF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4"/>
  <dimension ref="A1:FW4390"/>
  <sheetViews>
    <sheetView zoomScaleNormal="100" workbookViewId="0">
      <selection activeCell="F34" sqref="F34"/>
    </sheetView>
  </sheetViews>
  <sheetFormatPr defaultRowHeight="12.75" x14ac:dyDescent="0.2"/>
  <cols>
    <col min="1" max="1" width="19.42578125" customWidth="1"/>
    <col min="2" max="2" width="25" customWidth="1"/>
    <col min="3" max="3" width="13" customWidth="1"/>
    <col min="4" max="4" width="14.5703125" customWidth="1"/>
    <col min="5" max="5" width="49" customWidth="1"/>
    <col min="6" max="6" width="25.42578125" customWidth="1"/>
    <col min="7" max="13" width="25.42578125" style="472" customWidth="1"/>
    <col min="14" max="14" width="24.85546875" customWidth="1"/>
    <col min="15" max="15" width="23.5703125" style="350" customWidth="1"/>
    <col min="16" max="16" width="11.140625" style="913" customWidth="1"/>
    <col min="17" max="22" width="23.5703125" style="913" customWidth="1"/>
    <col min="23" max="23" width="14.85546875" customWidth="1"/>
    <col min="24" max="24" width="25.5703125" style="49" customWidth="1"/>
    <col min="25" max="25" width="23.42578125" style="9" customWidth="1"/>
    <col min="26" max="26" width="23.140625" style="10" customWidth="1"/>
    <col min="27" max="28" width="23.140625" style="9" customWidth="1"/>
    <col min="29" max="29" width="26.140625" style="8" customWidth="1"/>
    <col min="30" max="30" width="12.42578125" style="11" customWidth="1"/>
    <col min="31" max="31" width="27.7109375" style="8" customWidth="1"/>
    <col min="32" max="32" width="5" style="10" customWidth="1"/>
    <col min="33" max="33" width="28.85546875" style="8" customWidth="1"/>
    <col min="34" max="34" width="5.28515625" style="10" customWidth="1"/>
    <col min="35" max="35" width="5.28515625" style="9" customWidth="1"/>
    <col min="36" max="36" width="24.28515625" style="9" customWidth="1"/>
    <col min="37" max="37" width="24.42578125" style="9" customWidth="1"/>
    <col min="38" max="39" width="20.7109375" style="9" customWidth="1"/>
    <col min="40" max="40" width="5.28515625" style="9" customWidth="1"/>
    <col min="41" max="41" width="18.7109375" style="9" customWidth="1"/>
    <col min="42" max="45" width="20.7109375" style="9" customWidth="1"/>
    <col min="46" max="46" width="5.28515625" style="9" customWidth="1"/>
    <col min="47" max="47" width="25" style="8" customWidth="1"/>
    <col min="48" max="48" width="18.5703125" style="10" customWidth="1"/>
    <col min="49" max="49" width="5.7109375" style="8" customWidth="1"/>
    <col min="50" max="50" width="19.42578125" style="108" customWidth="1"/>
    <col min="51" max="51" width="11.7109375" style="102" customWidth="1"/>
    <col min="52" max="52" width="15.5703125" style="109" customWidth="1"/>
    <col min="53" max="53" width="11" style="11" customWidth="1"/>
    <col min="54" max="54" width="19.7109375" customWidth="1"/>
    <col min="55" max="55" width="9.5703125" style="11" customWidth="1"/>
    <col min="56" max="56" width="5.85546875" style="20" customWidth="1"/>
    <col min="57" max="57" width="17" style="8" customWidth="1"/>
    <col min="58" max="63" width="19" style="9" customWidth="1"/>
    <col min="64" max="64" width="8.7109375" style="9" customWidth="1"/>
    <col min="65" max="65" width="23.85546875" style="9" customWidth="1"/>
    <col min="66" max="69" width="19" style="9" customWidth="1"/>
    <col min="70" max="70" width="24.28515625" style="9" customWidth="1"/>
    <col min="71" max="74" width="19" style="9" customWidth="1"/>
    <col min="75" max="75" width="20.5703125" style="9" customWidth="1"/>
    <col min="76" max="76" width="23.140625" style="9" customWidth="1"/>
    <col min="77" max="78" width="19" style="9" customWidth="1"/>
    <col min="79" max="79" width="19" style="18" customWidth="1"/>
    <col min="80" max="81" width="19" style="9" customWidth="1"/>
    <col min="82" max="83" width="19" style="22" customWidth="1"/>
    <col min="84" max="90" width="19" style="9" customWidth="1"/>
    <col min="91" max="91" width="25.42578125" style="9" customWidth="1"/>
    <col min="92" max="92" width="30.85546875" style="9" customWidth="1"/>
    <col min="93" max="93" width="18" customWidth="1"/>
    <col min="94" max="94" width="17.42578125" customWidth="1"/>
    <col min="95" max="97" width="18" customWidth="1"/>
    <col min="98" max="98" width="18" style="810" customWidth="1"/>
    <col min="99" max="99" width="18" style="895" customWidth="1"/>
    <col min="100" max="103" width="18" customWidth="1"/>
    <col min="104" max="104" width="18" style="930" customWidth="1"/>
    <col min="105" max="105" width="18" customWidth="1"/>
    <col min="106" max="106" width="12.42578125" customWidth="1"/>
    <col min="111" max="111" width="14.85546875" style="401" customWidth="1"/>
    <col min="112" max="112" width="9.140625" style="1"/>
    <col min="113" max="113" width="19.85546875" style="1" customWidth="1"/>
    <col min="114" max="115" width="19.5703125" style="1" customWidth="1"/>
    <col min="116" max="116" width="19.5703125" style="372" customWidth="1"/>
    <col min="117" max="135" width="19.5703125" style="124" customWidth="1"/>
    <col min="136" max="137" width="12.140625" style="1" customWidth="1"/>
    <col min="138" max="139" width="9.140625" style="1"/>
    <col min="140" max="140" width="15" style="1" customWidth="1"/>
    <col min="141" max="141" width="17.7109375" style="1" customWidth="1"/>
    <col min="142" max="143" width="15" style="1" customWidth="1"/>
    <col min="144" max="145" width="14.7109375" style="1" customWidth="1"/>
    <col min="146" max="146" width="13.85546875" style="1" customWidth="1"/>
    <col min="147" max="147" width="19.140625" style="1" customWidth="1"/>
    <col min="148" max="148" width="23.140625" style="1" customWidth="1"/>
    <col min="149" max="149" width="13.28515625" style="1" customWidth="1"/>
    <col min="150" max="150" width="16.42578125" style="1" customWidth="1"/>
    <col min="151" max="151" width="18.7109375" style="1" customWidth="1"/>
    <col min="152" max="152" width="15.85546875" style="1" customWidth="1"/>
    <col min="153" max="160" width="11.5703125" style="1" customWidth="1"/>
    <col min="161" max="161" width="9.140625" style="1"/>
    <col min="163" max="163" width="14.42578125" customWidth="1"/>
    <col min="164" max="166" width="18.85546875" customWidth="1"/>
    <col min="176" max="177" width="14" style="101" customWidth="1"/>
    <col min="178" max="178" width="14.42578125" customWidth="1"/>
  </cols>
  <sheetData>
    <row r="1" spans="1:178" s="9" customFormat="1" ht="13.5" customHeight="1" thickBot="1" x14ac:dyDescent="0.25">
      <c r="A1" s="296"/>
      <c r="B1" s="297">
        <f>N(NOT(OR(Бланк!$B$11="-",Бланк!$B$11="")))</f>
        <v>1</v>
      </c>
      <c r="C1" s="309">
        <f>N(NOT(OR(Бланк!$H$11="-",Бланк!$H$11="")))</f>
        <v>0</v>
      </c>
      <c r="D1" s="296" t="str">
        <f>Бланк!$K$3</f>
        <v>TN-S</v>
      </c>
      <c r="E1" s="297" t="str">
        <f>IF(Бланк!$C$43="Нетиповое","00",_xlfn.IFNA(VLOOKUP($B1&amp;$C1&amp;$D1,A3:E12,5,0),"00"))</f>
        <v>01</v>
      </c>
      <c r="G1" s="496">
        <f>Бланк!$D$11</f>
        <v>250</v>
      </c>
      <c r="H1" s="496" t="str">
        <f>VLOOKUP(G1,G3:H26,2,FALSE)</f>
        <v>250</v>
      </c>
      <c r="I1" s="369" t="str">
        <f>Бланк!$E$36</f>
        <v>IP41</v>
      </c>
      <c r="J1" s="496">
        <f>VLOOKUP(I1,I3:J17,2,FALSE)</f>
        <v>4</v>
      </c>
      <c r="K1" s="469" t="str">
        <f ca="1">Бланк!$E$35</f>
        <v>Навесное</v>
      </c>
      <c r="L1" s="496">
        <f ca="1">VLOOKUP(K1,K3:L17,2,FALSE)</f>
        <v>1</v>
      </c>
      <c r="N1" s="359"/>
      <c r="Q1" s="21" t="str">
        <f>Бланк!C44</f>
        <v>Автоматически (рекомендуется)</v>
      </c>
      <c r="R1" s="21">
        <f ca="1">IF($Q$1=$Q$4,R4,R3)</f>
        <v>600</v>
      </c>
      <c r="S1" s="21">
        <f>IF($Q$1=$Q$4,S4,S3)</f>
        <v>400</v>
      </c>
      <c r="T1" s="21">
        <f ca="1">IF($Q$1=$Q$4,T4,T3)</f>
        <v>200</v>
      </c>
      <c r="X1" s="1435" t="s">
        <v>268</v>
      </c>
      <c r="Y1" s="1435"/>
      <c r="Z1" s="1435"/>
      <c r="AA1" s="1435" t="s">
        <v>834</v>
      </c>
      <c r="AB1" s="1435"/>
      <c r="AC1" s="1434" t="s">
        <v>835</v>
      </c>
      <c r="AD1" s="1434"/>
      <c r="AE1" s="1435" t="s">
        <v>319</v>
      </c>
      <c r="AF1" s="1435"/>
      <c r="AG1" s="1441" t="s">
        <v>320</v>
      </c>
      <c r="AH1" s="1442"/>
      <c r="AI1" s="211"/>
      <c r="AJ1" s="211"/>
      <c r="AK1" s="1465" t="s">
        <v>976</v>
      </c>
      <c r="AL1" s="1466"/>
      <c r="AM1" s="1467"/>
      <c r="AN1" s="211"/>
      <c r="AO1" s="78"/>
      <c r="AP1" s="1468" t="s">
        <v>614</v>
      </c>
      <c r="AQ1" s="1469"/>
      <c r="AR1" s="1469"/>
      <c r="AS1" s="1470"/>
      <c r="AT1" s="211"/>
      <c r="AU1" s="1441" t="s">
        <v>347</v>
      </c>
      <c r="AV1" s="1442"/>
      <c r="AW1" s="1466" t="s">
        <v>321</v>
      </c>
      <c r="AX1" s="1466"/>
      <c r="AY1" s="1409" t="s">
        <v>561</v>
      </c>
      <c r="AZ1" s="1409"/>
      <c r="BA1" s="1410"/>
      <c r="BB1" s="1471" t="s">
        <v>174</v>
      </c>
      <c r="BC1" s="1410"/>
      <c r="BD1" s="1403" t="s">
        <v>179</v>
      </c>
      <c r="BE1" s="1404"/>
      <c r="BF1" s="1404"/>
      <c r="BG1" s="1404"/>
      <c r="BH1" s="818"/>
      <c r="BI1" s="1402" t="s">
        <v>561</v>
      </c>
      <c r="BJ1" s="1402"/>
      <c r="BK1" s="818"/>
      <c r="BL1" s="818"/>
      <c r="BO1" s="818"/>
      <c r="BP1" s="22"/>
      <c r="BQ1" s="1392" t="s">
        <v>612</v>
      </c>
      <c r="BR1" s="1393"/>
      <c r="BS1" s="1393"/>
      <c r="BT1" s="1393"/>
      <c r="BU1" s="1393"/>
      <c r="BV1" s="1393"/>
      <c r="BW1" s="1393"/>
      <c r="BX1" s="1393"/>
      <c r="BY1" s="1393"/>
      <c r="BZ1" s="1394"/>
      <c r="CA1" s="774"/>
      <c r="CB1" s="249"/>
      <c r="CC1" s="1407" t="s">
        <v>179</v>
      </c>
      <c r="CD1" s="1408"/>
      <c r="CE1" s="1408"/>
      <c r="CF1" s="1408"/>
      <c r="CG1" s="1408"/>
      <c r="CH1" s="22"/>
      <c r="CI1" s="22"/>
      <c r="CJ1" s="1432" t="s">
        <v>324</v>
      </c>
      <c r="CK1" s="1405" t="s">
        <v>267</v>
      </c>
      <c r="CL1" s="1254" t="s">
        <v>78</v>
      </c>
      <c r="CM1" s="1444" t="s">
        <v>280</v>
      </c>
      <c r="CN1" s="1446" t="s">
        <v>252</v>
      </c>
      <c r="CO1" s="1448" t="s">
        <v>247</v>
      </c>
      <c r="CP1" s="1344" t="s">
        <v>254</v>
      </c>
      <c r="CQ1" s="1344" t="s">
        <v>255</v>
      </c>
      <c r="CR1" s="1346" t="s">
        <v>272</v>
      </c>
      <c r="CS1" s="1366" t="s">
        <v>32</v>
      </c>
      <c r="CT1" s="1366" t="s">
        <v>1072</v>
      </c>
      <c r="CU1" s="1366" t="s">
        <v>947</v>
      </c>
      <c r="CV1" s="1342" t="s">
        <v>266</v>
      </c>
      <c r="CW1" s="1340" t="s">
        <v>237</v>
      </c>
      <c r="CX1" s="1341"/>
      <c r="CY1" s="27"/>
      <c r="CZ1" s="27"/>
      <c r="DA1" s="27"/>
      <c r="DB1" s="22"/>
      <c r="DG1" s="402"/>
      <c r="DK1" s="351"/>
      <c r="DL1" s="1437" t="s">
        <v>762</v>
      </c>
      <c r="DM1" s="1437"/>
      <c r="DN1" s="1437"/>
      <c r="DO1" s="1437"/>
      <c r="DP1" s="1437"/>
      <c r="DQ1" s="1438"/>
      <c r="DR1" s="357"/>
      <c r="DS1" s="1436" t="s">
        <v>784</v>
      </c>
      <c r="DT1" s="1436"/>
      <c r="DU1" s="1436"/>
      <c r="DV1" s="1436"/>
      <c r="DW1" s="357"/>
      <c r="DX1" s="1436" t="s">
        <v>783</v>
      </c>
      <c r="DY1" s="1436"/>
      <c r="DZ1" s="1436"/>
      <c r="EA1" s="1436"/>
      <c r="EB1" s="358"/>
      <c r="EC1" s="1361" t="s">
        <v>762</v>
      </c>
      <c r="ED1" s="1362"/>
      <c r="EE1" s="1363"/>
      <c r="EF1" s="22"/>
      <c r="EG1" s="1352" t="s">
        <v>100</v>
      </c>
      <c r="EH1" s="1348" t="s">
        <v>239</v>
      </c>
      <c r="EI1" s="1350" t="s">
        <v>229</v>
      </c>
      <c r="EJ1" s="1350" t="s">
        <v>230</v>
      </c>
      <c r="EK1" s="1364" t="s">
        <v>773</v>
      </c>
      <c r="EL1" s="1354" t="s">
        <v>772</v>
      </c>
      <c r="EM1" s="1354" t="s">
        <v>767</v>
      </c>
      <c r="EN1" s="1354" t="s">
        <v>766</v>
      </c>
      <c r="EO1" s="1354" t="s">
        <v>768</v>
      </c>
      <c r="EP1" s="1350" t="s">
        <v>231</v>
      </c>
      <c r="EQ1" s="1354" t="s">
        <v>770</v>
      </c>
      <c r="ER1" s="1354" t="s">
        <v>771</v>
      </c>
      <c r="ES1" s="1354" t="s">
        <v>769</v>
      </c>
      <c r="ET1" s="1364" t="s">
        <v>781</v>
      </c>
      <c r="EU1" s="1364" t="s">
        <v>765</v>
      </c>
      <c r="EV1" s="1359" t="s">
        <v>428</v>
      </c>
      <c r="EW1" s="1356" t="s">
        <v>232</v>
      </c>
      <c r="EX1" s="1357"/>
      <c r="EY1" s="1357"/>
      <c r="EZ1" s="1357"/>
      <c r="FA1" s="1357"/>
      <c r="FB1" s="1357"/>
      <c r="FC1" s="1357"/>
      <c r="FD1" s="1357"/>
      <c r="FE1" s="1358"/>
      <c r="FH1" s="26"/>
      <c r="FI1" s="26"/>
      <c r="FJ1" s="683" t="s">
        <v>521</v>
      </c>
      <c r="FK1" s="684">
        <v>122</v>
      </c>
      <c r="FL1" s="685">
        <v>88</v>
      </c>
      <c r="FM1" s="685">
        <v>82</v>
      </c>
      <c r="FN1" s="685">
        <v>75</v>
      </c>
      <c r="FO1" s="685">
        <v>70</v>
      </c>
      <c r="FP1" s="685">
        <v>55</v>
      </c>
      <c r="FQ1" s="685">
        <v>44</v>
      </c>
      <c r="FR1" s="685">
        <v>38</v>
      </c>
      <c r="FS1" s="686">
        <v>35</v>
      </c>
      <c r="FT1" s="1374" t="s">
        <v>523</v>
      </c>
      <c r="FU1" s="1375"/>
      <c r="FV1" s="26"/>
    </row>
    <row r="2" spans="1:178" s="26" customFormat="1" ht="13.5" customHeight="1" thickBot="1" x14ac:dyDescent="0.25">
      <c r="A2" s="296" t="s">
        <v>787</v>
      </c>
      <c r="B2" s="297" t="s">
        <v>785</v>
      </c>
      <c r="C2" s="297" t="s">
        <v>786</v>
      </c>
      <c r="D2" s="298" t="s">
        <v>2</v>
      </c>
      <c r="E2" s="386" t="s">
        <v>77</v>
      </c>
      <c r="F2" s="380"/>
      <c r="G2" s="492" t="s">
        <v>868</v>
      </c>
      <c r="H2" s="493" t="s">
        <v>877</v>
      </c>
      <c r="I2" s="493" t="s">
        <v>239</v>
      </c>
      <c r="J2" s="493" t="s">
        <v>877</v>
      </c>
      <c r="K2" s="493" t="s">
        <v>878</v>
      </c>
      <c r="L2" s="493" t="s">
        <v>877</v>
      </c>
      <c r="M2" s="501"/>
      <c r="N2" s="383" t="s">
        <v>2</v>
      </c>
      <c r="O2" s="383" t="s">
        <v>8</v>
      </c>
      <c r="P2" s="918"/>
      <c r="Q2" s="12" t="s">
        <v>1206</v>
      </c>
      <c r="R2" s="12" t="s">
        <v>253</v>
      </c>
      <c r="S2" s="12" t="s">
        <v>99</v>
      </c>
      <c r="T2" s="12" t="s">
        <v>241</v>
      </c>
      <c r="X2" s="16" t="s">
        <v>279</v>
      </c>
      <c r="Y2" s="13" t="s">
        <v>331</v>
      </c>
      <c r="Z2" s="14" t="s">
        <v>171</v>
      </c>
      <c r="AA2" s="170"/>
      <c r="AB2" s="170"/>
      <c r="AC2" s="13" t="s">
        <v>9</v>
      </c>
      <c r="AD2" s="15" t="s">
        <v>172</v>
      </c>
      <c r="AE2" s="13" t="s">
        <v>18</v>
      </c>
      <c r="AF2" s="14" t="s">
        <v>11</v>
      </c>
      <c r="AG2" s="252" t="s">
        <v>171</v>
      </c>
      <c r="AH2" s="253" t="s">
        <v>11</v>
      </c>
      <c r="AI2" s="170"/>
      <c r="AJ2" s="239" t="s">
        <v>580</v>
      </c>
      <c r="AK2" s="188" t="s">
        <v>507</v>
      </c>
      <c r="AL2" s="188" t="s">
        <v>577</v>
      </c>
      <c r="AM2" s="188" t="s">
        <v>578</v>
      </c>
      <c r="AN2" s="170"/>
      <c r="AO2" s="239" t="s">
        <v>580</v>
      </c>
      <c r="AP2" s="258" t="s">
        <v>507</v>
      </c>
      <c r="AQ2" s="258" t="s">
        <v>577</v>
      </c>
      <c r="AR2" s="258" t="s">
        <v>578</v>
      </c>
      <c r="AS2" s="258" t="s">
        <v>170</v>
      </c>
      <c r="AT2" s="170"/>
      <c r="AU2" s="252" t="s">
        <v>9</v>
      </c>
      <c r="AV2" s="253" t="s">
        <v>170</v>
      </c>
      <c r="AW2" s="203" t="s">
        <v>11</v>
      </c>
      <c r="AX2" s="205" t="s">
        <v>173</v>
      </c>
      <c r="AY2" s="105" t="s">
        <v>178</v>
      </c>
      <c r="AZ2" s="25" t="s">
        <v>177</v>
      </c>
      <c r="BA2" s="15" t="s">
        <v>176</v>
      </c>
      <c r="BB2" s="13" t="s">
        <v>173</v>
      </c>
      <c r="BC2" s="15" t="s">
        <v>175</v>
      </c>
      <c r="BD2" s="225" t="s">
        <v>11</v>
      </c>
      <c r="BE2" s="226" t="s">
        <v>248</v>
      </c>
      <c r="BF2" s="227" t="s">
        <v>277</v>
      </c>
      <c r="BG2" s="228" t="s">
        <v>276</v>
      </c>
      <c r="BH2" s="818"/>
      <c r="BI2" s="1069" t="s">
        <v>173</v>
      </c>
      <c r="BJ2" s="1070" t="s">
        <v>1304</v>
      </c>
      <c r="BK2" s="818"/>
      <c r="BL2" s="818"/>
      <c r="BM2" s="9"/>
      <c r="BN2" s="9"/>
      <c r="BO2" s="818"/>
      <c r="BP2" s="22"/>
      <c r="BQ2" s="1398" t="s">
        <v>482</v>
      </c>
      <c r="BR2" s="1398" t="s">
        <v>507</v>
      </c>
      <c r="BS2" s="1398" t="s">
        <v>577</v>
      </c>
      <c r="BT2" s="1399" t="s">
        <v>728</v>
      </c>
      <c r="BU2" s="1399" t="s">
        <v>587</v>
      </c>
      <c r="BV2" s="1398" t="s">
        <v>729</v>
      </c>
      <c r="BW2" s="1398" t="s">
        <v>730</v>
      </c>
      <c r="BX2" s="1399" t="s">
        <v>590</v>
      </c>
      <c r="BY2" s="1398" t="s">
        <v>589</v>
      </c>
      <c r="BZ2" s="1398" t="s">
        <v>613</v>
      </c>
      <c r="CA2" s="775"/>
      <c r="CB2" s="22" t="s">
        <v>580</v>
      </c>
      <c r="CC2" s="214" t="s">
        <v>507</v>
      </c>
      <c r="CD2" s="214" t="s">
        <v>577</v>
      </c>
      <c r="CE2" s="214" t="s">
        <v>578</v>
      </c>
      <c r="CF2" s="214" t="s">
        <v>170</v>
      </c>
      <c r="CG2" s="214" t="s">
        <v>579</v>
      </c>
      <c r="CH2" s="22"/>
      <c r="CI2" s="22"/>
      <c r="CJ2" s="1433"/>
      <c r="CK2" s="1406"/>
      <c r="CL2" s="1443"/>
      <c r="CM2" s="1445"/>
      <c r="CN2" s="1447"/>
      <c r="CO2" s="1449"/>
      <c r="CP2" s="1345"/>
      <c r="CQ2" s="1345"/>
      <c r="CR2" s="1347"/>
      <c r="CS2" s="1366"/>
      <c r="CT2" s="1366"/>
      <c r="CU2" s="1366"/>
      <c r="CV2" s="1343"/>
      <c r="CW2" s="521" t="s">
        <v>238</v>
      </c>
      <c r="CX2" s="521" t="s">
        <v>100</v>
      </c>
      <c r="CY2" s="45"/>
      <c r="DG2" s="403"/>
      <c r="DK2" s="351"/>
      <c r="DL2" s="373" t="s">
        <v>580</v>
      </c>
      <c r="DM2" s="374" t="s">
        <v>2</v>
      </c>
      <c r="DN2" s="374" t="s">
        <v>761</v>
      </c>
      <c r="DO2" s="374" t="s">
        <v>578</v>
      </c>
      <c r="DP2" s="374" t="s">
        <v>764</v>
      </c>
      <c r="DQ2" s="374" t="s">
        <v>635</v>
      </c>
      <c r="DR2" s="357"/>
      <c r="DS2" s="591" t="s">
        <v>580</v>
      </c>
      <c r="DT2" s="591" t="s">
        <v>2</v>
      </c>
      <c r="DU2" s="591" t="s">
        <v>761</v>
      </c>
      <c r="DV2" s="591" t="s">
        <v>782</v>
      </c>
      <c r="DW2" s="357"/>
      <c r="DX2" s="591" t="s">
        <v>580</v>
      </c>
      <c r="DY2" s="591" t="s">
        <v>2</v>
      </c>
      <c r="DZ2" s="591" t="s">
        <v>761</v>
      </c>
      <c r="EA2" s="591" t="s">
        <v>782</v>
      </c>
      <c r="EB2" s="358"/>
      <c r="EC2" s="591" t="s">
        <v>578</v>
      </c>
      <c r="ED2" s="591" t="s">
        <v>764</v>
      </c>
      <c r="EE2" s="591" t="s">
        <v>635</v>
      </c>
      <c r="EF2" s="9"/>
      <c r="EG2" s="1353"/>
      <c r="EH2" s="1349"/>
      <c r="EI2" s="1351"/>
      <c r="EJ2" s="1351"/>
      <c r="EK2" s="1365"/>
      <c r="EL2" s="1355"/>
      <c r="EM2" s="1355"/>
      <c r="EN2" s="1355"/>
      <c r="EO2" s="1355"/>
      <c r="EP2" s="1351"/>
      <c r="EQ2" s="1355"/>
      <c r="ER2" s="1355"/>
      <c r="ES2" s="1355"/>
      <c r="ET2" s="1365"/>
      <c r="EU2" s="1365"/>
      <c r="EV2" s="1360"/>
      <c r="EW2" s="606" t="s">
        <v>221</v>
      </c>
      <c r="EX2" s="607" t="s">
        <v>220</v>
      </c>
      <c r="EY2" s="607" t="s">
        <v>222</v>
      </c>
      <c r="EZ2" s="607" t="s">
        <v>223</v>
      </c>
      <c r="FA2" s="607" t="s">
        <v>224</v>
      </c>
      <c r="FB2" s="607" t="s">
        <v>225</v>
      </c>
      <c r="FC2" s="607" t="s">
        <v>226</v>
      </c>
      <c r="FD2" s="607" t="s">
        <v>227</v>
      </c>
      <c r="FE2" s="608" t="s">
        <v>228</v>
      </c>
      <c r="FH2" s="628" t="s">
        <v>231</v>
      </c>
      <c r="FI2" s="629" t="s">
        <v>241</v>
      </c>
      <c r="FJ2" s="630" t="s">
        <v>232</v>
      </c>
      <c r="FK2" s="631" t="s">
        <v>221</v>
      </c>
      <c r="FL2" s="632" t="s">
        <v>220</v>
      </c>
      <c r="FM2" s="632" t="s">
        <v>222</v>
      </c>
      <c r="FN2" s="632" t="s">
        <v>223</v>
      </c>
      <c r="FO2" s="632" t="s">
        <v>224</v>
      </c>
      <c r="FP2" s="632" t="s">
        <v>225</v>
      </c>
      <c r="FQ2" s="632" t="s">
        <v>226</v>
      </c>
      <c r="FR2" s="632" t="s">
        <v>227</v>
      </c>
      <c r="FS2" s="630" t="s">
        <v>228</v>
      </c>
      <c r="FT2" s="680" t="s">
        <v>861</v>
      </c>
      <c r="FU2" s="681" t="s">
        <v>522</v>
      </c>
      <c r="FV2" s="682" t="s">
        <v>242</v>
      </c>
    </row>
    <row r="3" spans="1:178" s="9" customFormat="1" ht="12.75" customHeight="1" thickBot="1" x14ac:dyDescent="0.25">
      <c r="A3" s="296" t="str">
        <f t="shared" ref="A3:A12" si="0">$B3&amp;$C3&amp;$D3</f>
        <v>10TN-S</v>
      </c>
      <c r="B3" s="297">
        <v>1</v>
      </c>
      <c r="C3" s="297">
        <v>0</v>
      </c>
      <c r="D3" s="298" t="s">
        <v>5</v>
      </c>
      <c r="E3" s="387" t="s">
        <v>47</v>
      </c>
      <c r="F3" s="381"/>
      <c r="G3" s="302">
        <v>1</v>
      </c>
      <c r="H3" s="495" t="s">
        <v>869</v>
      </c>
      <c r="I3" s="502" t="s">
        <v>43</v>
      </c>
      <c r="J3" s="502">
        <v>3</v>
      </c>
      <c r="K3" s="502" t="s">
        <v>879</v>
      </c>
      <c r="L3" s="502">
        <v>1</v>
      </c>
      <c r="M3" s="499"/>
      <c r="N3" s="385" t="s">
        <v>5</v>
      </c>
      <c r="O3" s="378" t="s">
        <v>305</v>
      </c>
      <c r="P3" s="6"/>
      <c r="Q3" s="23" t="s">
        <v>275</v>
      </c>
      <c r="R3" s="23">
        <f ca="1">Габариты!$A$88</f>
        <v>600</v>
      </c>
      <c r="S3" s="957">
        <f>Бланк!$H$46</f>
        <v>400</v>
      </c>
      <c r="T3" s="23">
        <f ca="1">Габариты!$A$96</f>
        <v>200</v>
      </c>
      <c r="X3" s="49" t="s">
        <v>30</v>
      </c>
      <c r="Y3" s="8" t="s">
        <v>30</v>
      </c>
      <c r="Z3" s="10" t="s">
        <v>30</v>
      </c>
      <c r="AA3" s="8" t="s">
        <v>30</v>
      </c>
      <c r="AB3" s="437" t="s">
        <v>30</v>
      </c>
      <c r="AC3" s="8" t="s">
        <v>30</v>
      </c>
      <c r="AD3" s="11" t="s">
        <v>30</v>
      </c>
      <c r="AE3" s="8" t="s">
        <v>30</v>
      </c>
      <c r="AF3" s="107" t="s">
        <v>30</v>
      </c>
      <c r="AG3" s="232" t="s">
        <v>30</v>
      </c>
      <c r="AH3" s="254" t="s">
        <v>30</v>
      </c>
      <c r="AJ3" s="102" t="str">
        <f t="shared" ref="AJ3:AJ66" si="1">AK3&amp;AL3</f>
        <v/>
      </c>
      <c r="AK3" s="190"/>
      <c r="AL3" s="187"/>
      <c r="AM3" s="242" t="s">
        <v>30</v>
      </c>
      <c r="AO3" s="102" t="str">
        <f t="shared" ref="AO3:AO66" si="2">AP3&amp;AQ3&amp;AR3</f>
        <v>iC60N0,5</v>
      </c>
      <c r="AP3" s="220" t="s">
        <v>19</v>
      </c>
      <c r="AQ3" s="219"/>
      <c r="AR3" s="257">
        <v>0.5</v>
      </c>
      <c r="AS3" s="220" t="s">
        <v>57</v>
      </c>
      <c r="AU3" s="232" t="s">
        <v>30</v>
      </c>
      <c r="AV3" s="254" t="s">
        <v>30</v>
      </c>
      <c r="AW3" s="207">
        <v>16</v>
      </c>
      <c r="AX3" s="208" t="s">
        <v>60</v>
      </c>
      <c r="AY3" s="209">
        <v>190</v>
      </c>
      <c r="AZ3" s="97" t="s">
        <v>30</v>
      </c>
      <c r="BA3" s="111" t="s">
        <v>30</v>
      </c>
      <c r="BB3" s="18" t="s">
        <v>30</v>
      </c>
      <c r="BC3" s="11" t="s">
        <v>30</v>
      </c>
      <c r="BD3" s="1439" t="s">
        <v>150</v>
      </c>
      <c r="BE3" s="1440"/>
      <c r="BF3" s="227" t="s">
        <v>116</v>
      </c>
      <c r="BG3" s="229" t="str">
        <f>IF(Бланк!$B$11="iID",IF(MID(Бланк!$C$11,1,1)="2","Id_iID_2P","Id_iID_4P"),IF(MID(Бланк!$B$11,1,2)="iC",IF(MID(Бланк!$C$11,1,1)="2","Id_iC_2P_0",IF(Бланк!$C$11=3,"Id_iC_3P_0",IF(Бланк!$C$11=4,"Id_iC_4P_0",D!$BA$3))),IF(ISERROR(SEARCH("NSX*NA",Бланк!$B$11)),D!$BA$3,"Id_NSX")))</f>
        <v>-</v>
      </c>
      <c r="BH3" s="819"/>
      <c r="BI3" s="1071" t="s">
        <v>60</v>
      </c>
      <c r="BJ3" s="1072">
        <v>190</v>
      </c>
      <c r="BK3" s="819"/>
      <c r="BL3" s="819"/>
      <c r="BO3" s="819"/>
      <c r="BP3" s="41"/>
      <c r="BQ3" s="1398"/>
      <c r="BR3" s="1398"/>
      <c r="BS3" s="1398"/>
      <c r="BT3" s="1399"/>
      <c r="BU3" s="1399"/>
      <c r="BV3" s="1398"/>
      <c r="BW3" s="1398"/>
      <c r="BX3" s="1399"/>
      <c r="BY3" s="1398"/>
      <c r="BZ3" s="1398"/>
      <c r="CA3" s="775"/>
      <c r="CB3" s="41" t="str">
        <f t="shared" ref="CB3:CB66" si="3">CC3&amp;CD3&amp;CE3&amp;CF3</f>
        <v>iC60225</v>
      </c>
      <c r="CC3" s="213" t="s">
        <v>105</v>
      </c>
      <c r="CD3" s="213">
        <v>2</v>
      </c>
      <c r="CE3" s="214">
        <v>25</v>
      </c>
      <c r="CF3" s="214"/>
      <c r="CG3" s="201" t="s">
        <v>30</v>
      </c>
      <c r="CH3" s="41"/>
      <c r="CI3" s="41"/>
      <c r="CJ3" s="41"/>
      <c r="CK3" s="51" t="s">
        <v>81</v>
      </c>
      <c r="CL3" s="23" t="s">
        <v>79</v>
      </c>
      <c r="CM3" s="56" t="s">
        <v>281</v>
      </c>
      <c r="CN3" s="80" t="s">
        <v>269</v>
      </c>
      <c r="CO3" s="78">
        <v>400</v>
      </c>
      <c r="CP3" s="24">
        <v>400</v>
      </c>
      <c r="CQ3" s="44">
        <v>200</v>
      </c>
      <c r="CR3" s="44" t="s">
        <v>273</v>
      </c>
      <c r="CS3" s="884" t="s">
        <v>271</v>
      </c>
      <c r="CT3" s="884">
        <v>-10</v>
      </c>
      <c r="CU3" s="907" t="b">
        <v>0</v>
      </c>
      <c r="CV3" s="522" t="s">
        <v>43</v>
      </c>
      <c r="CW3" s="523">
        <v>70</v>
      </c>
      <c r="CX3" s="523">
        <v>100</v>
      </c>
      <c r="CY3" s="22"/>
      <c r="DB3"/>
      <c r="DG3" s="401"/>
      <c r="DK3" s="344"/>
      <c r="DL3" s="375" t="str">
        <f t="shared" ref="DL3:DL34" si="4">$DM3&amp;$DN3&amp;$DO3</f>
        <v>TN-C110</v>
      </c>
      <c r="DM3" s="376" t="s">
        <v>6</v>
      </c>
      <c r="DN3" s="376">
        <v>1</v>
      </c>
      <c r="DO3" s="376">
        <v>10</v>
      </c>
      <c r="DP3" s="376">
        <v>1</v>
      </c>
      <c r="DQ3" s="377" t="s">
        <v>369</v>
      </c>
      <c r="DR3" s="358"/>
      <c r="DS3" s="592" t="str">
        <f t="shared" ref="DS3:DS13" si="5">$DT3&amp;$DU3</f>
        <v>TN-C1</v>
      </c>
      <c r="DT3" s="593" t="s">
        <v>6</v>
      </c>
      <c r="DU3" s="593">
        <v>1</v>
      </c>
      <c r="DV3" s="593">
        <v>2</v>
      </c>
      <c r="DW3" s="358"/>
      <c r="DX3" s="592" t="str">
        <f t="shared" ref="DX3:DX20" si="6">$DY3&amp;$DZ3</f>
        <v>TN-C1</v>
      </c>
      <c r="DY3" s="593" t="s">
        <v>6</v>
      </c>
      <c r="DZ3" s="593">
        <v>1</v>
      </c>
      <c r="EA3" s="593">
        <v>2</v>
      </c>
      <c r="EB3" s="358"/>
      <c r="EC3" s="593">
        <v>0.5</v>
      </c>
      <c r="ED3" s="593">
        <v>1</v>
      </c>
      <c r="EE3" s="592">
        <v>1.5</v>
      </c>
      <c r="EG3" s="609">
        <f>Бланк!$H$46</f>
        <v>400</v>
      </c>
      <c r="EH3" s="610" t="str">
        <f>Бланк!$E$36</f>
        <v>IP41</v>
      </c>
      <c r="EI3" s="611" t="s">
        <v>116</v>
      </c>
      <c r="EJ3" s="611">
        <f>Бланк!$O$11</f>
        <v>1</v>
      </c>
      <c r="EK3" s="611">
        <f>IFERROR(VALUE(MID(Бланк!$L11,1,1)),1)*$EJ3</f>
        <v>1</v>
      </c>
      <c r="EL3" s="611" t="str">
        <f>IF(EJ3=EK3,MID(Бланк!$L11,1,100),MID(Бланк!$L11,3,100))</f>
        <v/>
      </c>
      <c r="EM3" s="611">
        <f>Бланк!$M11</f>
        <v>0</v>
      </c>
      <c r="EN3" s="612" t="str">
        <f>_xlfn.IFNA(VLOOKUP(Бланк!$K$3&amp;Габариты!$C6,$DS:$DV,4,FALSE)&amp;"x"&amp;VLOOKUP(Проверки!$D4,$EC:$EE,3,FALSE),0)</f>
        <v>5x120</v>
      </c>
      <c r="EO3" s="612" t="str">
        <f t="shared" ref="EO3:EO18" si="7">IF(ISTEXT($EM3),$EM3,$EN3)</f>
        <v>5x120</v>
      </c>
      <c r="EP3" s="613" t="str">
        <f>Бланк!$N$11</f>
        <v>сверху</v>
      </c>
      <c r="EQ3" s="613">
        <f>_xlfn.IFNA(VLOOKUP($EL3&amp;" "&amp;$EO3,'Список кабелей'!$I:$J,2,FALSE),0)</f>
        <v>0</v>
      </c>
      <c r="ER3" s="613" t="str">
        <f>IF(OR($EL3="-",EO3="-",EP3="-",Проверки!$D4=""),0,VLOOKUP($EO3,'Список кабелей'!$D:$J,7,FALSE))</f>
        <v>MG63</v>
      </c>
      <c r="ES3" s="614" t="str">
        <f t="shared" ref="ES3:ES18" si="8">IF(ISTEXT($EQ3),$EQ3,$ER3)</f>
        <v>MG63</v>
      </c>
      <c r="ET3" s="615">
        <f>$EK3*_xlfn.IFNA(VLOOKUP(Проверки!$D4,$EC:$EE,2,FALSE),0)</f>
        <v>1</v>
      </c>
      <c r="EU3" s="612">
        <f t="shared" ref="EU3:EU18" si="9">IF($EK3,$EK3,$ET3)</f>
        <v>1</v>
      </c>
      <c r="EV3" s="616">
        <f>IF($ER3=0,0,VLOOKUP(ER3,'Список кабелей'!$Q$3:$R$11,2,0))</f>
        <v>88</v>
      </c>
      <c r="EW3" s="617">
        <f t="shared" ref="EW3:FE12" si="10">IF($ES3=EW$2,$EK3,0)</f>
        <v>0</v>
      </c>
      <c r="EX3" s="613">
        <f t="shared" si="10"/>
        <v>1</v>
      </c>
      <c r="EY3" s="613">
        <f t="shared" si="10"/>
        <v>0</v>
      </c>
      <c r="EZ3" s="613">
        <f t="shared" si="10"/>
        <v>0</v>
      </c>
      <c r="FA3" s="613">
        <f t="shared" si="10"/>
        <v>0</v>
      </c>
      <c r="FB3" s="613">
        <f t="shared" si="10"/>
        <v>0</v>
      </c>
      <c r="FC3" s="613">
        <f t="shared" si="10"/>
        <v>0</v>
      </c>
      <c r="FD3" s="613">
        <f t="shared" si="10"/>
        <v>0</v>
      </c>
      <c r="FE3" s="618">
        <f t="shared" si="10"/>
        <v>0</v>
      </c>
      <c r="FH3" s="1367" t="s">
        <v>79</v>
      </c>
      <c r="FI3" s="1370" t="s">
        <v>234</v>
      </c>
      <c r="FJ3" s="633" t="s">
        <v>240</v>
      </c>
      <c r="FK3" s="634">
        <f t="shared" ref="FK3:FS3" si="11">SUMIF($EP$3:$EP$18,"сверху",EW$3:EW$18)</f>
        <v>0</v>
      </c>
      <c r="FL3" s="635">
        <f t="shared" si="11"/>
        <v>1</v>
      </c>
      <c r="FM3" s="635">
        <f t="shared" si="11"/>
        <v>0</v>
      </c>
      <c r="FN3" s="635">
        <f t="shared" si="11"/>
        <v>0</v>
      </c>
      <c r="FO3" s="635">
        <f t="shared" si="11"/>
        <v>0</v>
      </c>
      <c r="FP3" s="635">
        <f t="shared" si="11"/>
        <v>0</v>
      </c>
      <c r="FQ3" s="635">
        <f t="shared" si="11"/>
        <v>3</v>
      </c>
      <c r="FR3" s="635">
        <f t="shared" si="11"/>
        <v>0</v>
      </c>
      <c r="FS3" s="636">
        <f t="shared" si="11"/>
        <v>9</v>
      </c>
      <c r="FT3" s="637"/>
      <c r="FU3" s="1377">
        <f>MID($FI3,1,3)-70</f>
        <v>130</v>
      </c>
      <c r="FV3" s="1382" t="b">
        <f>AND(NOT(ISERROR(SUM(FK4:FS7))),MAX(FT4,FT7)&lt;($EG$3-100))</f>
        <v>1</v>
      </c>
    </row>
    <row r="4" spans="1:178" x14ac:dyDescent="0.2">
      <c r="A4" s="296" t="str">
        <f t="shared" si="0"/>
        <v>11TN-S</v>
      </c>
      <c r="B4" s="297">
        <v>1</v>
      </c>
      <c r="C4" s="297">
        <v>1</v>
      </c>
      <c r="D4" s="298" t="s">
        <v>5</v>
      </c>
      <c r="E4" s="387" t="s">
        <v>48</v>
      </c>
      <c r="F4" s="103"/>
      <c r="G4" s="302">
        <v>2</v>
      </c>
      <c r="H4" s="497" t="s">
        <v>869</v>
      </c>
      <c r="I4" s="469" t="s">
        <v>44</v>
      </c>
      <c r="J4" s="469">
        <v>4</v>
      </c>
      <c r="K4" s="469" t="s">
        <v>880</v>
      </c>
      <c r="L4" s="469">
        <v>2</v>
      </c>
      <c r="M4" s="499"/>
      <c r="N4" s="127" t="s">
        <v>6</v>
      </c>
      <c r="O4" s="384" t="s">
        <v>306</v>
      </c>
      <c r="P4" s="6"/>
      <c r="Q4" s="21" t="s">
        <v>270</v>
      </c>
      <c r="R4" s="21">
        <f>Бланк!$I$46</f>
        <v>0</v>
      </c>
      <c r="S4" s="21">
        <f>Бланк!$H$46</f>
        <v>400</v>
      </c>
      <c r="T4" s="21">
        <f>Бланк!$K$46</f>
        <v>0</v>
      </c>
      <c r="X4" s="49" t="s">
        <v>19</v>
      </c>
      <c r="Y4" s="8" t="s">
        <v>19</v>
      </c>
      <c r="Z4" s="10" t="s">
        <v>19</v>
      </c>
      <c r="AA4" s="8" t="s">
        <v>19</v>
      </c>
      <c r="AB4" s="437">
        <v>1</v>
      </c>
      <c r="AC4" s="8" t="s">
        <v>19</v>
      </c>
      <c r="AD4" s="11" t="s">
        <v>136</v>
      </c>
      <c r="AE4" s="8" t="s">
        <v>19</v>
      </c>
      <c r="AF4" s="736">
        <v>1</v>
      </c>
      <c r="AG4" s="232" t="s">
        <v>19</v>
      </c>
      <c r="AH4" s="259">
        <v>0.5</v>
      </c>
      <c r="AI4" s="102"/>
      <c r="AJ4" s="102" t="str">
        <f t="shared" si="1"/>
        <v>iC60N</v>
      </c>
      <c r="AK4" s="201" t="s">
        <v>19</v>
      </c>
      <c r="AL4" s="214"/>
      <c r="AM4" s="240">
        <v>0.5</v>
      </c>
      <c r="AN4" s="102"/>
      <c r="AO4" s="102" t="str">
        <f t="shared" si="2"/>
        <v>iC60N0,5</v>
      </c>
      <c r="AP4" s="222" t="s">
        <v>19</v>
      </c>
      <c r="AQ4" s="221"/>
      <c r="AR4" s="256">
        <v>0.5</v>
      </c>
      <c r="AS4" s="222" t="s">
        <v>58</v>
      </c>
      <c r="AT4" s="102"/>
      <c r="AU4" s="232" t="s">
        <v>19</v>
      </c>
      <c r="AV4" s="254" t="s">
        <v>57</v>
      </c>
      <c r="AW4" s="206">
        <v>16</v>
      </c>
      <c r="AX4" s="204" t="s">
        <v>562</v>
      </c>
      <c r="AY4" s="110">
        <v>63</v>
      </c>
      <c r="AZ4" s="32">
        <f>Бланк!D11*5</f>
        <v>1250</v>
      </c>
      <c r="BA4" s="11">
        <f>Бланк!F11*1.5</f>
        <v>0</v>
      </c>
      <c r="BB4" t="s">
        <v>57</v>
      </c>
      <c r="BC4" s="11" t="s">
        <v>30</v>
      </c>
      <c r="BD4" s="1456" t="s">
        <v>180</v>
      </c>
      <c r="BE4" s="1457"/>
      <c r="BF4" s="230" t="s">
        <v>85</v>
      </c>
      <c r="BG4" s="229" t="str">
        <f>IF(
 MID(Бланк!$B13,1,2)="iC",
 IF(
  MID(Бланк!$C13,1,1)="2",
  11,
  IF(
   Бланк!$C13=3,
   12,
   IF(
    Бланк!$C13=4,
    13,
    D!$BA$3
   )
  )
 ),
 IF(
  MID(Бланк!$B13,1,3)="DPN",
  IF(
   MID(Бланк!$E13,1,1)="B",
   14,
   15
  ),
  IF(
   MID(Бланк!$B13,1,6)="iDPN N",
   IF(
    MID(Бланк!$E13,1,1)="B",
    16,
    17
   ),
   IF(
    MID(Бланк!$B13,1,6)="iDPN H",
    18,
    D!$BA$3
   )
  )
 )
)</f>
        <v>-</v>
      </c>
      <c r="BH4" s="819"/>
      <c r="BI4" s="1073" t="s">
        <v>562</v>
      </c>
      <c r="BJ4" s="1074">
        <v>63</v>
      </c>
      <c r="BK4" s="819"/>
      <c r="BL4" s="819"/>
      <c r="BO4" s="819"/>
      <c r="BP4" s="41"/>
      <c r="BQ4" s="213" t="s">
        <v>116</v>
      </c>
      <c r="BR4" s="213" t="str">
        <f>Проверки!Q4</f>
        <v>NSX250</v>
      </c>
      <c r="BS4" s="213" t="str">
        <f>IF(Проверки!M4+Проверки!O4,MID(Проверки!C4,1,1),"")</f>
        <v/>
      </c>
      <c r="BT4" s="260" t="b">
        <f>ISNUMBER(SEARCH("АВР",Бланк!$B$11))</f>
        <v>0</v>
      </c>
      <c r="BU4" s="213" t="str">
        <f t="shared" ref="BU4:BU24" si="12">$BR4&amp;$BS4</f>
        <v>NSX250</v>
      </c>
      <c r="BV4" s="213">
        <f t="shared" ref="BV4:BV24" si="13">IF(ISNA(MATCH($BU4,$AJ$3:$AJ$1000,0)),1,MATCH($BU4,$AJ$3:$AJ$1000,0))</f>
        <v>242</v>
      </c>
      <c r="BW4" s="737">
        <f ca="1">$BV4+IF($BX$4&lt;1,MATCH(1,OFFSET($AM$3,$BV4,0,20,1),0),0)</f>
        <v>242</v>
      </c>
      <c r="BX4" s="213">
        <f t="shared" ref="BX4:BX24" ca="1" si="14">OFFSET($AM$3,$BV4-1,0,1)</f>
        <v>40</v>
      </c>
      <c r="BY4" s="737">
        <f ca="1">IF($BW$16,$BW$16,1)</f>
        <v>8</v>
      </c>
      <c r="BZ4" s="213"/>
      <c r="CA4" s="41"/>
      <c r="CB4" s="41" t="str">
        <f t="shared" si="3"/>
        <v>iC60225</v>
      </c>
      <c r="CC4" s="213" t="s">
        <v>105</v>
      </c>
      <c r="CD4" s="213">
        <v>2</v>
      </c>
      <c r="CE4" s="214">
        <v>25</v>
      </c>
      <c r="CF4" s="214"/>
      <c r="CG4" s="201" t="s">
        <v>599</v>
      </c>
      <c r="CH4" s="41"/>
      <c r="CI4" s="41"/>
      <c r="CJ4" s="41">
        <v>1</v>
      </c>
      <c r="CK4" s="54" t="s">
        <v>30</v>
      </c>
      <c r="CL4" s="21" t="s">
        <v>80</v>
      </c>
      <c r="CM4" s="30" t="s">
        <v>282</v>
      </c>
      <c r="CN4" s="81" t="s">
        <v>270</v>
      </c>
      <c r="CO4" s="78">
        <v>600</v>
      </c>
      <c r="CP4" s="4">
        <v>600</v>
      </c>
      <c r="CQ4" s="34">
        <v>300</v>
      </c>
      <c r="CR4" s="34" t="s">
        <v>274</v>
      </c>
      <c r="CS4" s="21" t="s">
        <v>152</v>
      </c>
      <c r="CT4" s="21">
        <v>-60</v>
      </c>
      <c r="CU4" s="906" t="b">
        <v>1</v>
      </c>
      <c r="CV4" s="524" t="s">
        <v>44</v>
      </c>
      <c r="CW4" s="525">
        <v>70</v>
      </c>
      <c r="CX4" s="525">
        <v>100</v>
      </c>
      <c r="CY4" s="22"/>
      <c r="DK4" s="344"/>
      <c r="DL4" s="375" t="str">
        <f t="shared" si="4"/>
        <v>TN-C120</v>
      </c>
      <c r="DM4" s="376" t="s">
        <v>6</v>
      </c>
      <c r="DN4" s="376">
        <v>1</v>
      </c>
      <c r="DO4" s="376">
        <v>20</v>
      </c>
      <c r="DP4" s="376">
        <v>1</v>
      </c>
      <c r="DQ4" s="377" t="s">
        <v>370</v>
      </c>
      <c r="DR4" s="358"/>
      <c r="DS4" s="592" t="str">
        <f t="shared" si="5"/>
        <v>TN-C3</v>
      </c>
      <c r="DT4" s="593" t="s">
        <v>6</v>
      </c>
      <c r="DU4" s="593">
        <v>3</v>
      </c>
      <c r="DV4" s="593">
        <v>4</v>
      </c>
      <c r="DW4" s="358"/>
      <c r="DX4" s="592" t="str">
        <f t="shared" si="6"/>
        <v>TN-C3</v>
      </c>
      <c r="DY4" s="593" t="s">
        <v>6</v>
      </c>
      <c r="DZ4" s="593">
        <v>3</v>
      </c>
      <c r="EA4" s="593">
        <v>4</v>
      </c>
      <c r="EB4" s="358"/>
      <c r="EC4" s="593">
        <v>1</v>
      </c>
      <c r="ED4" s="593">
        <v>1</v>
      </c>
      <c r="EE4" s="592">
        <v>1.5</v>
      </c>
      <c r="EF4" s="9"/>
      <c r="EG4" s="620"/>
      <c r="EH4" s="610"/>
      <c r="EI4" s="619" t="s">
        <v>85</v>
      </c>
      <c r="EJ4" s="619">
        <f>Бланк!$O$13</f>
        <v>3</v>
      </c>
      <c r="EK4" s="619">
        <f>IFERROR(VALUE(MID(Бланк!$L13,1,1)),1)*$EJ4</f>
        <v>3</v>
      </c>
      <c r="EL4" s="619" t="str">
        <f>IF(EJ4=EK4,MID(Бланк!$L13,1,100),MID(Бланк!$L13,3,100))</f>
        <v/>
      </c>
      <c r="EM4" s="619">
        <f>Бланк!$M13</f>
        <v>0</v>
      </c>
      <c r="EN4" s="612" t="str">
        <f>_xlfn.IFNA(VLOOKUP(Бланк!$K$3&amp;Габариты!$C7,$DX:$EA,4,FALSE)&amp;"x"&amp;VLOOKUP(Проверки!$D5,$EC:$EE,3,FALSE),0)</f>
        <v>3x10</v>
      </c>
      <c r="EO4" s="612" t="str">
        <f t="shared" si="7"/>
        <v>3x10</v>
      </c>
      <c r="EP4" s="593" t="str">
        <f>Бланк!$N13</f>
        <v>сверху</v>
      </c>
      <c r="EQ4" s="593">
        <f>_xlfn.IFNA(VLOOKUP($EL4&amp;" "&amp;$EO4,'Список кабелей'!$I:$J,2,FALSE),0)</f>
        <v>0</v>
      </c>
      <c r="ER4" s="613" t="str">
        <f>IF(OR($EL4="-",EO4="-",EP4="-",Проверки!$D5=""),0,VLOOKUP($EO4,'Список кабелей'!$D:$J,7,FALSE))</f>
        <v>PG21</v>
      </c>
      <c r="ES4" s="593" t="str">
        <f t="shared" si="8"/>
        <v>PG21</v>
      </c>
      <c r="ET4" s="612">
        <f>$EK4*_xlfn.IFNA(VLOOKUP(Проверки!$D5,$EC:$EE,2,FALSE),0)</f>
        <v>3</v>
      </c>
      <c r="EU4" s="612">
        <f t="shared" si="9"/>
        <v>3</v>
      </c>
      <c r="EV4" s="616">
        <f>IF($ER4=0,0,VLOOKUP(ER4,'Список кабелей'!$Q$3:$R$11,2,0))</f>
        <v>44</v>
      </c>
      <c r="EW4" s="617">
        <f t="shared" si="10"/>
        <v>0</v>
      </c>
      <c r="EX4" s="613">
        <f t="shared" si="10"/>
        <v>0</v>
      </c>
      <c r="EY4" s="613">
        <f t="shared" si="10"/>
        <v>0</v>
      </c>
      <c r="EZ4" s="613">
        <f t="shared" si="10"/>
        <v>0</v>
      </c>
      <c r="FA4" s="613">
        <f t="shared" si="10"/>
        <v>0</v>
      </c>
      <c r="FB4" s="613">
        <f t="shared" si="10"/>
        <v>0</v>
      </c>
      <c r="FC4" s="613">
        <f t="shared" si="10"/>
        <v>3</v>
      </c>
      <c r="FD4" s="613">
        <f t="shared" si="10"/>
        <v>0</v>
      </c>
      <c r="FE4" s="618">
        <f t="shared" si="10"/>
        <v>0</v>
      </c>
      <c r="FH4" s="1367"/>
      <c r="FI4" s="1370"/>
      <c r="FJ4" s="638" t="s">
        <v>233</v>
      </c>
      <c r="FK4" s="639">
        <f>IF(FK$3&gt;0,FK$3/FK26,0)</f>
        <v>0</v>
      </c>
      <c r="FL4" s="640">
        <f>IF(FL$3&gt;0,FL$3/(IF($EH$3=D!$FJ$17,FL$17,IF($EH$3=D!$FJ$20,FL$20,IF($EH$3=D!$FJ$23,FL$23,)))),0)</f>
        <v>1</v>
      </c>
      <c r="FM4" s="640">
        <f>IF(FM$3&gt;0,FM$3/(IF($EH$3=D!$FJ$17,FM$17,IF($EH$3=D!$FJ$20,FM$20,IF($EH$3=D!$FJ$23,FM$23,)))),0)</f>
        <v>0</v>
      </c>
      <c r="FN4" s="640">
        <f>IF(FN$3&gt;0,FN$3/(IF($EH$3=D!$FJ$17,FN$17,IF($EH$3=D!$FJ$20,FN$20,IF($EH$3=D!$FJ$23,FN$23,)))),0)</f>
        <v>0</v>
      </c>
      <c r="FO4" s="640">
        <f>IF(FO$3&gt;0,FO$3/(IF($EH$3=D!$FJ$17,FO$17,IF($EH$3=D!$FJ$20,FO$20,IF($EH$3=D!$FJ$23,FO$23,)))),0)</f>
        <v>0</v>
      </c>
      <c r="FP4" s="640">
        <f>IF(FP$3&gt;0,FP$3/(IF($EH$3=D!$FJ$17,FP$17,IF($EH$3=D!$FJ$20,FP$20,IF($EH$3=D!$FJ$23,FP$23,)))),0)</f>
        <v>0</v>
      </c>
      <c r="FQ4" s="640">
        <f>IF(FQ$3&gt;0,FQ$3/(IF($EH$3=D!$FJ$17,FQ$17,IF($EH$3=D!$FJ$20,FQ$20,IF($EH$3=D!$FJ$23,FQ$23,)))),0)</f>
        <v>1.5</v>
      </c>
      <c r="FR4" s="640">
        <f>IF(FR$3&gt;0,FR$3/(IF($EH$3=D!$FJ$17,FR$17,IF($EH$3=D!$FJ$20,FR$20,IF($EH$3=D!$FJ$23,FR$23,)))),0)</f>
        <v>0</v>
      </c>
      <c r="FS4" s="641">
        <f>IF(FS$3&gt;0,FS$3/(IF($EH$3=D!$FJ$17,FS$17,IF($EH$3=D!$FJ$20,FS$20,IF($EH$3=D!$FJ$23,FS$23,)))),0)</f>
        <v>3</v>
      </c>
      <c r="FT4" s="1376">
        <f>SUM(FK5:FS5)</f>
        <v>281</v>
      </c>
      <c r="FU4" s="1378"/>
      <c r="FV4" s="1383"/>
    </row>
    <row r="5" spans="1:178" ht="13.5" thickBot="1" x14ac:dyDescent="0.25">
      <c r="A5" s="296" t="str">
        <f t="shared" si="0"/>
        <v>00TN-S</v>
      </c>
      <c r="B5" s="297">
        <v>0</v>
      </c>
      <c r="C5" s="297">
        <v>0</v>
      </c>
      <c r="D5" s="298" t="s">
        <v>5</v>
      </c>
      <c r="E5" s="387" t="s">
        <v>49</v>
      </c>
      <c r="F5" s="103"/>
      <c r="G5" s="302">
        <v>3</v>
      </c>
      <c r="H5" s="497" t="s">
        <v>869</v>
      </c>
      <c r="I5" s="469" t="s">
        <v>45</v>
      </c>
      <c r="J5" s="469">
        <v>5</v>
      </c>
      <c r="K5" s="503"/>
      <c r="L5" s="53"/>
      <c r="M5" s="500"/>
      <c r="N5" s="385" t="s">
        <v>7</v>
      </c>
      <c r="O5" s="384" t="s">
        <v>303</v>
      </c>
      <c r="P5" s="6"/>
      <c r="X5" s="49" t="s">
        <v>20</v>
      </c>
      <c r="Y5" s="8" t="s">
        <v>20</v>
      </c>
      <c r="Z5" s="10" t="s">
        <v>20</v>
      </c>
      <c r="AA5" s="8" t="s">
        <v>19</v>
      </c>
      <c r="AB5" s="437">
        <v>2</v>
      </c>
      <c r="AC5" s="8" t="s">
        <v>19</v>
      </c>
      <c r="AD5" s="11" t="s">
        <v>137</v>
      </c>
      <c r="AE5" s="8" t="s">
        <v>19</v>
      </c>
      <c r="AF5" s="736">
        <v>2</v>
      </c>
      <c r="AG5" s="232" t="s">
        <v>19</v>
      </c>
      <c r="AH5" s="259">
        <v>1</v>
      </c>
      <c r="AI5" s="102"/>
      <c r="AJ5" s="102" t="str">
        <f t="shared" si="1"/>
        <v>iC60N</v>
      </c>
      <c r="AK5" s="201" t="s">
        <v>19</v>
      </c>
      <c r="AL5" s="214"/>
      <c r="AM5" s="240">
        <v>1</v>
      </c>
      <c r="AN5" s="102"/>
      <c r="AO5" s="102" t="str">
        <f t="shared" si="2"/>
        <v>iC60N0,5</v>
      </c>
      <c r="AP5" s="222" t="s">
        <v>19</v>
      </c>
      <c r="AQ5" s="221"/>
      <c r="AR5" s="256">
        <v>0.5</v>
      </c>
      <c r="AS5" s="222" t="s">
        <v>59</v>
      </c>
      <c r="AT5" s="102"/>
      <c r="AU5" s="232" t="s">
        <v>19</v>
      </c>
      <c r="AV5" s="254" t="s">
        <v>58</v>
      </c>
      <c r="AW5" s="206">
        <v>25</v>
      </c>
      <c r="AX5" s="204" t="s">
        <v>61</v>
      </c>
      <c r="AY5" s="110">
        <v>300</v>
      </c>
      <c r="AZ5" s="32">
        <f>Бланк!D11*6</f>
        <v>1500</v>
      </c>
      <c r="BA5" s="11">
        <f>Бланк!F11*2</f>
        <v>0</v>
      </c>
      <c r="BB5" s="112" t="s">
        <v>58</v>
      </c>
      <c r="BC5" s="11" t="s">
        <v>30</v>
      </c>
      <c r="BD5" s="231">
        <v>25</v>
      </c>
      <c r="BE5" s="232" t="s">
        <v>595</v>
      </c>
      <c r="BF5" s="230" t="s">
        <v>86</v>
      </c>
      <c r="BG5" s="229" t="str">
        <f>IF(
 MID(Бланк!$B14,1,2)="iC",
 IF(
  MID(Бланк!$C14,1,1)="2",
  21,
  IF(
   Бланк!$C14=3,
   22,
   IF(
    Бланк!$C14=4,
    23,
    D!$BA$3
   )
  )
 ),
 IF(
  MID(Бланк!$B14,1,3)="DPN",
  IF(
   MID(Бланк!$E14,1,1)="B",
   24,
   25
  ),
  IF(
   MID(Бланк!$B14,1,6)="iDPN N",
   IF(
    MID(Бланк!$E14,1,1)="B",
    26,
    27
   ),
   IF(
    MID(Бланк!$B14,1,6)="iDPN H",
    28,
    D!$BA$3
   )
  )
 )
)</f>
        <v>-</v>
      </c>
      <c r="BH5" s="819"/>
      <c r="BI5" s="1073" t="s">
        <v>61</v>
      </c>
      <c r="BJ5" s="1074">
        <v>300</v>
      </c>
      <c r="BK5" s="819"/>
      <c r="BL5" s="819"/>
      <c r="BO5" s="819"/>
      <c r="BP5" s="41"/>
      <c r="BQ5" s="213" t="s">
        <v>85</v>
      </c>
      <c r="BR5" s="213" t="str">
        <f>Проверки!Q5</f>
        <v>iC60N</v>
      </c>
      <c r="BS5" s="213" t="str">
        <f>IF(Проверки!M5+Проверки!O5,MID(Проверки!C5,1,1),"")</f>
        <v/>
      </c>
      <c r="BT5" s="213"/>
      <c r="BU5" s="213" t="str">
        <f t="shared" si="12"/>
        <v>iC60N</v>
      </c>
      <c r="BV5" s="213">
        <f t="shared" si="13"/>
        <v>2</v>
      </c>
      <c r="BW5" s="9" t="s">
        <v>731</v>
      </c>
      <c r="BX5" s="213">
        <f t="shared" ca="1" si="14"/>
        <v>0.5</v>
      </c>
      <c r="BY5" s="213">
        <f t="shared" ref="BY5:BY24" ca="1" si="15">IF(COUNTIF(OFFSET($AJ$3,$BV5-1,0,20),$BU5),COUNTIF(OFFSET($AJ$3,$BV5-1,0,20),$BU5),1)</f>
        <v>17</v>
      </c>
      <c r="BZ5" s="213"/>
      <c r="CA5" s="41"/>
      <c r="CB5" s="41" t="str">
        <f t="shared" si="3"/>
        <v>iC60225</v>
      </c>
      <c r="CC5" s="213" t="s">
        <v>105</v>
      </c>
      <c r="CD5" s="213">
        <v>2</v>
      </c>
      <c r="CE5" s="214">
        <v>25</v>
      </c>
      <c r="CF5" s="214"/>
      <c r="CG5" s="201" t="s">
        <v>595</v>
      </c>
      <c r="CH5" s="41"/>
      <c r="CI5" s="41"/>
      <c r="CJ5" s="41">
        <v>2</v>
      </c>
      <c r="CK5" s="18"/>
      <c r="CL5" s="121" t="s">
        <v>30</v>
      </c>
      <c r="CM5" s="18"/>
      <c r="CN5" s="6"/>
      <c r="CO5" s="34">
        <v>800</v>
      </c>
      <c r="CP5" s="4">
        <v>800</v>
      </c>
      <c r="CQ5" s="4">
        <v>400</v>
      </c>
      <c r="CR5" s="109"/>
      <c r="CS5" s="21" t="s">
        <v>154</v>
      </c>
      <c r="CT5" s="121">
        <v>-60</v>
      </c>
      <c r="CU5" s="906" t="b">
        <v>1</v>
      </c>
      <c r="CV5" s="524" t="s">
        <v>45</v>
      </c>
      <c r="CW5" s="525">
        <v>70</v>
      </c>
      <c r="CX5" s="525">
        <v>100</v>
      </c>
      <c r="CY5" s="22"/>
      <c r="DG5" s="400"/>
      <c r="DK5" s="344"/>
      <c r="DL5" s="375" t="str">
        <f t="shared" si="4"/>
        <v>TN-C125</v>
      </c>
      <c r="DM5" s="376" t="s">
        <v>6</v>
      </c>
      <c r="DN5" s="376">
        <v>1</v>
      </c>
      <c r="DO5" s="376">
        <v>25</v>
      </c>
      <c r="DP5" s="376">
        <v>1</v>
      </c>
      <c r="DQ5" s="377" t="s">
        <v>371</v>
      </c>
      <c r="DR5" s="358"/>
      <c r="DS5" s="592" t="str">
        <f t="shared" si="5"/>
        <v>TN-C-S1</v>
      </c>
      <c r="DT5" s="593" t="s">
        <v>7</v>
      </c>
      <c r="DU5" s="593">
        <v>1</v>
      </c>
      <c r="DV5" s="593">
        <v>2</v>
      </c>
      <c r="DW5" s="358"/>
      <c r="DX5" s="592" t="str">
        <f t="shared" si="6"/>
        <v>TN-C-S1</v>
      </c>
      <c r="DY5" s="593" t="s">
        <v>7</v>
      </c>
      <c r="DZ5" s="593">
        <v>1</v>
      </c>
      <c r="EA5" s="593">
        <v>3</v>
      </c>
      <c r="EB5" s="358"/>
      <c r="EC5" s="593">
        <v>1.6</v>
      </c>
      <c r="ED5" s="593">
        <v>1</v>
      </c>
      <c r="EE5" s="592">
        <v>1.5</v>
      </c>
      <c r="EF5" s="9"/>
      <c r="EG5" s="620"/>
      <c r="EH5" s="610"/>
      <c r="EI5" s="619" t="s">
        <v>86</v>
      </c>
      <c r="EJ5" s="619">
        <f>Бланк!$O$14</f>
        <v>9</v>
      </c>
      <c r="EK5" s="619">
        <f>IFERROR(VALUE(MID(Бланк!$L14,1,1)),1)*$EJ5</f>
        <v>9</v>
      </c>
      <c r="EL5" s="619" t="str">
        <f>IF(EJ5=EK5,MID(Бланк!$L14,1,100),MID(Бланк!$L14,3,100))</f>
        <v/>
      </c>
      <c r="EM5" s="619">
        <f>Бланк!$M14</f>
        <v>0</v>
      </c>
      <c r="EN5" s="612" t="str">
        <f>_xlfn.IFNA(VLOOKUP(Бланк!$K$3&amp;Габариты!$C8,$DX:$EA,4,FALSE)&amp;"x"&amp;VLOOKUP(Проверки!$D6,$EC:$EE,3,FALSE),0)</f>
        <v>3x2,5</v>
      </c>
      <c r="EO5" s="612" t="str">
        <f t="shared" si="7"/>
        <v>3x2,5</v>
      </c>
      <c r="EP5" s="593" t="str">
        <f>Бланк!N14</f>
        <v>сверху</v>
      </c>
      <c r="EQ5" s="593">
        <f>_xlfn.IFNA(VLOOKUP($EL5&amp;" "&amp;$EO5,'Список кабелей'!$I:$J,2,FALSE),0)</f>
        <v>0</v>
      </c>
      <c r="ER5" s="613" t="str">
        <f>IF(OR($EL5="-",EO5="-",EP5="-",Проверки!$D6=""),0,VLOOKUP($EO5,'Список кабелей'!$D:$J,7,FALSE))</f>
        <v>PG13</v>
      </c>
      <c r="ES5" s="593" t="str">
        <f t="shared" si="8"/>
        <v>PG13</v>
      </c>
      <c r="ET5" s="612">
        <f>$EK5*_xlfn.IFNA(VLOOKUP(Проверки!$D6,$EC:$EE,2,FALSE),0)</f>
        <v>9</v>
      </c>
      <c r="EU5" s="612">
        <f t="shared" si="9"/>
        <v>9</v>
      </c>
      <c r="EV5" s="616">
        <f>IF($ER5=0,0,VLOOKUP(ER5,'Список кабелей'!$Q$3:$R$11,2,0))</f>
        <v>35</v>
      </c>
      <c r="EW5" s="617">
        <f t="shared" si="10"/>
        <v>0</v>
      </c>
      <c r="EX5" s="613">
        <f t="shared" si="10"/>
        <v>0</v>
      </c>
      <c r="EY5" s="613">
        <f t="shared" si="10"/>
        <v>0</v>
      </c>
      <c r="EZ5" s="613">
        <f t="shared" si="10"/>
        <v>0</v>
      </c>
      <c r="FA5" s="613">
        <f t="shared" si="10"/>
        <v>0</v>
      </c>
      <c r="FB5" s="613">
        <f t="shared" si="10"/>
        <v>0</v>
      </c>
      <c r="FC5" s="613">
        <f t="shared" si="10"/>
        <v>0</v>
      </c>
      <c r="FD5" s="613">
        <f t="shared" si="10"/>
        <v>0</v>
      </c>
      <c r="FE5" s="618">
        <f t="shared" si="10"/>
        <v>9</v>
      </c>
      <c r="FH5" s="1369"/>
      <c r="FI5" s="1370"/>
      <c r="FJ5" s="642" t="s">
        <v>862</v>
      </c>
      <c r="FK5" s="643">
        <f>IF(ISERROR(FK4),0,ROUNDUP(FK4,0))*VLOOKUP(FK$2,'Список кабелей'!$Q$3:$R$11,2,0)</f>
        <v>0</v>
      </c>
      <c r="FL5" s="644">
        <f>IF(ISERROR(FL4),0,ROUNDUP(FL4,0))*VLOOKUP(FL$2,'Список кабелей'!$Q$3:$R$11,2,0)</f>
        <v>88</v>
      </c>
      <c r="FM5" s="644">
        <f>IF(ISERROR(FM4),0,ROUNDUP(FM4,0))*VLOOKUP(FM$2,'Список кабелей'!$Q$3:$R$11,2,0)</f>
        <v>0</v>
      </c>
      <c r="FN5" s="644">
        <f>IF(ISERROR(FN4),0,ROUNDUP(FN4,0))*VLOOKUP(FN$2,'Список кабелей'!$Q$3:$R$11,2,0)</f>
        <v>0</v>
      </c>
      <c r="FO5" s="644">
        <f>IF(ISERROR(FO4),0,ROUNDUP(FO4,0))*VLOOKUP(FO$2,'Список кабелей'!$Q$3:$R$11,2,0)</f>
        <v>0</v>
      </c>
      <c r="FP5" s="644">
        <f>IF(ISERROR(FP4),0,ROUNDUP(FP4,0))*VLOOKUP(FP$2,'Список кабелей'!$Q$3:$R$11,2,0)</f>
        <v>0</v>
      </c>
      <c r="FQ5" s="644">
        <f>IF(ISERROR(FQ4),0,ROUNDUP(FQ4,0))*VLOOKUP(FQ$2,'Список кабелей'!$Q$3:$R$11,2,0)</f>
        <v>88</v>
      </c>
      <c r="FR5" s="644">
        <f>IF(ISERROR(FR4),0,ROUNDUP(FR4,0))*VLOOKUP(FR$2,'Список кабелей'!$Q$3:$R$11,2,0)</f>
        <v>0</v>
      </c>
      <c r="FS5" s="645">
        <f>IF(ISERROR(FS4),0,ROUNDUP(FS4,0))*VLOOKUP(FS$2,'Список кабелей'!$Q$3:$R$11,2,0)</f>
        <v>105</v>
      </c>
      <c r="FT5" s="1373"/>
      <c r="FU5" s="1378"/>
      <c r="FV5" s="1383"/>
    </row>
    <row r="6" spans="1:178" ht="13.5" thickBot="1" x14ac:dyDescent="0.25">
      <c r="A6" s="296" t="str">
        <f t="shared" si="0"/>
        <v>10TN-C</v>
      </c>
      <c r="B6" s="297">
        <v>1</v>
      </c>
      <c r="C6" s="297">
        <v>0</v>
      </c>
      <c r="D6" s="298" t="s">
        <v>6</v>
      </c>
      <c r="E6" s="387" t="s">
        <v>50</v>
      </c>
      <c r="F6" s="103"/>
      <c r="G6" s="302">
        <v>4</v>
      </c>
      <c r="H6" s="497" t="s">
        <v>869</v>
      </c>
      <c r="I6" s="9"/>
      <c r="J6" s="382"/>
      <c r="K6" s="9"/>
      <c r="L6" s="9"/>
      <c r="M6" s="8"/>
      <c r="N6" s="127" t="s">
        <v>763</v>
      </c>
      <c r="O6" s="384" t="s">
        <v>304</v>
      </c>
      <c r="P6" s="6"/>
      <c r="X6" s="49" t="s">
        <v>21</v>
      </c>
      <c r="Y6" s="116" t="s">
        <v>21</v>
      </c>
      <c r="Z6" s="119" t="s">
        <v>21</v>
      </c>
      <c r="AA6" s="8" t="s">
        <v>19</v>
      </c>
      <c r="AB6" s="437">
        <v>3</v>
      </c>
      <c r="AC6" s="8" t="s">
        <v>19</v>
      </c>
      <c r="AD6" s="11" t="s">
        <v>138</v>
      </c>
      <c r="AE6" s="8" t="s">
        <v>19</v>
      </c>
      <c r="AF6" s="736">
        <v>3</v>
      </c>
      <c r="AG6" s="232" t="s">
        <v>19</v>
      </c>
      <c r="AH6" s="259">
        <v>2</v>
      </c>
      <c r="AI6" s="102"/>
      <c r="AJ6" s="102" t="str">
        <f t="shared" si="1"/>
        <v>iC60N</v>
      </c>
      <c r="AK6" s="201" t="s">
        <v>19</v>
      </c>
      <c r="AL6" s="214"/>
      <c r="AM6" s="240">
        <v>2</v>
      </c>
      <c r="AN6" s="102"/>
      <c r="AO6" s="102" t="str">
        <f t="shared" si="2"/>
        <v>iC60N1</v>
      </c>
      <c r="AP6" s="222" t="s">
        <v>19</v>
      </c>
      <c r="AQ6" s="221"/>
      <c r="AR6" s="256">
        <v>1</v>
      </c>
      <c r="AS6" s="222" t="s">
        <v>57</v>
      </c>
      <c r="AT6" s="102"/>
      <c r="AU6" s="232" t="s">
        <v>19</v>
      </c>
      <c r="AV6" s="254" t="s">
        <v>59</v>
      </c>
      <c r="AW6" s="206">
        <v>25</v>
      </c>
      <c r="AX6" s="204" t="s">
        <v>563</v>
      </c>
      <c r="AY6" s="110">
        <v>80</v>
      </c>
      <c r="AZ6" s="32">
        <f>Бланк!D11*7</f>
        <v>1750</v>
      </c>
      <c r="BA6" s="11">
        <f>Бланк!F11*3</f>
        <v>0</v>
      </c>
      <c r="BB6" s="43" t="s">
        <v>59</v>
      </c>
      <c r="BC6" s="11" t="s">
        <v>30</v>
      </c>
      <c r="BD6" s="231">
        <v>25</v>
      </c>
      <c r="BE6" s="232" t="s">
        <v>597</v>
      </c>
      <c r="BF6" s="230" t="s">
        <v>87</v>
      </c>
      <c r="BG6" s="229" t="str">
        <f>IF(
 MID(Бланк!$B15,1,2)="iC",
 IF(
  MID(Бланк!$C15,1,1)="2",
  31,
  IF(
   Бланк!$C15=3,
   32,
   IF(
    Бланк!$C15=4,
    33,
    D!$BA$3
   )
  )
 ),
 IF(
  MID(Бланк!$B15,1,3)="DPN",
  IF(
   MID(Бланк!$E15,1,1)="B",
   34,
   35
  ),
  IF(
   MID(Бланк!$B15,1,6)="iDPN N",
   IF(
    MID(Бланк!$E15,1,1)="B",
    36,
    37
   ),
   IF(
    MID(Бланк!$B15,1,6)="iDPN H",
    38,
    D!$BA$3
   )
  )
 )
)</f>
        <v>-</v>
      </c>
      <c r="BH6" s="819"/>
      <c r="BI6" s="1073" t="s">
        <v>563</v>
      </c>
      <c r="BJ6" s="1074">
        <v>80</v>
      </c>
      <c r="BK6" s="819"/>
      <c r="BL6" s="819"/>
      <c r="BO6" s="819"/>
      <c r="BP6" s="41"/>
      <c r="BQ6" s="213" t="s">
        <v>86</v>
      </c>
      <c r="BR6" s="213" t="str">
        <f>Проверки!Q6</f>
        <v>iC60N</v>
      </c>
      <c r="BS6" s="213" t="str">
        <f>IF(Проверки!M6+Проверки!O6,MID(Проверки!C6,1,1),"")</f>
        <v/>
      </c>
      <c r="BT6" s="213"/>
      <c r="BU6" s="213" t="str">
        <f t="shared" si="12"/>
        <v>iC60N</v>
      </c>
      <c r="BV6" s="213">
        <f t="shared" si="13"/>
        <v>2</v>
      </c>
      <c r="BX6" s="213">
        <f t="shared" ca="1" si="14"/>
        <v>0.5</v>
      </c>
      <c r="BY6" s="213">
        <f t="shared" ca="1" si="15"/>
        <v>17</v>
      </c>
      <c r="BZ6" s="213"/>
      <c r="CA6" s="41"/>
      <c r="CB6" s="41" t="str">
        <f t="shared" si="3"/>
        <v>iC60225</v>
      </c>
      <c r="CC6" s="213" t="s">
        <v>105</v>
      </c>
      <c r="CD6" s="213">
        <v>2</v>
      </c>
      <c r="CE6" s="214">
        <v>25</v>
      </c>
      <c r="CF6" s="214"/>
      <c r="CG6" s="201" t="s">
        <v>596</v>
      </c>
      <c r="CH6" s="41"/>
      <c r="CI6" s="41"/>
      <c r="CJ6" s="18"/>
      <c r="CK6" s="18"/>
      <c r="CL6" s="18"/>
      <c r="CM6" s="18"/>
      <c r="CN6" s="6"/>
      <c r="CO6" s="79">
        <v>1000</v>
      </c>
      <c r="CP6" s="4">
        <v>1000</v>
      </c>
      <c r="CQ6" s="79">
        <v>600</v>
      </c>
      <c r="CR6" s="1"/>
      <c r="CS6" s="21" t="s">
        <v>153</v>
      </c>
      <c r="CT6" s="21">
        <v>-45</v>
      </c>
      <c r="CU6" s="906" t="b">
        <v>1</v>
      </c>
      <c r="CV6" s="1"/>
      <c r="CW6" s="1"/>
      <c r="CX6" s="1"/>
      <c r="CY6" s="1"/>
      <c r="DG6" s="400"/>
      <c r="DK6" s="344"/>
      <c r="DL6" s="375" t="str">
        <f t="shared" si="4"/>
        <v>TN-C132</v>
      </c>
      <c r="DM6" s="376" t="s">
        <v>6</v>
      </c>
      <c r="DN6" s="376">
        <v>1</v>
      </c>
      <c r="DO6" s="376">
        <v>32</v>
      </c>
      <c r="DP6" s="376">
        <v>1</v>
      </c>
      <c r="DQ6" s="377" t="s">
        <v>372</v>
      </c>
      <c r="DR6" s="358"/>
      <c r="DS6" s="592" t="str">
        <f t="shared" si="5"/>
        <v>TN-C-S3</v>
      </c>
      <c r="DT6" s="593" t="s">
        <v>7</v>
      </c>
      <c r="DU6" s="593">
        <v>3</v>
      </c>
      <c r="DV6" s="593">
        <v>4</v>
      </c>
      <c r="DW6" s="358"/>
      <c r="DX6" s="592" t="str">
        <f t="shared" si="6"/>
        <v>TN-C-S2</v>
      </c>
      <c r="DY6" s="593" t="s">
        <v>7</v>
      </c>
      <c r="DZ6" s="593">
        <v>2</v>
      </c>
      <c r="EA6" s="593">
        <v>3</v>
      </c>
      <c r="EB6" s="358"/>
      <c r="EC6" s="593">
        <v>2</v>
      </c>
      <c r="ED6" s="593">
        <v>1</v>
      </c>
      <c r="EE6" s="592">
        <v>1.5</v>
      </c>
      <c r="EG6" s="609"/>
      <c r="EH6" s="610"/>
      <c r="EI6" s="619" t="s">
        <v>87</v>
      </c>
      <c r="EJ6" s="619">
        <f>Бланк!$O$15</f>
        <v>0</v>
      </c>
      <c r="EK6" s="619">
        <f>IFERROR(VALUE(MID(Бланк!$L15,1,1)),1)*$EJ6</f>
        <v>0</v>
      </c>
      <c r="EL6" s="619" t="str">
        <f>IF(EJ6=EK6,MID(Бланк!$L15,1,100),MID(Бланк!$L15,3,100))</f>
        <v/>
      </c>
      <c r="EM6" s="619">
        <f>Бланк!$M15</f>
        <v>0</v>
      </c>
      <c r="EN6" s="612">
        <f>_xlfn.IFNA(VLOOKUP(Бланк!$K$3&amp;Габариты!$C9,$DX:$EA,4,FALSE)&amp;"x"&amp;VLOOKUP(Проверки!$D7,$EC:$EE,3,FALSE),0)</f>
        <v>0</v>
      </c>
      <c r="EO6" s="612">
        <f t="shared" si="7"/>
        <v>0</v>
      </c>
      <c r="EP6" s="593">
        <f>Бланк!N15</f>
        <v>0</v>
      </c>
      <c r="EQ6" s="593">
        <f>_xlfn.IFNA(VLOOKUP($EL6&amp;" "&amp;$EO6,'Список кабелей'!$I:$J,2,FALSE),0)</f>
        <v>0</v>
      </c>
      <c r="ER6" s="613">
        <f>IF(OR($EL6="-",EO6="-",EP6="-",Проверки!$D7=""),0,VLOOKUP($EO6,'Список кабелей'!$D:$J,7,FALSE))</f>
        <v>0</v>
      </c>
      <c r="ES6" s="593">
        <f t="shared" si="8"/>
        <v>0</v>
      </c>
      <c r="ET6" s="612">
        <f>$EK6*_xlfn.IFNA(VLOOKUP(Проверки!$D7,$EC:$EE,2,FALSE),0)</f>
        <v>0</v>
      </c>
      <c r="EU6" s="612">
        <f t="shared" si="9"/>
        <v>0</v>
      </c>
      <c r="EV6" s="616">
        <f>IF($ER6=0,0,VLOOKUP(ER6,'Список кабелей'!$Q$3:$R$11,2,0))</f>
        <v>0</v>
      </c>
      <c r="EW6" s="617">
        <f t="shared" si="10"/>
        <v>0</v>
      </c>
      <c r="EX6" s="613">
        <f t="shared" si="10"/>
        <v>0</v>
      </c>
      <c r="EY6" s="613">
        <f t="shared" si="10"/>
        <v>0</v>
      </c>
      <c r="EZ6" s="613">
        <f t="shared" si="10"/>
        <v>0</v>
      </c>
      <c r="FA6" s="613">
        <f t="shared" si="10"/>
        <v>0</v>
      </c>
      <c r="FB6" s="613">
        <f t="shared" si="10"/>
        <v>0</v>
      </c>
      <c r="FC6" s="613">
        <f t="shared" si="10"/>
        <v>0</v>
      </c>
      <c r="FD6" s="613">
        <f t="shared" si="10"/>
        <v>0</v>
      </c>
      <c r="FE6" s="618">
        <f t="shared" si="10"/>
        <v>0</v>
      </c>
      <c r="FH6" s="1395" t="s">
        <v>80</v>
      </c>
      <c r="FI6" s="1370"/>
      <c r="FJ6" s="633" t="s">
        <v>240</v>
      </c>
      <c r="FK6" s="634">
        <f t="shared" ref="FK6:FS6" si="16">SUMIF($EP$3:$EP$18,"снизу",EW$3:EW$18)</f>
        <v>0</v>
      </c>
      <c r="FL6" s="635">
        <f t="shared" si="16"/>
        <v>0</v>
      </c>
      <c r="FM6" s="635">
        <f t="shared" si="16"/>
        <v>0</v>
      </c>
      <c r="FN6" s="635">
        <f t="shared" si="16"/>
        <v>0</v>
      </c>
      <c r="FO6" s="635">
        <f t="shared" si="16"/>
        <v>0</v>
      </c>
      <c r="FP6" s="635">
        <f t="shared" si="16"/>
        <v>0</v>
      </c>
      <c r="FQ6" s="635">
        <f t="shared" si="16"/>
        <v>0</v>
      </c>
      <c r="FR6" s="635">
        <f t="shared" si="16"/>
        <v>0</v>
      </c>
      <c r="FS6" s="646">
        <f t="shared" si="16"/>
        <v>0</v>
      </c>
      <c r="FT6" s="637"/>
      <c r="FU6" s="1378"/>
      <c r="FV6" s="1383"/>
    </row>
    <row r="7" spans="1:178" x14ac:dyDescent="0.2">
      <c r="A7" s="296" t="str">
        <f t="shared" si="0"/>
        <v>00TN-C</v>
      </c>
      <c r="B7" s="297">
        <v>0</v>
      </c>
      <c r="C7" s="297">
        <v>0</v>
      </c>
      <c r="D7" s="298" t="s">
        <v>6</v>
      </c>
      <c r="E7" s="387" t="s">
        <v>51</v>
      </c>
      <c r="F7" s="103"/>
      <c r="G7" s="302">
        <v>5</v>
      </c>
      <c r="H7" s="497" t="s">
        <v>869</v>
      </c>
      <c r="I7" s="9"/>
      <c r="J7" s="9"/>
      <c r="K7" s="9"/>
      <c r="L7" s="9"/>
      <c r="M7" s="8"/>
      <c r="N7" s="379" t="s">
        <v>151</v>
      </c>
      <c r="O7" s="9"/>
      <c r="P7" s="9"/>
      <c r="X7" s="49" t="s">
        <v>148</v>
      </c>
      <c r="Y7" s="116" t="s">
        <v>148</v>
      </c>
      <c r="Z7" s="119" t="s">
        <v>148</v>
      </c>
      <c r="AA7" s="8" t="s">
        <v>19</v>
      </c>
      <c r="AB7" s="437">
        <v>4</v>
      </c>
      <c r="AC7" s="8" t="s">
        <v>19</v>
      </c>
      <c r="AD7" s="11" t="s">
        <v>326</v>
      </c>
      <c r="AE7" s="8" t="s">
        <v>19</v>
      </c>
      <c r="AF7" s="736">
        <v>4</v>
      </c>
      <c r="AG7" s="232" t="s">
        <v>19</v>
      </c>
      <c r="AH7" s="259">
        <v>3</v>
      </c>
      <c r="AI7" s="102"/>
      <c r="AJ7" s="102" t="str">
        <f t="shared" si="1"/>
        <v>iC60N</v>
      </c>
      <c r="AK7" s="201" t="s">
        <v>19</v>
      </c>
      <c r="AL7" s="214"/>
      <c r="AM7" s="240">
        <v>3</v>
      </c>
      <c r="AN7" s="102"/>
      <c r="AO7" s="102" t="str">
        <f t="shared" si="2"/>
        <v>iC60N1</v>
      </c>
      <c r="AP7" s="222" t="s">
        <v>19</v>
      </c>
      <c r="AQ7" s="221"/>
      <c r="AR7" s="256">
        <v>1</v>
      </c>
      <c r="AS7" s="222" t="s">
        <v>58</v>
      </c>
      <c r="AT7" s="102"/>
      <c r="AU7" s="232" t="s">
        <v>20</v>
      </c>
      <c r="AV7" s="254" t="s">
        <v>57</v>
      </c>
      <c r="AW7" s="206">
        <v>32</v>
      </c>
      <c r="AX7" s="204" t="s">
        <v>111</v>
      </c>
      <c r="AY7" s="110">
        <v>400</v>
      </c>
      <c r="AZ7" s="32">
        <f>Бланк!D11*8</f>
        <v>2000</v>
      </c>
      <c r="BA7" s="11">
        <f>Бланк!F11*4</f>
        <v>0</v>
      </c>
      <c r="BB7" s="112" t="s">
        <v>307</v>
      </c>
      <c r="BC7" s="11" t="s">
        <v>30</v>
      </c>
      <c r="BD7" s="231">
        <v>25</v>
      </c>
      <c r="BE7" s="232" t="s">
        <v>290</v>
      </c>
      <c r="BF7" s="230" t="s">
        <v>88</v>
      </c>
      <c r="BG7" s="229" t="str">
        <f>IF(
 MID(Бланк!$B16,1,2)="iC",
 IF(
  MID(Бланк!$C16,1,1)="2",
  41,
  IF(
   Бланк!$C16=3,
   42,
   IF(
    Бланк!$C16=4,
    43,
    D!$BA$3
   )
  )
 ),
 IF(
  MID(Бланк!$B16,1,3)="DPN",
  IF(
   MID(Бланк!$E16,1,1)="B",
   44,
   45
  ),
  IF(
   MID(Бланк!$B16,1,6)="iDPN N",
   IF(
    MID(Бланк!$E16,1,1)="B",
    46,
    47
   ),
   IF(
    MID(Бланк!$B16,1,6)="iDPN H",
    48,
    D!$BA$3
   )
  )
 )
)</f>
        <v>-</v>
      </c>
      <c r="BH7" s="819"/>
      <c r="BI7" s="1073" t="s">
        <v>111</v>
      </c>
      <c r="BJ7" s="1074">
        <v>400</v>
      </c>
      <c r="BK7" s="819"/>
      <c r="BL7" s="819"/>
      <c r="BO7" s="819"/>
      <c r="BP7" s="41"/>
      <c r="BQ7" s="213" t="s">
        <v>87</v>
      </c>
      <c r="BR7" s="213" t="str">
        <f>Проверки!Q7</f>
        <v/>
      </c>
      <c r="BS7" s="213" t="str">
        <f>IF(Проверки!M7+Проверки!O7,MID(Проверки!C7,1,1),"")</f>
        <v/>
      </c>
      <c r="BT7" s="213"/>
      <c r="BU7" s="213" t="str">
        <f t="shared" si="12"/>
        <v/>
      </c>
      <c r="BV7" s="213">
        <f t="shared" si="13"/>
        <v>1</v>
      </c>
      <c r="BW7" s="9" t="s">
        <v>735</v>
      </c>
      <c r="BX7" s="213" t="str">
        <f t="shared" ca="1" si="14"/>
        <v>-</v>
      </c>
      <c r="BY7" s="213">
        <f t="shared" ca="1" si="15"/>
        <v>1</v>
      </c>
      <c r="BZ7" s="213"/>
      <c r="CA7" s="41"/>
      <c r="CB7" s="41" t="str">
        <f t="shared" si="3"/>
        <v>iC60225</v>
      </c>
      <c r="CC7" s="213" t="s">
        <v>105</v>
      </c>
      <c r="CD7" s="213">
        <v>2</v>
      </c>
      <c r="CE7" s="214">
        <v>25</v>
      </c>
      <c r="CF7" s="214"/>
      <c r="CG7" s="201" t="s">
        <v>597</v>
      </c>
      <c r="CH7" s="41"/>
      <c r="CI7" s="41"/>
      <c r="CN7" s="43"/>
      <c r="CO7" s="79">
        <v>1200</v>
      </c>
      <c r="CP7" s="4">
        <v>1200</v>
      </c>
      <c r="CQ7" s="79">
        <v>800</v>
      </c>
      <c r="CR7" s="1"/>
      <c r="CS7" s="21" t="s">
        <v>155</v>
      </c>
      <c r="CT7" s="121">
        <v>-45</v>
      </c>
      <c r="CU7" s="906" t="b">
        <v>1</v>
      </c>
      <c r="CV7" s="1"/>
      <c r="CW7" s="1"/>
      <c r="CX7" s="1"/>
      <c r="CY7" s="1"/>
      <c r="CZ7" s="1"/>
      <c r="DA7" s="1"/>
      <c r="DG7" s="400"/>
      <c r="DK7" s="344"/>
      <c r="DL7" s="375" t="str">
        <f t="shared" si="4"/>
        <v>TN-C150</v>
      </c>
      <c r="DM7" s="376" t="s">
        <v>6</v>
      </c>
      <c r="DN7" s="376">
        <v>1</v>
      </c>
      <c r="DO7" s="376">
        <v>50</v>
      </c>
      <c r="DP7" s="376">
        <v>1</v>
      </c>
      <c r="DQ7" s="377" t="s">
        <v>373</v>
      </c>
      <c r="DR7" s="358"/>
      <c r="DS7" s="592" t="str">
        <f t="shared" si="5"/>
        <v>TN-S1</v>
      </c>
      <c r="DT7" s="593" t="s">
        <v>5</v>
      </c>
      <c r="DU7" s="593">
        <v>1</v>
      </c>
      <c r="DV7" s="593">
        <v>3</v>
      </c>
      <c r="DW7" s="358"/>
      <c r="DX7" s="592" t="str">
        <f t="shared" si="6"/>
        <v>TN-C-S3</v>
      </c>
      <c r="DY7" s="593" t="s">
        <v>7</v>
      </c>
      <c r="DZ7" s="593">
        <v>3</v>
      </c>
      <c r="EA7" s="593">
        <v>5</v>
      </c>
      <c r="EB7" s="358"/>
      <c r="EC7" s="593">
        <v>3</v>
      </c>
      <c r="ED7" s="593">
        <v>1</v>
      </c>
      <c r="EE7" s="592">
        <v>1.5</v>
      </c>
      <c r="EF7" s="22"/>
      <c r="EG7" s="620"/>
      <c r="EH7" s="610"/>
      <c r="EI7" s="619" t="s">
        <v>88</v>
      </c>
      <c r="EJ7" s="619">
        <f>Бланк!$O$16</f>
        <v>0</v>
      </c>
      <c r="EK7" s="619">
        <f>IFERROR(VALUE(MID(Бланк!$L16,1,1)),1)*$EJ7</f>
        <v>0</v>
      </c>
      <c r="EL7" s="619" t="str">
        <f>IF(EJ7=EK7,MID(Бланк!$L16,1,100),MID(Бланк!$L16,3,100))</f>
        <v/>
      </c>
      <c r="EM7" s="619">
        <f>Бланк!$M16</f>
        <v>0</v>
      </c>
      <c r="EN7" s="612">
        <f>_xlfn.IFNA(VLOOKUP(Бланк!$K$3&amp;Габариты!$C10,$DX:$EA,4,FALSE)&amp;"x"&amp;VLOOKUP(Проверки!$D8,$EC:$EE,3,FALSE),0)</f>
        <v>0</v>
      </c>
      <c r="EO7" s="612">
        <f t="shared" si="7"/>
        <v>0</v>
      </c>
      <c r="EP7" s="593">
        <f>Бланк!N16</f>
        <v>0</v>
      </c>
      <c r="EQ7" s="593">
        <f>_xlfn.IFNA(VLOOKUP($EL7&amp;" "&amp;$EO7,'Список кабелей'!$I:$J,2,FALSE),0)</f>
        <v>0</v>
      </c>
      <c r="ER7" s="613">
        <f>IF(OR($EL7="-",EO7="-",EP7="-",Проверки!$D8=""),0,VLOOKUP($EO7,'Список кабелей'!$D:$J,7,FALSE))</f>
        <v>0</v>
      </c>
      <c r="ES7" s="593">
        <f t="shared" si="8"/>
        <v>0</v>
      </c>
      <c r="ET7" s="612">
        <f>$EK7*_xlfn.IFNA(VLOOKUP(Проверки!$D8,$EC:$EE,2,FALSE),0)</f>
        <v>0</v>
      </c>
      <c r="EU7" s="612">
        <f t="shared" si="9"/>
        <v>0</v>
      </c>
      <c r="EV7" s="616">
        <f>IF($ER7=0,0,VLOOKUP(ER7,'Список кабелей'!$Q$3:$R$11,2,0))</f>
        <v>0</v>
      </c>
      <c r="EW7" s="617">
        <f t="shared" si="10"/>
        <v>0</v>
      </c>
      <c r="EX7" s="613">
        <f t="shared" si="10"/>
        <v>0</v>
      </c>
      <c r="EY7" s="613">
        <f t="shared" si="10"/>
        <v>0</v>
      </c>
      <c r="EZ7" s="613">
        <f t="shared" si="10"/>
        <v>0</v>
      </c>
      <c r="FA7" s="613">
        <f t="shared" si="10"/>
        <v>0</v>
      </c>
      <c r="FB7" s="613">
        <f t="shared" si="10"/>
        <v>0</v>
      </c>
      <c r="FC7" s="613">
        <f t="shared" si="10"/>
        <v>0</v>
      </c>
      <c r="FD7" s="613">
        <f t="shared" si="10"/>
        <v>0</v>
      </c>
      <c r="FE7" s="618">
        <f t="shared" si="10"/>
        <v>0</v>
      </c>
      <c r="FH7" s="1367"/>
      <c r="FI7" s="1370"/>
      <c r="FJ7" s="638" t="s">
        <v>233</v>
      </c>
      <c r="FK7" s="639">
        <f>IF(FK$6&gt;0,FK$6/(IF($EH$3=D!$FJ$17,FK$17,IF($EH$3=D!$FJ$20,FK$20,IF($EH$3=D!$FJ$23,FK$23,)))),0)</f>
        <v>0</v>
      </c>
      <c r="FL7" s="647">
        <f>IF(FL$6&gt;0,FL$6/(IF($EH$3=D!$FJ$17,FL$17,IF($EH$3=D!$FJ$20,FL$20,IF($EH$3=D!$FJ$23,FL$23,)))),0)</f>
        <v>0</v>
      </c>
      <c r="FM7" s="647">
        <f>IF(FM$6&gt;0,FM$6/(IF($EH$3=D!$FJ$17,FM$17,IF($EH$3=D!$FJ$20,FM$20,IF($EH$3=D!$FJ$23,FM$23,)))),0)</f>
        <v>0</v>
      </c>
      <c r="FN7" s="647">
        <f>IF(FN$6&gt;0,FN$6/(IF($EH$3=D!$FJ$17,FN$17,IF($EH$3=D!$FJ$20,FN$20,IF($EH$3=D!$FJ$23,FN$23,)))),0)</f>
        <v>0</v>
      </c>
      <c r="FO7" s="647">
        <f>IF(FO$6&gt;0,FO$6/(IF($EH$3=D!$FJ$17,FO$17,IF($EH$3=D!$FJ$20,FO$20,IF($EH$3=D!$FJ$23,FO$23,)))),0)</f>
        <v>0</v>
      </c>
      <c r="FP7" s="647">
        <f>IF(FP$6&gt;0,FP$6/(IF($EH$3=D!$FJ$17,FP$17,IF($EH$3=D!$FJ$20,FP$20,IF($EH$3=D!$FJ$23,FP$23,)))),0)</f>
        <v>0</v>
      </c>
      <c r="FQ7" s="647">
        <f>IF(FQ$6&gt;0,FQ$6/(IF($EH$3=D!$FJ$17,FQ$17,IF($EH$3=D!$FJ$20,FQ$20,IF($EH$3=D!$FJ$23,FQ$23,)))),0)</f>
        <v>0</v>
      </c>
      <c r="FR7" s="647">
        <f>IF(FR$6&gt;0,FR$6/(IF($EH$3=D!$FJ$17,FR$17,IF($EH$3=D!$FJ$20,FR$20,IF($EH$3=D!$FJ$23,FR$23,)))),0)</f>
        <v>0</v>
      </c>
      <c r="FS7" s="641">
        <f>IF(FS$6&gt;0,FS$6/(IF($EH$3=D!$FJ$17,FS$17,IF($EH$3=D!$FJ$20,FS$20,IF($EH$3=D!$FJ$23,FS$23,)))),0)</f>
        <v>0</v>
      </c>
      <c r="FT7" s="1376">
        <f>SUM(FK8:FS8)</f>
        <v>0</v>
      </c>
      <c r="FU7" s="1378"/>
      <c r="FV7" s="1383"/>
    </row>
    <row r="8" spans="1:178" ht="13.5" thickBot="1" x14ac:dyDescent="0.25">
      <c r="A8" s="296" t="str">
        <f t="shared" si="0"/>
        <v>10TN-C-S</v>
      </c>
      <c r="B8" s="297">
        <v>1</v>
      </c>
      <c r="C8" s="297">
        <v>0</v>
      </c>
      <c r="D8" s="298" t="s">
        <v>7</v>
      </c>
      <c r="E8" s="387" t="s">
        <v>52</v>
      </c>
      <c r="G8" s="302">
        <v>6</v>
      </c>
      <c r="H8" s="497" t="s">
        <v>869</v>
      </c>
      <c r="K8" s="9"/>
      <c r="N8" s="382"/>
      <c r="X8" s="49" t="s">
        <v>149</v>
      </c>
      <c r="Y8" s="120" t="s">
        <v>149</v>
      </c>
      <c r="Z8" s="154" t="s">
        <v>149</v>
      </c>
      <c r="AA8" s="8" t="s">
        <v>20</v>
      </c>
      <c r="AB8" s="437">
        <v>1</v>
      </c>
      <c r="AC8" s="8" t="s">
        <v>19</v>
      </c>
      <c r="AD8" s="11" t="s">
        <v>139</v>
      </c>
      <c r="AE8" s="8" t="s">
        <v>19</v>
      </c>
      <c r="AF8" s="736">
        <v>5</v>
      </c>
      <c r="AG8" s="232" t="s">
        <v>19</v>
      </c>
      <c r="AH8" s="259">
        <v>4</v>
      </c>
      <c r="AI8" s="102"/>
      <c r="AJ8" s="102" t="str">
        <f t="shared" si="1"/>
        <v>iC60N</v>
      </c>
      <c r="AK8" s="201" t="s">
        <v>19</v>
      </c>
      <c r="AL8" s="214"/>
      <c r="AM8" s="240">
        <v>4</v>
      </c>
      <c r="AN8" s="102"/>
      <c r="AO8" s="102" t="str">
        <f t="shared" si="2"/>
        <v>iC60N1</v>
      </c>
      <c r="AP8" s="222" t="s">
        <v>19</v>
      </c>
      <c r="AQ8" s="221"/>
      <c r="AR8" s="256">
        <v>1</v>
      </c>
      <c r="AS8" s="222" t="s">
        <v>59</v>
      </c>
      <c r="AT8" s="102"/>
      <c r="AU8" s="232" t="s">
        <v>20</v>
      </c>
      <c r="AV8" s="254" t="s">
        <v>58</v>
      </c>
      <c r="AW8" s="206">
        <v>40</v>
      </c>
      <c r="AX8" s="204" t="s">
        <v>62</v>
      </c>
      <c r="AY8" s="110">
        <v>500</v>
      </c>
      <c r="AZ8" s="32">
        <f>Бланк!D11*9</f>
        <v>2250</v>
      </c>
      <c r="BA8" s="11">
        <f>Бланк!F11*5</f>
        <v>0</v>
      </c>
      <c r="BB8" s="43" t="s">
        <v>308</v>
      </c>
      <c r="BC8" s="11" t="s">
        <v>30</v>
      </c>
      <c r="BD8" s="231">
        <v>25</v>
      </c>
      <c r="BE8" s="232" t="s">
        <v>291</v>
      </c>
      <c r="BF8" s="230" t="s">
        <v>89</v>
      </c>
      <c r="BG8" s="229" t="str">
        <f>IF(
 MID(Бланк!$B17,1,2)="iC",
 IF(
  MID(Бланк!$C17,1,1)="2",
  51,
  IF(
   Бланк!$C17=3,
   52,
   IF(
    Бланк!$C17=4,
    53,
    D!$BA$3
   )
  )
 ),
 IF(
  MID(Бланк!$B17,1,3)="DPN",
  IF(
   MID(Бланк!$E17,1,1)="B",
   54,
   55
  ),
  IF(
   MID(Бланк!$B17,1,6)="iDPN N",
   IF(
    MID(Бланк!$E17,1,1)="B",
    56,
    57
   ),
   IF(
    MID(Бланк!$B17,1,6)="iDPN H",
    58,
    D!$BA$3
   )
  )
 )
)</f>
        <v>-</v>
      </c>
      <c r="BH8" s="819"/>
      <c r="BI8" s="1073" t="s">
        <v>62</v>
      </c>
      <c r="BJ8" s="1074">
        <v>500</v>
      </c>
      <c r="BK8" s="819"/>
      <c r="BL8" s="819"/>
      <c r="BO8" s="819"/>
      <c r="BP8" s="41"/>
      <c r="BQ8" s="213" t="s">
        <v>88</v>
      </c>
      <c r="BR8" s="213" t="str">
        <f>Проверки!Q8</f>
        <v/>
      </c>
      <c r="BS8" s="213" t="str">
        <f>IF(Проверки!M8+Проверки!O8,MID(Проверки!C8,1,1),"")</f>
        <v/>
      </c>
      <c r="BT8" s="213"/>
      <c r="BU8" s="213" t="str">
        <f t="shared" si="12"/>
        <v/>
      </c>
      <c r="BV8" s="213">
        <f t="shared" si="13"/>
        <v>1</v>
      </c>
      <c r="BW8" s="9" t="e">
        <f>MID(Бланк!$B$11,SEARCH("ПР06-",Бланк!$B$11)+5,3)</f>
        <v>#VALUE!</v>
      </c>
      <c r="BX8" s="213" t="str">
        <f t="shared" ca="1" si="14"/>
        <v>-</v>
      </c>
      <c r="BY8" s="213">
        <f t="shared" ca="1" si="15"/>
        <v>1</v>
      </c>
      <c r="BZ8" s="213"/>
      <c r="CA8" s="41"/>
      <c r="CB8" s="41" t="str">
        <f t="shared" si="3"/>
        <v>iC60225</v>
      </c>
      <c r="CC8" s="213" t="s">
        <v>105</v>
      </c>
      <c r="CD8" s="213">
        <v>2</v>
      </c>
      <c r="CE8" s="214">
        <v>25</v>
      </c>
      <c r="CF8" s="214"/>
      <c r="CG8" s="201" t="s">
        <v>598</v>
      </c>
      <c r="CH8" s="41"/>
      <c r="CI8" s="41"/>
      <c r="CN8" s="43"/>
      <c r="CO8" s="1"/>
      <c r="CP8" s="4">
        <v>1600</v>
      </c>
      <c r="CQ8" s="79">
        <v>1000</v>
      </c>
      <c r="CR8" s="1"/>
      <c r="CS8" s="21" t="s">
        <v>46</v>
      </c>
      <c r="CT8" s="121">
        <v>-10</v>
      </c>
      <c r="CU8" s="906" t="b">
        <v>1</v>
      </c>
      <c r="CV8" s="1"/>
      <c r="CW8" s="1"/>
      <c r="CX8" s="1"/>
      <c r="CY8" s="1"/>
      <c r="CZ8" s="1"/>
      <c r="DA8" s="1"/>
      <c r="DG8" s="400"/>
      <c r="DK8" s="344"/>
      <c r="DL8" s="375" t="str">
        <f t="shared" si="4"/>
        <v>TN-C163</v>
      </c>
      <c r="DM8" s="376" t="s">
        <v>6</v>
      </c>
      <c r="DN8" s="376">
        <v>1</v>
      </c>
      <c r="DO8" s="376">
        <v>63</v>
      </c>
      <c r="DP8" s="376">
        <v>1</v>
      </c>
      <c r="DQ8" s="377" t="s">
        <v>374</v>
      </c>
      <c r="DR8" s="358"/>
      <c r="DS8" s="592" t="str">
        <f t="shared" si="5"/>
        <v>TN-S2</v>
      </c>
      <c r="DT8" s="593" t="s">
        <v>5</v>
      </c>
      <c r="DU8" s="593">
        <v>2</v>
      </c>
      <c r="DV8" s="593">
        <v>3</v>
      </c>
      <c r="DW8" s="358"/>
      <c r="DX8" s="592" t="str">
        <f t="shared" si="6"/>
        <v>TN-C-S4</v>
      </c>
      <c r="DY8" s="593" t="s">
        <v>7</v>
      </c>
      <c r="DZ8" s="593">
        <v>4</v>
      </c>
      <c r="EA8" s="593">
        <v>5</v>
      </c>
      <c r="EB8" s="358"/>
      <c r="EC8" s="593">
        <v>4</v>
      </c>
      <c r="ED8" s="593">
        <v>1</v>
      </c>
      <c r="EE8" s="592">
        <v>1.5</v>
      </c>
      <c r="EF8" s="22"/>
      <c r="EG8" s="620"/>
      <c r="EH8" s="610"/>
      <c r="EI8" s="619" t="s">
        <v>89</v>
      </c>
      <c r="EJ8" s="619">
        <f>Бланк!$O$17</f>
        <v>0</v>
      </c>
      <c r="EK8" s="619">
        <f>IFERROR(VALUE(MID(Бланк!$L17,1,1)),1)*$EJ8</f>
        <v>0</v>
      </c>
      <c r="EL8" s="619" t="str">
        <f>IF(EJ8=EK8,MID(Бланк!$L17,1,100),MID(Бланк!$L17,3,100))</f>
        <v/>
      </c>
      <c r="EM8" s="619">
        <f>Бланк!$M17</f>
        <v>0</v>
      </c>
      <c r="EN8" s="612">
        <f>_xlfn.IFNA(VLOOKUP(Бланк!$K$3&amp;Габариты!$C11,$DX:$EA,4,FALSE)&amp;"x"&amp;VLOOKUP(Проверки!$D9,$EC:$EE,3,FALSE),0)</f>
        <v>0</v>
      </c>
      <c r="EO8" s="612">
        <f t="shared" si="7"/>
        <v>0</v>
      </c>
      <c r="EP8" s="593">
        <f>Бланк!N17</f>
        <v>0</v>
      </c>
      <c r="EQ8" s="593">
        <f>_xlfn.IFNA(VLOOKUP($EL8&amp;" "&amp;$EO8,'Список кабелей'!$I:$J,2,FALSE),0)</f>
        <v>0</v>
      </c>
      <c r="ER8" s="613">
        <f>IF(OR($EL8="-",EO8="-",EP8="-",Проверки!$D9=""),0,VLOOKUP($EO8,'Список кабелей'!$D:$J,7,FALSE))</f>
        <v>0</v>
      </c>
      <c r="ES8" s="593">
        <f t="shared" si="8"/>
        <v>0</v>
      </c>
      <c r="ET8" s="612">
        <f>$EK8*_xlfn.IFNA(VLOOKUP(Проверки!$D9,$EC:$EE,2,FALSE),0)</f>
        <v>0</v>
      </c>
      <c r="EU8" s="612">
        <f t="shared" si="9"/>
        <v>0</v>
      </c>
      <c r="EV8" s="616">
        <f>IF($ER8=0,0,VLOOKUP(ER8,'Список кабелей'!$Q$3:$R$11,2,0))</f>
        <v>0</v>
      </c>
      <c r="EW8" s="617">
        <f t="shared" si="10"/>
        <v>0</v>
      </c>
      <c r="EX8" s="613">
        <f t="shared" si="10"/>
        <v>0</v>
      </c>
      <c r="EY8" s="613">
        <f t="shared" si="10"/>
        <v>0</v>
      </c>
      <c r="EZ8" s="613">
        <f t="shared" si="10"/>
        <v>0</v>
      </c>
      <c r="FA8" s="613">
        <f t="shared" si="10"/>
        <v>0</v>
      </c>
      <c r="FB8" s="613">
        <f t="shared" si="10"/>
        <v>0</v>
      </c>
      <c r="FC8" s="613">
        <f t="shared" si="10"/>
        <v>0</v>
      </c>
      <c r="FD8" s="613">
        <f t="shared" si="10"/>
        <v>0</v>
      </c>
      <c r="FE8" s="618">
        <f t="shared" si="10"/>
        <v>0</v>
      </c>
      <c r="FH8" s="1369"/>
      <c r="FI8" s="1371"/>
      <c r="FJ8" s="642" t="s">
        <v>862</v>
      </c>
      <c r="FK8" s="643">
        <f>IF(ISERROR(FK7),0,ROUNDUP(FK7,0))*VLOOKUP(FK$2,'Список кабелей'!$Q$3:$R$11,2,0)</f>
        <v>0</v>
      </c>
      <c r="FL8" s="644">
        <f>IF(ISERROR(FL7),0,ROUNDUP(FL7,0))*VLOOKUP(FL$2,'Список кабелей'!$Q$3:$R$11,2,0)</f>
        <v>0</v>
      </c>
      <c r="FM8" s="644">
        <f>IF(ISERROR(FM7),0,ROUNDUP(FM7,0))*VLOOKUP(FM$2,'Список кабелей'!$Q$3:$R$11,2,0)</f>
        <v>0</v>
      </c>
      <c r="FN8" s="644">
        <f>IF(ISERROR(FN7),0,ROUNDUP(FN7,0))*VLOOKUP(FN$2,'Список кабелей'!$Q$3:$R$11,2,0)</f>
        <v>0</v>
      </c>
      <c r="FO8" s="644">
        <f>IF(ISERROR(FO7),0,ROUNDUP(FO7,0))*VLOOKUP(FO$2,'Список кабелей'!$Q$3:$R$11,2,0)</f>
        <v>0</v>
      </c>
      <c r="FP8" s="644">
        <f>IF(ISERROR(FP7),0,ROUNDUP(FP7,0))*VLOOKUP(FP$2,'Список кабелей'!$Q$3:$R$11,2,0)</f>
        <v>0</v>
      </c>
      <c r="FQ8" s="644">
        <f>IF(ISERROR(FQ7),0,ROUNDUP(FQ7,0))*VLOOKUP(FQ$2,'Список кабелей'!$Q$3:$R$11,2,0)</f>
        <v>0</v>
      </c>
      <c r="FR8" s="644">
        <f>IF(ISERROR(FR7),0,ROUNDUP(FR7,0))*VLOOKUP(FR$2,'Список кабелей'!$Q$3:$R$11,2,0)</f>
        <v>0</v>
      </c>
      <c r="FS8" s="645">
        <f>IF(ISERROR(FS7),0,ROUNDUP(FS7,0))*VLOOKUP(FS$2,'Список кабелей'!$Q$3:$R$11,2,0)</f>
        <v>0</v>
      </c>
      <c r="FT8" s="1373"/>
      <c r="FU8" s="1379"/>
      <c r="FV8" s="1384"/>
    </row>
    <row r="9" spans="1:178" x14ac:dyDescent="0.2">
      <c r="A9" s="296" t="str">
        <f t="shared" si="0"/>
        <v>00TN-C-S</v>
      </c>
      <c r="B9" s="297">
        <v>0</v>
      </c>
      <c r="C9" s="297">
        <v>0</v>
      </c>
      <c r="D9" s="298" t="s">
        <v>7</v>
      </c>
      <c r="E9" s="387" t="s">
        <v>53</v>
      </c>
      <c r="F9" s="22"/>
      <c r="G9" s="302">
        <v>10</v>
      </c>
      <c r="H9" s="497" t="s">
        <v>869</v>
      </c>
      <c r="I9" s="470"/>
      <c r="J9" s="470"/>
      <c r="K9" s="470"/>
      <c r="L9" s="470"/>
      <c r="M9" s="470"/>
      <c r="N9" s="22"/>
      <c r="X9" s="49" t="s">
        <v>150</v>
      </c>
      <c r="Y9" s="120" t="s">
        <v>150</v>
      </c>
      <c r="Z9" s="154" t="s">
        <v>150</v>
      </c>
      <c r="AA9" s="8" t="s">
        <v>20</v>
      </c>
      <c r="AB9" s="437">
        <v>2</v>
      </c>
      <c r="AC9" s="8" t="s">
        <v>19</v>
      </c>
      <c r="AD9" s="11" t="s">
        <v>140</v>
      </c>
      <c r="AE9" s="8" t="s">
        <v>19</v>
      </c>
      <c r="AF9" s="736">
        <v>6</v>
      </c>
      <c r="AG9" s="232" t="s">
        <v>19</v>
      </c>
      <c r="AH9" s="259">
        <v>5</v>
      </c>
      <c r="AI9" s="102"/>
      <c r="AJ9" s="102" t="str">
        <f t="shared" si="1"/>
        <v>iC60N</v>
      </c>
      <c r="AK9" s="201" t="s">
        <v>19</v>
      </c>
      <c r="AL9" s="240"/>
      <c r="AM9" s="240">
        <v>5</v>
      </c>
      <c r="AN9" s="102"/>
      <c r="AO9" s="102" t="str">
        <f t="shared" si="2"/>
        <v>iC60N2</v>
      </c>
      <c r="AP9" s="222" t="s">
        <v>19</v>
      </c>
      <c r="AQ9" s="221"/>
      <c r="AR9" s="256">
        <v>2</v>
      </c>
      <c r="AS9" s="222" t="s">
        <v>57</v>
      </c>
      <c r="AT9" s="102"/>
      <c r="AU9" s="232" t="s">
        <v>20</v>
      </c>
      <c r="AV9" s="254" t="s">
        <v>59</v>
      </c>
      <c r="AW9" s="206">
        <v>40</v>
      </c>
      <c r="AX9" s="204" t="s">
        <v>565</v>
      </c>
      <c r="AY9" s="110">
        <v>80</v>
      </c>
      <c r="AZ9" s="32">
        <f>Бланк!D11*10</f>
        <v>2500</v>
      </c>
      <c r="BA9" s="11">
        <f>Бланк!F11*6</f>
        <v>0</v>
      </c>
      <c r="BB9" s="9" t="s">
        <v>60</v>
      </c>
      <c r="BC9" s="11">
        <f>0.7*16</f>
        <v>11.2</v>
      </c>
      <c r="BD9" s="231">
        <v>25</v>
      </c>
      <c r="BE9" s="232" t="s">
        <v>292</v>
      </c>
      <c r="BF9" s="230" t="s">
        <v>90</v>
      </c>
      <c r="BG9" s="229" t="str">
        <f>IF(
 MID(Бланк!$B18,1,2)="iC",
 IF(
  MID(Бланк!$C18,1,1)="2",
  61,
  IF(
   Бланк!$C18=3,
   62,
   IF(
    Бланк!$C18=4,
    63,
    D!$BA$3
   )
  )
 ),
 IF(
  MID(Бланк!$B18,1,3)="DPN",
  IF(
   MID(Бланк!$E18,1,1)="B",
   64,
   65
  ),
  IF(
   MID(Бланк!$B18,1,6)="iDPN N",
   IF(
    MID(Бланк!$E18,1,1)="B",
    66,
    67
   ),
   IF(
    MID(Бланк!$B18,1,6)="iDPN H",
    68,
    D!$BA$3
   )
  )
 )
)</f>
        <v>-</v>
      </c>
      <c r="BH9" s="819"/>
      <c r="BI9" s="1073" t="s">
        <v>565</v>
      </c>
      <c r="BJ9" s="1074">
        <v>80</v>
      </c>
      <c r="BK9" s="819"/>
      <c r="BL9" s="819"/>
      <c r="BO9" s="819"/>
      <c r="BP9" s="41"/>
      <c r="BQ9" s="213" t="s">
        <v>89</v>
      </c>
      <c r="BR9" s="213" t="str">
        <f>Проверки!Q9</f>
        <v/>
      </c>
      <c r="BS9" s="213" t="str">
        <f>IF(Проверки!M9+Проверки!O9,MID(Проверки!C9,1,1),"")</f>
        <v/>
      </c>
      <c r="BT9" s="213"/>
      <c r="BU9" s="213" t="str">
        <f t="shared" si="12"/>
        <v/>
      </c>
      <c r="BV9" s="213">
        <f t="shared" si="13"/>
        <v>1</v>
      </c>
      <c r="BX9" s="213" t="str">
        <f t="shared" ca="1" si="14"/>
        <v>-</v>
      </c>
      <c r="BY9" s="213">
        <f t="shared" ca="1" si="15"/>
        <v>1</v>
      </c>
      <c r="BZ9" s="213"/>
      <c r="CA9" s="41"/>
      <c r="CB9" s="41" t="str">
        <f t="shared" si="3"/>
        <v>iC60225</v>
      </c>
      <c r="CC9" s="213" t="s">
        <v>105</v>
      </c>
      <c r="CD9" s="213">
        <v>2</v>
      </c>
      <c r="CE9" s="214">
        <v>25</v>
      </c>
      <c r="CF9" s="214"/>
      <c r="CG9" s="201" t="s">
        <v>600</v>
      </c>
      <c r="CH9" s="41"/>
      <c r="CI9" s="41"/>
      <c r="CO9" s="1"/>
      <c r="CP9" s="4">
        <v>1800</v>
      </c>
      <c r="CQ9" s="79">
        <v>1200</v>
      </c>
      <c r="CR9" s="1"/>
      <c r="CS9" s="21" t="s">
        <v>156</v>
      </c>
      <c r="CT9" s="121">
        <v>-10</v>
      </c>
      <c r="CU9" s="906" t="b">
        <v>1</v>
      </c>
      <c r="CV9" s="1"/>
      <c r="CW9" s="1"/>
      <c r="CX9" s="1"/>
      <c r="CY9" s="1"/>
      <c r="CZ9" s="1"/>
      <c r="DA9" s="1"/>
      <c r="DG9" s="400"/>
      <c r="DK9" s="344"/>
      <c r="DL9" s="375" t="str">
        <f t="shared" si="4"/>
        <v>TN-C180</v>
      </c>
      <c r="DM9" s="376" t="s">
        <v>6</v>
      </c>
      <c r="DN9" s="376">
        <v>1</v>
      </c>
      <c r="DO9" s="376">
        <v>80</v>
      </c>
      <c r="DP9" s="376">
        <v>1</v>
      </c>
      <c r="DQ9" s="377" t="s">
        <v>375</v>
      </c>
      <c r="DR9" s="358"/>
      <c r="DS9" s="592" t="str">
        <f t="shared" si="5"/>
        <v>TN-S3</v>
      </c>
      <c r="DT9" s="593" t="s">
        <v>5</v>
      </c>
      <c r="DU9" s="593">
        <v>3</v>
      </c>
      <c r="DV9" s="593">
        <v>5</v>
      </c>
      <c r="DW9" s="358"/>
      <c r="DX9" s="592" t="str">
        <f t="shared" si="6"/>
        <v>TN-S1</v>
      </c>
      <c r="DY9" s="593" t="s">
        <v>5</v>
      </c>
      <c r="DZ9" s="593">
        <v>1</v>
      </c>
      <c r="EA9" s="593">
        <v>3</v>
      </c>
      <c r="EB9" s="358"/>
      <c r="EC9" s="593">
        <v>5</v>
      </c>
      <c r="ED9" s="593">
        <v>1</v>
      </c>
      <c r="EE9" s="592">
        <v>1.5</v>
      </c>
      <c r="EF9" s="22"/>
      <c r="EG9" s="620"/>
      <c r="EH9" s="610"/>
      <c r="EI9" s="619" t="s">
        <v>90</v>
      </c>
      <c r="EJ9" s="619">
        <f>Бланк!$O$18</f>
        <v>0</v>
      </c>
      <c r="EK9" s="619">
        <f>IFERROR(VALUE(MID(Бланк!$L18,1,1)),1)*$EJ9</f>
        <v>0</v>
      </c>
      <c r="EL9" s="619" t="str">
        <f>IF(EJ9=EK9,MID(Бланк!$L18,1,100),MID(Бланк!$L18,3,100))</f>
        <v/>
      </c>
      <c r="EM9" s="619">
        <f>Бланк!$M18</f>
        <v>0</v>
      </c>
      <c r="EN9" s="612">
        <f>_xlfn.IFNA(VLOOKUP(Бланк!$K$3&amp;Габариты!$C12,$DX:$EA,4,FALSE)&amp;"x"&amp;VLOOKUP(Проверки!$D10,$EC:$EE,3,FALSE),0)</f>
        <v>0</v>
      </c>
      <c r="EO9" s="612">
        <f t="shared" si="7"/>
        <v>0</v>
      </c>
      <c r="EP9" s="593">
        <f>Бланк!N18</f>
        <v>0</v>
      </c>
      <c r="EQ9" s="593">
        <f>_xlfn.IFNA(VLOOKUP($EL9&amp;" "&amp;$EO9,'Список кабелей'!$I:$J,2,FALSE),0)</f>
        <v>0</v>
      </c>
      <c r="ER9" s="613">
        <f>IF(OR($EL9="-",EO9="-",EP9="-",Проверки!$D10=""),0,VLOOKUP($EO9,'Список кабелей'!$D:$J,7,FALSE))</f>
        <v>0</v>
      </c>
      <c r="ES9" s="593">
        <f t="shared" si="8"/>
        <v>0</v>
      </c>
      <c r="ET9" s="612">
        <f>$EK9*_xlfn.IFNA(VLOOKUP(Проверки!$D10,$EC:$EE,2,FALSE),0)</f>
        <v>0</v>
      </c>
      <c r="EU9" s="612">
        <f t="shared" si="9"/>
        <v>0</v>
      </c>
      <c r="EV9" s="616">
        <f>IF($ER9=0,0,VLOOKUP(ER9,'Список кабелей'!$Q$3:$R$11,2,0))</f>
        <v>0</v>
      </c>
      <c r="EW9" s="617">
        <f t="shared" si="10"/>
        <v>0</v>
      </c>
      <c r="EX9" s="613">
        <f t="shared" si="10"/>
        <v>0</v>
      </c>
      <c r="EY9" s="613">
        <f t="shared" si="10"/>
        <v>0</v>
      </c>
      <c r="EZ9" s="613">
        <f t="shared" si="10"/>
        <v>0</v>
      </c>
      <c r="FA9" s="613">
        <f t="shared" si="10"/>
        <v>0</v>
      </c>
      <c r="FB9" s="613">
        <f t="shared" si="10"/>
        <v>0</v>
      </c>
      <c r="FC9" s="613">
        <f t="shared" si="10"/>
        <v>0</v>
      </c>
      <c r="FD9" s="613">
        <f t="shared" si="10"/>
        <v>0</v>
      </c>
      <c r="FE9" s="618">
        <f t="shared" si="10"/>
        <v>0</v>
      </c>
      <c r="FH9" s="1395" t="s">
        <v>79</v>
      </c>
      <c r="FI9" s="1370" t="s">
        <v>235</v>
      </c>
      <c r="FJ9" s="638" t="s">
        <v>233</v>
      </c>
      <c r="FK9" s="639">
        <f>IF(FK$3&gt;0,FK$3/(IF($EH$3=D!$FJ$18,FK$18,IF($EH$3=D!$FJ$21,FK$21,IF($EH$3=D!$FJ$24,FK$24,)))),0)</f>
        <v>0</v>
      </c>
      <c r="FL9" s="647">
        <f>IF(FL$3&gt;0,FL$3/(IF($EH$3=D!$FJ$18,FL$18,IF($EH$3=D!$FJ$21,FL$21,IF($EH$3=D!$FJ$24,FL$24,)))),0)</f>
        <v>0.5</v>
      </c>
      <c r="FM9" s="647">
        <f>IF(FM$3&gt;0,FM$3/(IF($EH$3=D!$FJ$18,FM$18,IF($EH$3=D!$FJ$21,FM$21,IF($EH$3=D!$FJ$24,FM$24,)))),0)</f>
        <v>0</v>
      </c>
      <c r="FN9" s="647">
        <f>IF(FN$3&gt;0,FN$3/(IF($EH$3=D!$FJ$18,FN$18,IF($EH$3=D!$FJ$21,FN$21,IF($EH$3=D!$FJ$24,FN$24,)))),0)</f>
        <v>0</v>
      </c>
      <c r="FO9" s="647">
        <f>IF(FO$3&gt;0,FO$3/(IF($EH$3=D!$FJ$18,FO$18,IF($EH$3=D!$FJ$21,FO$21,IF($EH$3=D!$FJ$24,FO$24,)))),0)</f>
        <v>0</v>
      </c>
      <c r="FP9" s="647">
        <f>IF(FP$3&gt;0,FP$3/(IF($EH$3=D!$FJ$18,FP$18,IF($EH$3=D!$FJ$21,FP$21,IF($EH$3=D!$FJ$24,FP$24,)))),0)</f>
        <v>0</v>
      </c>
      <c r="FQ9" s="647">
        <f>IF(FQ$3&gt;0,FQ$3/(IF($EH$3=D!$FJ$18,FQ$18,IF($EH$3=D!$FJ$21,FQ$21,IF($EH$3=D!$FJ$24,FQ$24,)))),0)</f>
        <v>0.75</v>
      </c>
      <c r="FR9" s="647">
        <f>IF(FR$3&gt;0,FR$3/(IF($EH$3=D!$FJ$18,FR$18,IF($EH$3=D!$FJ$21,FR$21,IF($EH$3=D!$FJ$24,FR$24,)))),0)</f>
        <v>0</v>
      </c>
      <c r="FS9" s="641">
        <f>IF(FS$3&gt;0,FS$3/(IF($EH$3=D!$FJ$18,FS$18,IF($EH$3=D!$FJ$21,FS$21,IF($EH$3=D!$FJ$24,FS$24,)))),0)</f>
        <v>1.8</v>
      </c>
      <c r="FT9" s="1372">
        <f>SUM(FK10:FS10)</f>
        <v>202</v>
      </c>
      <c r="FU9" s="1377">
        <f>MID($FI9,1,3)-70</f>
        <v>230</v>
      </c>
      <c r="FV9" s="1382" t="b">
        <f>AND(NOT(ISERROR(SUM(FK9:FS11))),MAX(FT9,FT11)&lt;($EG$3-100))</f>
        <v>1</v>
      </c>
    </row>
    <row r="10" spans="1:178" ht="13.5" thickBot="1" x14ac:dyDescent="0.25">
      <c r="A10" s="296" t="str">
        <f t="shared" si="0"/>
        <v>11TT</v>
      </c>
      <c r="B10" s="297">
        <v>1</v>
      </c>
      <c r="C10" s="297">
        <v>1</v>
      </c>
      <c r="D10" s="298" t="s">
        <v>763</v>
      </c>
      <c r="E10" s="387" t="s">
        <v>54</v>
      </c>
      <c r="F10" s="22"/>
      <c r="G10" s="302">
        <v>13</v>
      </c>
      <c r="H10" s="497" t="s">
        <v>869</v>
      </c>
      <c r="I10" s="470"/>
      <c r="J10" s="470"/>
      <c r="K10" s="470"/>
      <c r="L10" s="470"/>
      <c r="M10" s="470"/>
      <c r="N10" s="102"/>
      <c r="X10" s="155" t="s">
        <v>344</v>
      </c>
      <c r="Y10" s="120" t="s">
        <v>344</v>
      </c>
      <c r="Z10" s="119" t="s">
        <v>362</v>
      </c>
      <c r="AA10" s="8" t="s">
        <v>20</v>
      </c>
      <c r="AB10" s="437">
        <v>3</v>
      </c>
      <c r="AC10" s="8" t="s">
        <v>19</v>
      </c>
      <c r="AD10" s="11" t="s">
        <v>141</v>
      </c>
      <c r="AE10" s="8" t="s">
        <v>19</v>
      </c>
      <c r="AF10" s="736">
        <v>10</v>
      </c>
      <c r="AG10" s="232" t="s">
        <v>19</v>
      </c>
      <c r="AH10" s="259">
        <v>6</v>
      </c>
      <c r="AI10" s="102"/>
      <c r="AJ10" s="102" t="str">
        <f t="shared" si="1"/>
        <v>iC60N</v>
      </c>
      <c r="AK10" s="201" t="s">
        <v>19</v>
      </c>
      <c r="AL10" s="240"/>
      <c r="AM10" s="240">
        <v>6</v>
      </c>
      <c r="AN10" s="102"/>
      <c r="AO10" s="102" t="str">
        <f t="shared" si="2"/>
        <v>iC60N2</v>
      </c>
      <c r="AP10" s="222" t="s">
        <v>19</v>
      </c>
      <c r="AQ10" s="222"/>
      <c r="AR10" s="256">
        <v>2</v>
      </c>
      <c r="AS10" s="222" t="s">
        <v>58</v>
      </c>
      <c r="AT10" s="102"/>
      <c r="AU10" s="232" t="s">
        <v>21</v>
      </c>
      <c r="AV10" s="254" t="s">
        <v>57</v>
      </c>
      <c r="AW10" s="206">
        <v>40</v>
      </c>
      <c r="AX10" s="204" t="s">
        <v>71</v>
      </c>
      <c r="AY10" s="110" t="s">
        <v>30</v>
      </c>
      <c r="AZ10" s="32"/>
      <c r="BA10" s="11">
        <f>Бланк!F11*7</f>
        <v>0</v>
      </c>
      <c r="BB10" s="9" t="s">
        <v>60</v>
      </c>
      <c r="BC10" s="11">
        <f>0.8*16</f>
        <v>12.8</v>
      </c>
      <c r="BD10" s="231">
        <v>40</v>
      </c>
      <c r="BE10" s="232" t="s">
        <v>595</v>
      </c>
      <c r="BF10" s="230" t="s">
        <v>91</v>
      </c>
      <c r="BG10" s="229" t="str">
        <f>IF(
 MID(Бланк!$B19,1,2)="iC",
 IF(
  MID(Бланк!$C19,1,1)="2",
  71,
  IF(
   Бланк!$C19=3,
   72,
   IF(
    Бланк!$C19=4,
    73,
    D!$BA$3
   )
  )
 ),
 IF(
  MID(Бланк!$B19,1,3)="DPN",
  IF(
   MID(Бланк!$E19,1,1)="B",
   74,
   75
  ),
  IF(
   MID(Бланк!$B19,1,6)="iDPN N",
   IF(
    MID(Бланк!$E19,1,1)="B",
    76,
    77
   ),
   IF(
    MID(Бланк!$B19,1,6)="iDPN H",
    78,
    D!$BA$3
   )
  )
 )
)</f>
        <v>-</v>
      </c>
      <c r="BH10" s="819"/>
      <c r="BI10" s="1073" t="s">
        <v>71</v>
      </c>
      <c r="BJ10" s="1074" t="s">
        <v>30</v>
      </c>
      <c r="BK10" s="819"/>
      <c r="BL10" s="819"/>
      <c r="BO10" s="819"/>
      <c r="BP10" s="41"/>
      <c r="BQ10" s="213" t="s">
        <v>90</v>
      </c>
      <c r="BR10" s="213" t="str">
        <f>Проверки!Q10</f>
        <v/>
      </c>
      <c r="BS10" s="213" t="str">
        <f>IF(Проверки!M10+Проверки!O10,MID(Проверки!C10,1,1),"")</f>
        <v/>
      </c>
      <c r="BT10" s="213"/>
      <c r="BU10" s="213" t="str">
        <f t="shared" si="12"/>
        <v/>
      </c>
      <c r="BV10" s="213">
        <f t="shared" si="13"/>
        <v>1</v>
      </c>
      <c r="BW10" s="9" t="s">
        <v>734</v>
      </c>
      <c r="BX10" s="213" t="str">
        <f t="shared" ca="1" si="14"/>
        <v>-</v>
      </c>
      <c r="BY10" s="213">
        <f t="shared" ca="1" si="15"/>
        <v>1</v>
      </c>
      <c r="BZ10" s="213"/>
      <c r="CA10" s="41"/>
      <c r="CB10" s="41" t="str">
        <f t="shared" si="3"/>
        <v>iC60225</v>
      </c>
      <c r="CC10" s="213" t="s">
        <v>105</v>
      </c>
      <c r="CD10" s="213">
        <v>2</v>
      </c>
      <c r="CE10" s="214">
        <v>25</v>
      </c>
      <c r="CF10" s="214"/>
      <c r="CG10" s="201" t="s">
        <v>601</v>
      </c>
      <c r="CH10" s="41"/>
      <c r="CI10" s="41"/>
      <c r="CO10" s="1"/>
      <c r="CP10" s="4">
        <v>2000</v>
      </c>
      <c r="CQ10" s="1"/>
      <c r="CR10" s="1"/>
      <c r="CS10" s="21" t="s">
        <v>157</v>
      </c>
      <c r="CT10" s="121">
        <v>-10</v>
      </c>
      <c r="CU10" s="906" t="b">
        <v>1</v>
      </c>
      <c r="CV10" s="1"/>
      <c r="CW10" s="1"/>
      <c r="CX10" s="1"/>
      <c r="CY10" s="1"/>
      <c r="CZ10" s="1"/>
      <c r="DA10" s="1"/>
      <c r="DG10" s="400"/>
      <c r="DK10" s="344"/>
      <c r="DL10" s="375" t="str">
        <f t="shared" si="4"/>
        <v>TN-C1100</v>
      </c>
      <c r="DM10" s="376" t="s">
        <v>6</v>
      </c>
      <c r="DN10" s="376">
        <v>1</v>
      </c>
      <c r="DO10" s="376">
        <v>100</v>
      </c>
      <c r="DP10" s="376">
        <v>1</v>
      </c>
      <c r="DQ10" s="377" t="s">
        <v>376</v>
      </c>
      <c r="DR10" s="358"/>
      <c r="DS10" s="592" t="str">
        <f t="shared" si="5"/>
        <v>TN-S4</v>
      </c>
      <c r="DT10" s="593" t="s">
        <v>5</v>
      </c>
      <c r="DU10" s="593">
        <v>4</v>
      </c>
      <c r="DV10" s="593">
        <v>5</v>
      </c>
      <c r="DW10" s="358"/>
      <c r="DX10" s="592" t="str">
        <f t="shared" si="6"/>
        <v>TN-S2</v>
      </c>
      <c r="DY10" s="593" t="s">
        <v>5</v>
      </c>
      <c r="DZ10" s="593">
        <v>2</v>
      </c>
      <c r="EA10" s="593">
        <v>3</v>
      </c>
      <c r="EB10" s="358"/>
      <c r="EC10" s="593">
        <v>6</v>
      </c>
      <c r="ED10" s="593">
        <v>1</v>
      </c>
      <c r="EE10" s="592">
        <v>1.5</v>
      </c>
      <c r="EF10" s="22"/>
      <c r="EG10" s="620"/>
      <c r="EH10" s="610"/>
      <c r="EI10" s="619" t="s">
        <v>91</v>
      </c>
      <c r="EJ10" s="619">
        <f>Бланк!$O$19</f>
        <v>0</v>
      </c>
      <c r="EK10" s="619">
        <f>IFERROR(VALUE(MID(Бланк!$L19,1,1)),1)*$EJ10</f>
        <v>0</v>
      </c>
      <c r="EL10" s="619" t="str">
        <f>IF(EJ10=EK10,MID(Бланк!$L19,1,100),MID(Бланк!$L19,3,100))</f>
        <v/>
      </c>
      <c r="EM10" s="619">
        <f>Бланк!$M19</f>
        <v>0</v>
      </c>
      <c r="EN10" s="612">
        <f>_xlfn.IFNA(VLOOKUP(Бланк!$K$3&amp;Габариты!$C13,$DX:$EA,4,FALSE)&amp;"x"&amp;VLOOKUP(Проверки!$D11,$EC:$EE,3,FALSE),0)</f>
        <v>0</v>
      </c>
      <c r="EO10" s="612">
        <f t="shared" si="7"/>
        <v>0</v>
      </c>
      <c r="EP10" s="593">
        <f>Бланк!N19</f>
        <v>0</v>
      </c>
      <c r="EQ10" s="593">
        <f>_xlfn.IFNA(VLOOKUP($EL10&amp;" "&amp;$EO10,'Список кабелей'!$I:$J,2,FALSE),0)</f>
        <v>0</v>
      </c>
      <c r="ER10" s="593">
        <f>IF(OR($EL10="-",EO10="-",EP10="-",Проверки!$D11=""),0,VLOOKUP($EO10,'Список кабелей'!$D:$J,7,FALSE))</f>
        <v>0</v>
      </c>
      <c r="ES10" s="593">
        <f t="shared" si="8"/>
        <v>0</v>
      </c>
      <c r="ET10" s="612">
        <f>$EK10*_xlfn.IFNA(VLOOKUP(Проверки!$D11,$EC:$EE,2,FALSE),0)</f>
        <v>0</v>
      </c>
      <c r="EU10" s="612">
        <f t="shared" si="9"/>
        <v>0</v>
      </c>
      <c r="EV10" s="616">
        <f>IF($ER10=0,0,VLOOKUP(ER10,'Список кабелей'!$Q$3:$R$11,2,0))</f>
        <v>0</v>
      </c>
      <c r="EW10" s="617">
        <f t="shared" si="10"/>
        <v>0</v>
      </c>
      <c r="EX10" s="613">
        <f t="shared" si="10"/>
        <v>0</v>
      </c>
      <c r="EY10" s="613">
        <f t="shared" si="10"/>
        <v>0</v>
      </c>
      <c r="EZ10" s="613">
        <f t="shared" si="10"/>
        <v>0</v>
      </c>
      <c r="FA10" s="613">
        <f t="shared" si="10"/>
        <v>0</v>
      </c>
      <c r="FB10" s="613">
        <f t="shared" si="10"/>
        <v>0</v>
      </c>
      <c r="FC10" s="613">
        <f t="shared" si="10"/>
        <v>0</v>
      </c>
      <c r="FD10" s="613">
        <f t="shared" si="10"/>
        <v>0</v>
      </c>
      <c r="FE10" s="618">
        <f t="shared" si="10"/>
        <v>0</v>
      </c>
      <c r="FH10" s="1369"/>
      <c r="FI10" s="1370"/>
      <c r="FJ10" s="648" t="s">
        <v>862</v>
      </c>
      <c r="FK10" s="649">
        <f>IF(ISERROR(FK9),0,ROUNDUP(FK9,0))*VLOOKUP(FK$2,'Список кабелей'!$Q$3:$R$11,2,0)</f>
        <v>0</v>
      </c>
      <c r="FL10" s="650">
        <f>IF(ISERROR(FL9),0,ROUNDUP(FL9,0))*VLOOKUP(FL$2,'Список кабелей'!$Q$3:$R$11,2,0)</f>
        <v>88</v>
      </c>
      <c r="FM10" s="650">
        <f>IF(ISERROR(FM9),0,ROUNDUP(FM9,0))*VLOOKUP(FM$2,'Список кабелей'!$Q$3:$R$11,2,0)</f>
        <v>0</v>
      </c>
      <c r="FN10" s="650">
        <f>IF(ISERROR(FN9),0,ROUNDUP(FN9,0))*VLOOKUP(FN$2,'Список кабелей'!$Q$3:$R$11,2,0)</f>
        <v>0</v>
      </c>
      <c r="FO10" s="650">
        <f>IF(ISERROR(FO9),0,ROUNDUP(FO9,0))*VLOOKUP(FO$2,'Список кабелей'!$Q$3:$R$11,2,0)</f>
        <v>0</v>
      </c>
      <c r="FP10" s="650">
        <f>IF(ISERROR(FP9),0,ROUNDUP(FP9,0))*VLOOKUP(FP$2,'Список кабелей'!$Q$3:$R$11,2,0)</f>
        <v>0</v>
      </c>
      <c r="FQ10" s="650">
        <f>IF(ISERROR(FQ9),0,ROUNDUP(FQ9,0))*VLOOKUP(FQ$2,'Список кабелей'!$Q$3:$R$11,2,0)</f>
        <v>44</v>
      </c>
      <c r="FR10" s="650">
        <f>IF(ISERROR(FR9),0,ROUNDUP(FR9,0))*VLOOKUP(FR$2,'Список кабелей'!$Q$3:$R$11,2,0)</f>
        <v>0</v>
      </c>
      <c r="FS10" s="651">
        <f>IF(ISERROR(FS9),0,ROUNDUP(FS9,0))*VLOOKUP(FS$2,'Список кабелей'!$Q$3:$R$11,2,0)</f>
        <v>70</v>
      </c>
      <c r="FT10" s="1387"/>
      <c r="FU10" s="1378"/>
      <c r="FV10" s="1383"/>
    </row>
    <row r="11" spans="1:178" x14ac:dyDescent="0.2">
      <c r="A11" s="296" t="str">
        <f t="shared" si="0"/>
        <v>11IT</v>
      </c>
      <c r="B11" s="297">
        <v>1</v>
      </c>
      <c r="C11" s="297">
        <v>1</v>
      </c>
      <c r="D11" s="298" t="s">
        <v>151</v>
      </c>
      <c r="E11" s="387" t="s">
        <v>54</v>
      </c>
      <c r="F11" s="22"/>
      <c r="G11" s="302">
        <v>15</v>
      </c>
      <c r="H11" s="497" t="s">
        <v>869</v>
      </c>
      <c r="I11" s="470"/>
      <c r="J11" s="470"/>
      <c r="K11" s="470"/>
      <c r="L11" s="470"/>
      <c r="M11" s="470"/>
      <c r="N11" s="102"/>
      <c r="X11" s="155" t="s">
        <v>327</v>
      </c>
      <c r="Y11" s="120" t="s">
        <v>327</v>
      </c>
      <c r="Z11" s="119" t="s">
        <v>430</v>
      </c>
      <c r="AA11" s="8" t="s">
        <v>20</v>
      </c>
      <c r="AB11" s="437">
        <v>4</v>
      </c>
      <c r="AC11" s="8" t="s">
        <v>19</v>
      </c>
      <c r="AD11" s="11" t="s">
        <v>312</v>
      </c>
      <c r="AE11" s="8" t="s">
        <v>19</v>
      </c>
      <c r="AF11" s="736">
        <v>13</v>
      </c>
      <c r="AG11" s="232" t="s">
        <v>19</v>
      </c>
      <c r="AH11" s="259">
        <v>10</v>
      </c>
      <c r="AI11" s="102"/>
      <c r="AJ11" s="102" t="str">
        <f t="shared" si="1"/>
        <v>iC60N</v>
      </c>
      <c r="AK11" s="201" t="s">
        <v>19</v>
      </c>
      <c r="AL11" s="240"/>
      <c r="AM11" s="240">
        <v>10</v>
      </c>
      <c r="AN11" s="102"/>
      <c r="AO11" s="102" t="str">
        <f t="shared" si="2"/>
        <v>iC60N2</v>
      </c>
      <c r="AP11" s="222" t="s">
        <v>19</v>
      </c>
      <c r="AQ11" s="221"/>
      <c r="AR11" s="256">
        <v>2</v>
      </c>
      <c r="AS11" s="222" t="s">
        <v>59</v>
      </c>
      <c r="AT11" s="102"/>
      <c r="AU11" s="232" t="s">
        <v>21</v>
      </c>
      <c r="AV11" s="254" t="s">
        <v>58</v>
      </c>
      <c r="AW11" s="206">
        <v>40</v>
      </c>
      <c r="AX11" s="204" t="s">
        <v>553</v>
      </c>
      <c r="AY11" s="110" t="s">
        <v>30</v>
      </c>
      <c r="AZ11" s="32"/>
      <c r="BA11" s="11">
        <f>Бланк!F11*8</f>
        <v>0</v>
      </c>
      <c r="BB11" s="9" t="s">
        <v>60</v>
      </c>
      <c r="BC11" s="11">
        <f>0.9*16</f>
        <v>14.4</v>
      </c>
      <c r="BD11" s="231">
        <v>40</v>
      </c>
      <c r="BE11" s="232" t="s">
        <v>596</v>
      </c>
      <c r="BF11" s="230" t="s">
        <v>92</v>
      </c>
      <c r="BG11" s="229" t="str">
        <f>IF(
 MID(Бланк!$B20,1,2)="iC",
 IF(
  MID(Бланк!$C20,1,1)="2",
  81,
  IF(
   Бланк!$C20=3,
   82,
   IF(
    Бланк!$C20=4,
    83,
    D!$BA$3
   )
  )
 ),
 IF(
  MID(Бланк!$B20,1,3)="DPN",
  IF(
   MID(Бланк!$E20,1,1)="B",
   84,
   85
  ),
  IF(
   MID(Бланк!$B20,1,6)="iDPN N",
   IF(
    MID(Бланк!$E20,1,1)="B",
    86,
    87
   ),
   IF(
    MID(Бланк!$B20,1,6)="iDPN H",
    88,
    D!$BA$3
   )
  )
 )
)</f>
        <v>-</v>
      </c>
      <c r="BH11" s="819"/>
      <c r="BI11" s="1073" t="s">
        <v>553</v>
      </c>
      <c r="BJ11" s="1074" t="s">
        <v>30</v>
      </c>
      <c r="BK11" s="819"/>
      <c r="BL11" s="819"/>
      <c r="BO11" s="819"/>
      <c r="BP11" s="41"/>
      <c r="BQ11" s="213" t="s">
        <v>91</v>
      </c>
      <c r="BR11" s="213" t="str">
        <f>Проверки!Q11</f>
        <v/>
      </c>
      <c r="BS11" s="213" t="str">
        <f>IF(Проверки!M11+Проверки!O11,MID(Проверки!C11,1,1),"")</f>
        <v/>
      </c>
      <c r="BT11" s="213"/>
      <c r="BU11" s="213" t="str">
        <f t="shared" si="12"/>
        <v/>
      </c>
      <c r="BV11" s="213">
        <f t="shared" si="13"/>
        <v>1</v>
      </c>
      <c r="BW11" s="9">
        <f ca="1">COUNTIF(OFFSET($AJ$3,$BW4-1,0,20),$BU4)</f>
        <v>8</v>
      </c>
      <c r="BX11" s="213" t="str">
        <f t="shared" ca="1" si="14"/>
        <v>-</v>
      </c>
      <c r="BY11" s="213">
        <f t="shared" ca="1" si="15"/>
        <v>1</v>
      </c>
      <c r="BZ11" s="213"/>
      <c r="CA11" s="41"/>
      <c r="CB11" s="41" t="str">
        <f t="shared" si="3"/>
        <v>iC60225</v>
      </c>
      <c r="CC11" s="213" t="s">
        <v>105</v>
      </c>
      <c r="CD11" s="213">
        <v>2</v>
      </c>
      <c r="CE11" s="214">
        <v>25</v>
      </c>
      <c r="CF11" s="214"/>
      <c r="CG11" s="201" t="s">
        <v>602</v>
      </c>
      <c r="CH11" s="41"/>
      <c r="CI11" s="41"/>
      <c r="CO11" s="1"/>
      <c r="CP11" s="4">
        <v>2200</v>
      </c>
      <c r="CQ11" s="1"/>
      <c r="CR11" s="1"/>
      <c r="CS11" s="883" t="s">
        <v>1080</v>
      </c>
      <c r="CT11" s="1"/>
      <c r="CU11" s="1"/>
      <c r="CV11" s="1"/>
      <c r="CW11" s="1"/>
      <c r="CX11" s="1"/>
      <c r="CY11" s="1"/>
      <c r="CZ11" s="1"/>
      <c r="DA11" s="1"/>
      <c r="DG11" s="400"/>
      <c r="DK11" s="344"/>
      <c r="DL11" s="375" t="str">
        <f t="shared" si="4"/>
        <v>TN-C1125</v>
      </c>
      <c r="DM11" s="376" t="s">
        <v>6</v>
      </c>
      <c r="DN11" s="376">
        <v>1</v>
      </c>
      <c r="DO11" s="376">
        <v>125</v>
      </c>
      <c r="DP11" s="376">
        <v>1</v>
      </c>
      <c r="DQ11" s="377" t="s">
        <v>377</v>
      </c>
      <c r="DR11" s="358"/>
      <c r="DS11" s="592" t="str">
        <f t="shared" si="5"/>
        <v>TT4</v>
      </c>
      <c r="DT11" s="593" t="s">
        <v>763</v>
      </c>
      <c r="DU11" s="593">
        <v>4</v>
      </c>
      <c r="DV11" s="593">
        <v>5</v>
      </c>
      <c r="DW11" s="358"/>
      <c r="DX11" s="592" t="str">
        <f t="shared" si="6"/>
        <v>TN-S3</v>
      </c>
      <c r="DY11" s="593" t="s">
        <v>5</v>
      </c>
      <c r="DZ11" s="593">
        <v>3</v>
      </c>
      <c r="EA11" s="593">
        <v>5</v>
      </c>
      <c r="EB11" s="358"/>
      <c r="EC11" s="593">
        <v>10</v>
      </c>
      <c r="ED11" s="593">
        <v>1</v>
      </c>
      <c r="EE11" s="592">
        <v>1.5</v>
      </c>
      <c r="EF11" s="22"/>
      <c r="EG11" s="620"/>
      <c r="EH11" s="610"/>
      <c r="EI11" s="619" t="s">
        <v>92</v>
      </c>
      <c r="EJ11" s="619">
        <f>Бланк!$O$20</f>
        <v>0</v>
      </c>
      <c r="EK11" s="619">
        <f>IFERROR(VALUE(MID(Бланк!$L20,1,1)),1)*$EJ11</f>
        <v>0</v>
      </c>
      <c r="EL11" s="619" t="str">
        <f>IF(EJ11=EK11,MID(Бланк!$L20,1,100),MID(Бланк!$L20,3,100))</f>
        <v/>
      </c>
      <c r="EM11" s="619">
        <f>Бланк!$M20</f>
        <v>0</v>
      </c>
      <c r="EN11" s="612">
        <f>_xlfn.IFNA(VLOOKUP(Бланк!$K$3&amp;Габариты!$C14,$DX:$EA,4,FALSE)&amp;"x"&amp;VLOOKUP(Проверки!$D12,$EC:$EE,3,FALSE),0)</f>
        <v>0</v>
      </c>
      <c r="EO11" s="612">
        <f t="shared" si="7"/>
        <v>0</v>
      </c>
      <c r="EP11" s="593">
        <f>Бланк!N20</f>
        <v>0</v>
      </c>
      <c r="EQ11" s="593">
        <f>_xlfn.IFNA(VLOOKUP($EL11&amp;" "&amp;$EO11,'Список кабелей'!$I:$J,2,FALSE),0)</f>
        <v>0</v>
      </c>
      <c r="ER11" s="593">
        <f>IF(OR($EL11="-",EO11="-",EP11="-",Проверки!$D12=""),0,VLOOKUP($EO11,'Список кабелей'!$D:$J,7,FALSE))</f>
        <v>0</v>
      </c>
      <c r="ES11" s="593">
        <f t="shared" si="8"/>
        <v>0</v>
      </c>
      <c r="ET11" s="612">
        <f>$EK11*_xlfn.IFNA(VLOOKUP(Проверки!$D12,$EC:$EE,2,FALSE),0)</f>
        <v>0</v>
      </c>
      <c r="EU11" s="612">
        <f t="shared" si="9"/>
        <v>0</v>
      </c>
      <c r="EV11" s="616">
        <f>IF($ER11=0,0,VLOOKUP(ER11,'Список кабелей'!$Q$3:$R$11,2,0))</f>
        <v>0</v>
      </c>
      <c r="EW11" s="617">
        <f t="shared" si="10"/>
        <v>0</v>
      </c>
      <c r="EX11" s="613">
        <f t="shared" si="10"/>
        <v>0</v>
      </c>
      <c r="EY11" s="613">
        <f t="shared" si="10"/>
        <v>0</v>
      </c>
      <c r="EZ11" s="613">
        <f t="shared" si="10"/>
        <v>0</v>
      </c>
      <c r="FA11" s="613">
        <f t="shared" si="10"/>
        <v>0</v>
      </c>
      <c r="FB11" s="613">
        <f t="shared" si="10"/>
        <v>0</v>
      </c>
      <c r="FC11" s="613">
        <f t="shared" si="10"/>
        <v>0</v>
      </c>
      <c r="FD11" s="613">
        <f t="shared" si="10"/>
        <v>0</v>
      </c>
      <c r="FE11" s="618">
        <f t="shared" si="10"/>
        <v>0</v>
      </c>
      <c r="FH11" s="1367" t="s">
        <v>80</v>
      </c>
      <c r="FI11" s="1370"/>
      <c r="FJ11" s="652" t="s">
        <v>233</v>
      </c>
      <c r="FK11" s="649">
        <f>IF(FK$6&gt;0,FK$6/(IF($EH$3=D!$FJ$18,FK$18,IF($EH$3=D!$FJ$21,FK$21,IF($EH$3=D!$FJ$24,FK$24,)))),0)</f>
        <v>0</v>
      </c>
      <c r="FL11" s="650">
        <f>IF(FL$6&gt;0,FL$6/(IF($EH$3=D!$FJ$18,FL$18,IF($EH$3=D!$FJ$21,FL$21,IF($EH$3=D!$FJ$24,FL$24,)))),0)</f>
        <v>0</v>
      </c>
      <c r="FM11" s="650">
        <f>IF(FM$6&gt;0,FM$6/(IF($EH$3=D!$FJ$18,FM$18,IF($EH$3=D!$FJ$21,FM$21,IF($EH$3=D!$FJ$24,FM$24,)))),0)</f>
        <v>0</v>
      </c>
      <c r="FN11" s="650">
        <f>IF(FN$6&gt;0,FN$6/(IF($EH$3=D!$FJ$18,FN$18,IF($EH$3=D!$FJ$21,FN$21,IF($EH$3=D!$FJ$24,FN$24,)))),0)</f>
        <v>0</v>
      </c>
      <c r="FO11" s="650">
        <f>IF(FO$6&gt;0,FO$6/(IF($EH$3=D!$FJ$18,FO$18,IF($EH$3=D!$FJ$21,FO$21,IF($EH$3=D!$FJ$24,FO$24,)))),0)</f>
        <v>0</v>
      </c>
      <c r="FP11" s="650">
        <f>IF(FP$6&gt;0,FP$6/(IF($EH$3=D!$FJ$18,FP$18,IF($EH$3=D!$FJ$21,FP$21,IF($EH$3=D!$FJ$24,FP$24,)))),0)</f>
        <v>0</v>
      </c>
      <c r="FQ11" s="650">
        <f>IF(FQ$6&gt;0,FQ$6/(IF($EH$3=D!$FJ$18,FQ$18,IF($EH$3=D!$FJ$21,FQ$21,IF($EH$3=D!$FJ$24,FQ$24,)))),0)</f>
        <v>0</v>
      </c>
      <c r="FR11" s="650">
        <f>IF(FR$6&gt;0,FR$6/(IF($EH$3=D!$FJ$18,FR$18,IF($EH$3=D!$FJ$21,FR$21,IF($EH$3=D!$FJ$24,FR$24,)))),0)</f>
        <v>0</v>
      </c>
      <c r="FS11" s="653">
        <f>IF(FS$6&gt;0,FS$6/(IF($EH$3=D!$FJ$18,FS$18,IF($EH$3=D!$FJ$21,FS$21,IF($EH$3=D!$FJ$24,FS$24,)))),0)</f>
        <v>0</v>
      </c>
      <c r="FT11" s="1386">
        <f>SUM(FK12:FS12)</f>
        <v>0</v>
      </c>
      <c r="FU11" s="1378"/>
      <c r="FV11" s="1383"/>
    </row>
    <row r="12" spans="1:178" ht="13.5" thickBot="1" x14ac:dyDescent="0.25">
      <c r="A12" s="296" t="str">
        <f t="shared" si="0"/>
        <v>10IT</v>
      </c>
      <c r="B12" s="297">
        <v>1</v>
      </c>
      <c r="C12" s="297">
        <v>0</v>
      </c>
      <c r="D12" s="298" t="s">
        <v>151</v>
      </c>
      <c r="E12" s="387" t="s">
        <v>55</v>
      </c>
      <c r="F12" s="22"/>
      <c r="G12" s="494">
        <v>16</v>
      </c>
      <c r="H12" s="495" t="s">
        <v>869</v>
      </c>
      <c r="I12" s="470"/>
      <c r="J12" s="470"/>
      <c r="K12" s="470"/>
      <c r="L12" s="470"/>
      <c r="M12" s="470"/>
      <c r="N12" s="102"/>
      <c r="X12" s="155" t="s">
        <v>328</v>
      </c>
      <c r="Y12" s="120" t="s">
        <v>328</v>
      </c>
      <c r="Z12" s="119" t="s">
        <v>433</v>
      </c>
      <c r="AA12" s="8" t="s">
        <v>21</v>
      </c>
      <c r="AB12" s="437">
        <v>1</v>
      </c>
      <c r="AC12" s="8" t="s">
        <v>19</v>
      </c>
      <c r="AD12" s="11">
        <v>3</v>
      </c>
      <c r="AE12" s="8" t="s">
        <v>19</v>
      </c>
      <c r="AF12" s="736">
        <v>15</v>
      </c>
      <c r="AG12" s="232" t="s">
        <v>19</v>
      </c>
      <c r="AH12" s="259">
        <v>13</v>
      </c>
      <c r="AI12" s="102"/>
      <c r="AJ12" s="102" t="str">
        <f t="shared" si="1"/>
        <v>iC60N</v>
      </c>
      <c r="AK12" s="201" t="s">
        <v>19</v>
      </c>
      <c r="AL12" s="240"/>
      <c r="AM12" s="240">
        <v>13</v>
      </c>
      <c r="AN12" s="102"/>
      <c r="AO12" s="102" t="str">
        <f t="shared" si="2"/>
        <v>iC60N3</v>
      </c>
      <c r="AP12" s="222" t="s">
        <v>19</v>
      </c>
      <c r="AQ12" s="222"/>
      <c r="AR12" s="256">
        <v>3</v>
      </c>
      <c r="AS12" s="222" t="s">
        <v>57</v>
      </c>
      <c r="AT12" s="102"/>
      <c r="AU12" s="232" t="s">
        <v>21</v>
      </c>
      <c r="AV12" s="254" t="s">
        <v>307</v>
      </c>
      <c r="AW12" s="206">
        <v>40</v>
      </c>
      <c r="AX12" s="204" t="s">
        <v>1245</v>
      </c>
      <c r="AY12" s="110" t="s">
        <v>30</v>
      </c>
      <c r="AZ12" s="32"/>
      <c r="BA12" s="11">
        <f>Бланк!F11*10</f>
        <v>0</v>
      </c>
      <c r="BB12" s="9" t="s">
        <v>60</v>
      </c>
      <c r="BC12" s="11">
        <v>16</v>
      </c>
      <c r="BD12" s="231">
        <v>40</v>
      </c>
      <c r="BE12" s="232" t="s">
        <v>597</v>
      </c>
      <c r="BF12" s="230" t="s">
        <v>93</v>
      </c>
      <c r="BG12" s="229" t="str">
        <f>IF(
 MID(Бланк!$B21,1,2)="iC",
 IF(
  MID(Бланк!$C21,1,1)="2",
  91,
  IF(
   Бланк!$C21=3,
   92,
   IF(
    Бланк!$C21=4,
    93,
    D!$BA$3
   )
  )
 ),
 IF(
  MID(Бланк!$B21,1,3)="DPN",
  IF(
   MID(Бланк!$E21,1,1)="B",
   94,
   95
  ),
  IF(
   MID(Бланк!$B21,1,6)="iDPN N",
   IF(
    MID(Бланк!$E21,1,1)="B",
    96,
    97
   ),
   IF(
    MID(Бланк!$B21,1,6)="iDPN H",
    98,
    D!$BA$3
   )
  )
 )
)</f>
        <v>-</v>
      </c>
      <c r="BH12" s="819"/>
      <c r="BI12" s="1073" t="s">
        <v>1245</v>
      </c>
      <c r="BJ12" s="1074" t="s">
        <v>30</v>
      </c>
      <c r="BK12" s="819"/>
      <c r="BL12" s="819"/>
      <c r="BO12" s="819"/>
      <c r="BP12" s="41"/>
      <c r="BQ12" s="213" t="s">
        <v>92</v>
      </c>
      <c r="BR12" s="213" t="str">
        <f>Проверки!Q12</f>
        <v/>
      </c>
      <c r="BS12" s="213" t="str">
        <f>IF(Проверки!M12+Проверки!O12,MID(Проверки!C12,1,1),"")</f>
        <v/>
      </c>
      <c r="BT12" s="213"/>
      <c r="BU12" s="213" t="str">
        <f t="shared" si="12"/>
        <v/>
      </c>
      <c r="BV12" s="213">
        <f t="shared" si="13"/>
        <v>1</v>
      </c>
      <c r="BW12" s="1398" t="s">
        <v>732</v>
      </c>
      <c r="BX12" s="213" t="str">
        <f t="shared" ca="1" si="14"/>
        <v>-</v>
      </c>
      <c r="BY12" s="213">
        <f t="shared" ca="1" si="15"/>
        <v>1</v>
      </c>
      <c r="BZ12" s="213"/>
      <c r="CA12" s="41"/>
      <c r="CB12" s="41" t="str">
        <f t="shared" si="3"/>
        <v>iC60225</v>
      </c>
      <c r="CC12" s="213" t="s">
        <v>105</v>
      </c>
      <c r="CD12" s="213">
        <v>2</v>
      </c>
      <c r="CE12" s="214">
        <v>25</v>
      </c>
      <c r="CF12" s="214"/>
      <c r="CG12" s="201" t="s">
        <v>603</v>
      </c>
      <c r="CH12" s="41"/>
      <c r="CI12" s="41"/>
      <c r="CP12" s="79">
        <v>2400</v>
      </c>
      <c r="DG12" s="400"/>
      <c r="DH12" s="22"/>
      <c r="DI12" s="22"/>
      <c r="DJ12" s="22"/>
      <c r="DK12" s="344"/>
      <c r="DL12" s="375" t="str">
        <f t="shared" si="4"/>
        <v>TN-C1160</v>
      </c>
      <c r="DM12" s="376" t="s">
        <v>6</v>
      </c>
      <c r="DN12" s="376">
        <v>1</v>
      </c>
      <c r="DO12" s="376">
        <v>160</v>
      </c>
      <c r="DP12" s="376">
        <v>1</v>
      </c>
      <c r="DQ12" s="377" t="s">
        <v>378</v>
      </c>
      <c r="DR12" s="358"/>
      <c r="DS12" s="592" t="str">
        <f t="shared" si="5"/>
        <v>IT2</v>
      </c>
      <c r="DT12" s="593" t="s">
        <v>151</v>
      </c>
      <c r="DU12" s="593">
        <v>2</v>
      </c>
      <c r="DV12" s="593">
        <v>3</v>
      </c>
      <c r="DW12" s="358"/>
      <c r="DX12" s="592" t="str">
        <f t="shared" si="6"/>
        <v>TN-S4</v>
      </c>
      <c r="DY12" s="593" t="s">
        <v>5</v>
      </c>
      <c r="DZ12" s="593">
        <v>4</v>
      </c>
      <c r="EA12" s="593">
        <v>5</v>
      </c>
      <c r="EB12" s="358"/>
      <c r="EC12" s="593">
        <v>13</v>
      </c>
      <c r="ED12" s="593">
        <v>1</v>
      </c>
      <c r="EE12" s="592">
        <v>2.5</v>
      </c>
      <c r="EF12" s="22"/>
      <c r="EG12" s="620"/>
      <c r="EH12" s="610"/>
      <c r="EI12" s="619" t="s">
        <v>93</v>
      </c>
      <c r="EJ12" s="619">
        <f>Бланк!$O$21</f>
        <v>0</v>
      </c>
      <c r="EK12" s="619">
        <f>IFERROR(VALUE(MID(Бланк!$L21,1,1)),1)*$EJ12</f>
        <v>0</v>
      </c>
      <c r="EL12" s="619" t="str">
        <f>IF(EJ12=EK12,MID(Бланк!$L21,1,100),MID(Бланк!$L21,3,100))</f>
        <v/>
      </c>
      <c r="EM12" s="619">
        <f>Бланк!$M21</f>
        <v>0</v>
      </c>
      <c r="EN12" s="612">
        <f>_xlfn.IFNA(VLOOKUP(Бланк!$K$3&amp;Габариты!$C15,$DX:$EA,4,FALSE)&amp;"x"&amp;VLOOKUP(Проверки!$D13,$EC:$EE,3,FALSE),0)</f>
        <v>0</v>
      </c>
      <c r="EO12" s="612">
        <f t="shared" si="7"/>
        <v>0</v>
      </c>
      <c r="EP12" s="593">
        <f>Бланк!N21</f>
        <v>0</v>
      </c>
      <c r="EQ12" s="593">
        <f>_xlfn.IFNA(VLOOKUP($EL12&amp;" "&amp;$EO12,'Список кабелей'!$I:$J,2,FALSE),0)</f>
        <v>0</v>
      </c>
      <c r="ER12" s="593">
        <f>IF(OR($EL12="-",EO12="-",EP12="-",Проверки!$D13=""),0,VLOOKUP($EO12,'Список кабелей'!$D:$J,7,FALSE))</f>
        <v>0</v>
      </c>
      <c r="ES12" s="593">
        <f t="shared" si="8"/>
        <v>0</v>
      </c>
      <c r="ET12" s="612">
        <f>$EK12*_xlfn.IFNA(VLOOKUP(Проверки!$D13,$EC:$EE,2,FALSE),0)</f>
        <v>0</v>
      </c>
      <c r="EU12" s="612">
        <f t="shared" si="9"/>
        <v>0</v>
      </c>
      <c r="EV12" s="616">
        <f>IF($ER12=0,0,VLOOKUP(ER12,'Список кабелей'!$Q$3:$R$11,2,0))</f>
        <v>0</v>
      </c>
      <c r="EW12" s="617">
        <f t="shared" si="10"/>
        <v>0</v>
      </c>
      <c r="EX12" s="613">
        <f t="shared" si="10"/>
        <v>0</v>
      </c>
      <c r="EY12" s="613">
        <f t="shared" si="10"/>
        <v>0</v>
      </c>
      <c r="EZ12" s="613">
        <f t="shared" si="10"/>
        <v>0</v>
      </c>
      <c r="FA12" s="613">
        <f t="shared" si="10"/>
        <v>0</v>
      </c>
      <c r="FB12" s="613">
        <f t="shared" si="10"/>
        <v>0</v>
      </c>
      <c r="FC12" s="613">
        <f t="shared" si="10"/>
        <v>0</v>
      </c>
      <c r="FD12" s="613">
        <f t="shared" si="10"/>
        <v>0</v>
      </c>
      <c r="FE12" s="618">
        <f t="shared" si="10"/>
        <v>0</v>
      </c>
      <c r="FH12" s="1369"/>
      <c r="FI12" s="1371"/>
      <c r="FJ12" s="642" t="s">
        <v>862</v>
      </c>
      <c r="FK12" s="643">
        <f>IF(ISERROR(FK11),0,ROUNDUP(FK11,0))*VLOOKUP(FK$2,'Список кабелей'!$Q$3:$R$11,2,0)</f>
        <v>0</v>
      </c>
      <c r="FL12" s="644">
        <f>IF(ISERROR(FL11),0,ROUNDUP(FL11,0))*VLOOKUP(FL$2,'Список кабелей'!$Q$3:$R$11,2,0)</f>
        <v>0</v>
      </c>
      <c r="FM12" s="644">
        <f>IF(ISERROR(FM11),0,ROUNDUP(FM11,0))*VLOOKUP(FM$2,'Список кабелей'!$Q$3:$R$11,2,0)</f>
        <v>0</v>
      </c>
      <c r="FN12" s="644">
        <f>IF(ISERROR(FN11),0,ROUNDUP(FN11,0))*VLOOKUP(FN$2,'Список кабелей'!$Q$3:$R$11,2,0)</f>
        <v>0</v>
      </c>
      <c r="FO12" s="644">
        <f>IF(ISERROR(FO11),0,ROUNDUP(FO11,0))*VLOOKUP(FO$2,'Список кабелей'!$Q$3:$R$11,2,0)</f>
        <v>0</v>
      </c>
      <c r="FP12" s="644">
        <f>IF(ISERROR(FP11),0,ROUNDUP(FP11,0))*VLOOKUP(FP$2,'Список кабелей'!$Q$3:$R$11,2,0)</f>
        <v>0</v>
      </c>
      <c r="FQ12" s="644">
        <f>IF(ISERROR(FQ11),0,ROUNDUP(FQ11,0))*VLOOKUP(FQ$2,'Список кабелей'!$Q$3:$R$11,2,0)</f>
        <v>0</v>
      </c>
      <c r="FR12" s="644">
        <f>IF(ISERROR(FR11),0,ROUNDUP(FR11,0))*VLOOKUP(FR$2,'Список кабелей'!$Q$3:$R$11,2,0)</f>
        <v>0</v>
      </c>
      <c r="FS12" s="645">
        <f>IF(ISERROR(FS11),0,ROUNDUP(FS11,0))*VLOOKUP(FS$2,'Список кабелей'!$Q$3:$R$11,2,0)</f>
        <v>0</v>
      </c>
      <c r="FT12" s="1373"/>
      <c r="FU12" s="1379"/>
      <c r="FV12" s="1384"/>
    </row>
    <row r="13" spans="1:178" ht="13.5" thickBot="1" x14ac:dyDescent="0.25">
      <c r="F13" s="22"/>
      <c r="G13" s="496">
        <v>20</v>
      </c>
      <c r="H13" s="497" t="s">
        <v>869</v>
      </c>
      <c r="I13" s="470"/>
      <c r="J13" s="470"/>
      <c r="K13" s="470"/>
      <c r="L13" s="470"/>
      <c r="M13" s="470"/>
      <c r="N13" s="102"/>
      <c r="X13" s="155" t="s">
        <v>329</v>
      </c>
      <c r="Y13" s="120" t="s">
        <v>329</v>
      </c>
      <c r="Z13" s="119" t="s">
        <v>344</v>
      </c>
      <c r="AA13" s="8" t="s">
        <v>21</v>
      </c>
      <c r="AB13" s="437">
        <v>2</v>
      </c>
      <c r="AC13" s="8" t="s">
        <v>19</v>
      </c>
      <c r="AD13" s="11">
        <v>4</v>
      </c>
      <c r="AE13" s="8" t="s">
        <v>19</v>
      </c>
      <c r="AF13" s="107">
        <v>16</v>
      </c>
      <c r="AG13" s="232" t="s">
        <v>19</v>
      </c>
      <c r="AH13" s="259">
        <v>15</v>
      </c>
      <c r="AI13" s="102"/>
      <c r="AJ13" s="102" t="str">
        <f t="shared" si="1"/>
        <v>iC60N</v>
      </c>
      <c r="AK13" s="201" t="s">
        <v>19</v>
      </c>
      <c r="AL13" s="240"/>
      <c r="AM13" s="240">
        <v>15</v>
      </c>
      <c r="AN13" s="102"/>
      <c r="AO13" s="102" t="str">
        <f t="shared" si="2"/>
        <v>iC60N3</v>
      </c>
      <c r="AP13" s="222" t="s">
        <v>19</v>
      </c>
      <c r="AQ13" s="221"/>
      <c r="AR13" s="256">
        <v>3</v>
      </c>
      <c r="AS13" s="222" t="s">
        <v>58</v>
      </c>
      <c r="AT13" s="102"/>
      <c r="AU13" s="232" t="s">
        <v>21</v>
      </c>
      <c r="AV13" s="254" t="s">
        <v>308</v>
      </c>
      <c r="AW13" s="206">
        <v>40</v>
      </c>
      <c r="AX13" s="204" t="s">
        <v>1246</v>
      </c>
      <c r="AY13" s="110" t="s">
        <v>30</v>
      </c>
      <c r="AZ13" s="1430" t="s">
        <v>85</v>
      </c>
      <c r="BA13" s="1431"/>
      <c r="BB13" s="9" t="s">
        <v>61</v>
      </c>
      <c r="BC13" s="11">
        <f>0.7*BC16</f>
        <v>17.5</v>
      </c>
      <c r="BD13" s="231">
        <v>40</v>
      </c>
      <c r="BE13" s="232" t="s">
        <v>290</v>
      </c>
      <c r="BF13" s="230" t="s">
        <v>94</v>
      </c>
      <c r="BG13" s="229" t="str">
        <f>IF(
 MID(Бланк!$B22,1,2)="iC",
 IF(
  MID(Бланк!$C22,1,1)="2",
  101,
  IF(
   Бланк!$C22=3,
   102,
   IF(
    Бланк!$C22=4,
    103,
    D!$BA$3
   )
  )
 ),
 IF(
  MID(Бланк!$B22,1,3)="DPN",
  IF(
   MID(Бланк!$E22,1,1)="B",
   104,
   105
  ),
  IF(
   MID(Бланк!$B22,1,6)="iDPN N",
   IF(
    MID(Бланк!$E22,1,1)="B",
    106,
    107
   ),
   IF(
    MID(Бланк!$B22,1,6)="iDPN H",
    108,
    D!$BA$3
   )
  )
 )
)</f>
        <v>-</v>
      </c>
      <c r="BH13" s="819"/>
      <c r="BI13" s="1073" t="s">
        <v>1246</v>
      </c>
      <c r="BJ13" s="1074" t="s">
        <v>30</v>
      </c>
      <c r="BK13" s="819"/>
      <c r="BL13" s="819"/>
      <c r="BO13" s="819"/>
      <c r="BP13" s="41"/>
      <c r="BQ13" s="213" t="s">
        <v>93</v>
      </c>
      <c r="BR13" s="213" t="str">
        <f>Проверки!Q13</f>
        <v/>
      </c>
      <c r="BS13" s="213" t="str">
        <f>IF(Проверки!M13+Проверки!O13,MID(Проверки!C13,1,1),"")</f>
        <v/>
      </c>
      <c r="BT13" s="213"/>
      <c r="BU13" s="213" t="str">
        <f t="shared" si="12"/>
        <v/>
      </c>
      <c r="BV13" s="213">
        <f t="shared" si="13"/>
        <v>1</v>
      </c>
      <c r="BW13" s="1398"/>
      <c r="BX13" s="213" t="str">
        <f t="shared" ca="1" si="14"/>
        <v>-</v>
      </c>
      <c r="BY13" s="213">
        <f t="shared" ca="1" si="15"/>
        <v>1</v>
      </c>
      <c r="BZ13" s="213"/>
      <c r="CA13" s="41"/>
      <c r="CB13" s="41" t="str">
        <f t="shared" si="3"/>
        <v>iC60225</v>
      </c>
      <c r="CC13" s="213" t="s">
        <v>105</v>
      </c>
      <c r="CD13" s="213">
        <v>2</v>
      </c>
      <c r="CE13" s="214">
        <v>25</v>
      </c>
      <c r="CF13" s="214"/>
      <c r="CG13" s="201" t="s">
        <v>607</v>
      </c>
      <c r="CH13" s="41"/>
      <c r="CI13" s="41"/>
      <c r="CP13" s="79">
        <v>2600</v>
      </c>
      <c r="CS13" s="874"/>
      <c r="CT13" s="874"/>
      <c r="DG13" s="400"/>
      <c r="DH13" s="22"/>
      <c r="DI13" s="22"/>
      <c r="DJ13" s="22"/>
      <c r="DK13" s="344"/>
      <c r="DL13" s="375" t="str">
        <f t="shared" si="4"/>
        <v>TN-C1200</v>
      </c>
      <c r="DM13" s="376" t="s">
        <v>6</v>
      </c>
      <c r="DN13" s="376">
        <v>1</v>
      </c>
      <c r="DO13" s="376">
        <v>200</v>
      </c>
      <c r="DP13" s="376">
        <v>1</v>
      </c>
      <c r="DQ13" s="377" t="s">
        <v>379</v>
      </c>
      <c r="DR13" s="358"/>
      <c r="DS13" s="592" t="str">
        <f t="shared" si="5"/>
        <v>IT4</v>
      </c>
      <c r="DT13" s="593" t="s">
        <v>151</v>
      </c>
      <c r="DU13" s="593">
        <v>4</v>
      </c>
      <c r="DV13" s="593">
        <v>5</v>
      </c>
      <c r="DW13" s="358"/>
      <c r="DX13" s="592" t="str">
        <f t="shared" si="6"/>
        <v>TT1</v>
      </c>
      <c r="DY13" s="593" t="s">
        <v>763</v>
      </c>
      <c r="DZ13" s="593">
        <v>1</v>
      </c>
      <c r="EA13" s="593">
        <v>3</v>
      </c>
      <c r="EB13" s="358"/>
      <c r="EC13" s="593">
        <v>15</v>
      </c>
      <c r="ED13" s="593">
        <v>1</v>
      </c>
      <c r="EE13" s="592">
        <v>2.5</v>
      </c>
      <c r="EF13" s="22"/>
      <c r="EG13" s="620"/>
      <c r="EH13" s="610"/>
      <c r="EI13" s="619" t="s">
        <v>94</v>
      </c>
      <c r="EJ13" s="619">
        <f>Бланк!$O$22</f>
        <v>0</v>
      </c>
      <c r="EK13" s="619">
        <f>IFERROR(VALUE(MID(Бланк!$L22,1,1)),1)*$EJ13</f>
        <v>0</v>
      </c>
      <c r="EL13" s="619" t="str">
        <f>IF(EJ13=EK13,MID(Бланк!$L22,1,100),MID(Бланк!$L22,3,100))</f>
        <v/>
      </c>
      <c r="EM13" s="619">
        <f>Бланк!$M22</f>
        <v>0</v>
      </c>
      <c r="EN13" s="612">
        <f>_xlfn.IFNA(VLOOKUP(Бланк!$K$3&amp;Габариты!$C16,$DX:$EA,4,FALSE)&amp;"x"&amp;VLOOKUP(Проверки!$D14,$EC:$EE,3,FALSE),0)</f>
        <v>0</v>
      </c>
      <c r="EO13" s="612">
        <f t="shared" si="7"/>
        <v>0</v>
      </c>
      <c r="EP13" s="593">
        <f>Бланк!N22</f>
        <v>0</v>
      </c>
      <c r="EQ13" s="593">
        <f>_xlfn.IFNA(VLOOKUP($EL13&amp;" "&amp;$EO13,'Список кабелей'!$I:$J,2,FALSE),0)</f>
        <v>0</v>
      </c>
      <c r="ER13" s="593">
        <f>IF(OR($EL13="-",EO13="-",EP13="-",Проверки!$D14=""),0,VLOOKUP($EO13,'Список кабелей'!$D:$J,7,FALSE))</f>
        <v>0</v>
      </c>
      <c r="ES13" s="593">
        <f t="shared" si="8"/>
        <v>0</v>
      </c>
      <c r="ET13" s="612">
        <f>$EK13*_xlfn.IFNA(VLOOKUP(Проверки!$D14,$EC:$EE,2,FALSE),0)</f>
        <v>0</v>
      </c>
      <c r="EU13" s="612">
        <f t="shared" si="9"/>
        <v>0</v>
      </c>
      <c r="EV13" s="616">
        <f>IF($ER13=0,0,VLOOKUP(ER13,'Список кабелей'!$Q$3:$R$11,2,0))</f>
        <v>0</v>
      </c>
      <c r="EW13" s="617">
        <f t="shared" ref="EW13:FE18" si="17">IF($ES13=EW$2,$EK13,0)</f>
        <v>0</v>
      </c>
      <c r="EX13" s="613">
        <f t="shared" si="17"/>
        <v>0</v>
      </c>
      <c r="EY13" s="613">
        <f t="shared" si="17"/>
        <v>0</v>
      </c>
      <c r="EZ13" s="613">
        <f t="shared" si="17"/>
        <v>0</v>
      </c>
      <c r="FA13" s="613">
        <f t="shared" si="17"/>
        <v>0</v>
      </c>
      <c r="FB13" s="613">
        <f t="shared" si="17"/>
        <v>0</v>
      </c>
      <c r="FC13" s="613">
        <f t="shared" si="17"/>
        <v>0</v>
      </c>
      <c r="FD13" s="613">
        <f t="shared" si="17"/>
        <v>0</v>
      </c>
      <c r="FE13" s="618">
        <f t="shared" si="17"/>
        <v>0</v>
      </c>
      <c r="FH13" s="1395" t="s">
        <v>79</v>
      </c>
      <c r="FI13" s="1400" t="s">
        <v>236</v>
      </c>
      <c r="FJ13" s="654" t="s">
        <v>233</v>
      </c>
      <c r="FK13" s="655">
        <f>IF(FK$3&gt;0,FK$3/(IF($EH$3=D!$FJ$19,FK$19,IF($EH$3=D!$FJ$22,FK$22,IF($EH$3=D!$FJ$25,FK$25,)))),0)</f>
        <v>0</v>
      </c>
      <c r="FL13" s="656">
        <f>IF(FL$3&gt;0,FL$3/(IF($EH$3=D!$FJ$19,FL$19,IF($EH$3=D!$FJ$22,FL$22,IF($EH$3=D!$FJ$25,FL$25,)))),0)</f>
        <v>0.33333333333333331</v>
      </c>
      <c r="FM13" s="656">
        <f>IF(FM$3&gt;0,FM$3/(IF($EH$3=D!$FJ$19,FM$19,IF($EH$3=D!$FJ$22,FM$22,IF($EH$3=D!$FJ$25,FM$25,)))),0)</f>
        <v>0</v>
      </c>
      <c r="FN13" s="656">
        <f>IF(FN$3&gt;0,FN$3/(IF($EH$3=D!$FJ$19,FN$19,IF($EH$3=D!$FJ$22,FN$22,IF($EH$3=D!$FJ$25,FN$25,)))),0)</f>
        <v>0</v>
      </c>
      <c r="FO13" s="656">
        <f>IF(FO$3&gt;0,FO$3/(IF($EH$3=D!$FJ$19,FO$19,IF($EH$3=D!$FJ$22,FO$22,IF($EH$3=D!$FJ$25,FO$25,)))),0)</f>
        <v>0</v>
      </c>
      <c r="FP13" s="656">
        <f>IF(FP$3&gt;0,FP$3/(IF($EH$3=D!$FJ$19,FP$19,IF($EH$3=D!$FJ$22,FP$22,IF($EH$3=D!$FJ$25,FP$25,)))),0)</f>
        <v>0</v>
      </c>
      <c r="FQ13" s="656">
        <f>IF(FQ$3&gt;0,FQ$3/(IF($EH$3=D!$FJ$19,FQ$19,IF($EH$3=D!$FJ$22,FQ$22,IF($EH$3=D!$FJ$25,FQ$25,)))),0)</f>
        <v>0.5</v>
      </c>
      <c r="FR13" s="656">
        <f>IF(FR$3&gt;0,FR$3/(IF($EH$3=D!$FJ$19,FR$19,IF($EH$3=D!$FJ$22,FR$22,IF($EH$3=D!$FJ$25,FR$25,)))),0)</f>
        <v>0</v>
      </c>
      <c r="FS13" s="657">
        <f>IF(FS$3&gt;0,FS$3/(IF($EH$3=D!$FJ$19,FS$19,IF($EH$3=D!$FJ$22,FS$22,IF($EH$3=D!$FJ$25,FS$25,)))),0)</f>
        <v>1.2857142857142858</v>
      </c>
      <c r="FT13" s="1372">
        <f>SUM(FK14:FS14)</f>
        <v>202</v>
      </c>
      <c r="FU13" s="1377">
        <f>MID($FI13,1,3)-70</f>
        <v>330</v>
      </c>
      <c r="FV13" s="1382" t="b">
        <f>AND(NOT(ISERROR(SUM(FK13:FS15))),MAX(FT13,FT15)&lt;($EG$3-100))</f>
        <v>1</v>
      </c>
    </row>
    <row r="14" spans="1:178" ht="13.5" thickBot="1" x14ac:dyDescent="0.25">
      <c r="A14" s="28" t="s">
        <v>265</v>
      </c>
      <c r="B14" s="1424" t="s">
        <v>283</v>
      </c>
      <c r="C14" s="1425"/>
      <c r="D14" s="1425"/>
      <c r="E14" s="1426"/>
      <c r="F14" s="22"/>
      <c r="G14" s="496">
        <v>25</v>
      </c>
      <c r="H14" s="497" t="s">
        <v>869</v>
      </c>
      <c r="I14" s="470"/>
      <c r="J14" s="470"/>
      <c r="K14" s="470"/>
      <c r="L14" s="470"/>
      <c r="M14" s="470"/>
      <c r="N14" s="102"/>
      <c r="X14" s="155" t="s">
        <v>330</v>
      </c>
      <c r="Y14" s="120" t="s">
        <v>330</v>
      </c>
      <c r="Z14" s="119" t="s">
        <v>327</v>
      </c>
      <c r="AA14" s="8" t="s">
        <v>21</v>
      </c>
      <c r="AB14" s="437">
        <v>3</v>
      </c>
      <c r="AC14" s="8" t="s">
        <v>20</v>
      </c>
      <c r="AD14" s="11" t="s">
        <v>136</v>
      </c>
      <c r="AE14" s="8" t="s">
        <v>19</v>
      </c>
      <c r="AF14" s="107">
        <v>20</v>
      </c>
      <c r="AG14" s="232" t="s">
        <v>19</v>
      </c>
      <c r="AH14" s="259">
        <v>16</v>
      </c>
      <c r="AI14" s="102"/>
      <c r="AJ14" s="102" t="str">
        <f t="shared" si="1"/>
        <v>iC60N</v>
      </c>
      <c r="AK14" s="201" t="s">
        <v>19</v>
      </c>
      <c r="AL14" s="240"/>
      <c r="AM14" s="240">
        <v>16</v>
      </c>
      <c r="AN14" s="102"/>
      <c r="AO14" s="102" t="str">
        <f t="shared" si="2"/>
        <v>iC60N3</v>
      </c>
      <c r="AP14" s="222" t="s">
        <v>19</v>
      </c>
      <c r="AQ14" s="222"/>
      <c r="AR14" s="256">
        <v>3</v>
      </c>
      <c r="AS14" s="222" t="s">
        <v>59</v>
      </c>
      <c r="AT14" s="102"/>
      <c r="AU14" s="232" t="s">
        <v>148</v>
      </c>
      <c r="AV14" s="254" t="s">
        <v>58</v>
      </c>
      <c r="AW14" s="206">
        <v>40</v>
      </c>
      <c r="AX14" s="204" t="s">
        <v>1247</v>
      </c>
      <c r="AY14" s="110" t="s">
        <v>30</v>
      </c>
      <c r="AZ14" s="32">
        <f>Бланк!D13*5</f>
        <v>200</v>
      </c>
      <c r="BA14" s="11">
        <f>Бланк!F13*1.5</f>
        <v>0</v>
      </c>
      <c r="BB14" s="9" t="s">
        <v>61</v>
      </c>
      <c r="BC14" s="11">
        <f>0.8*BC16</f>
        <v>20</v>
      </c>
      <c r="BD14" s="231">
        <v>40</v>
      </c>
      <c r="BE14" s="232" t="s">
        <v>291</v>
      </c>
      <c r="BF14" s="230" t="s">
        <v>162</v>
      </c>
      <c r="BG14" s="229" t="str">
        <f>IF(
 MID(Бланк!$B23,1,2)="iC",
 IF(
  MID(Бланк!$C23,1,1)="2",
  111,
  IF(
   Бланк!$C23=3,
   112,
   IF(
    Бланк!$C23=4,
    113,
    D!$BA$3
   )
  )
 ),
 IF(
  MID(Бланк!$B23,1,3)="DPN",
  IF(
   MID(Бланк!$E23,1,1)="B",
   114,
   115
  ),
  IF(
   MID(Бланк!$B23,1,6)="iDPN N",
   IF(
    MID(Бланк!$E23,1,1)="B",
    116,
    117
   ),
   IF(
    MID(Бланк!$B23,1,6)="iDPN H",
    118,
    D!$BA$3
   )
  )
 )
)</f>
        <v>-</v>
      </c>
      <c r="BH14" s="819"/>
      <c r="BI14" s="1073" t="s">
        <v>1247</v>
      </c>
      <c r="BJ14" s="1074" t="s">
        <v>30</v>
      </c>
      <c r="BK14" s="819"/>
      <c r="BL14" s="819"/>
      <c r="BO14" s="819"/>
      <c r="BP14" s="41"/>
      <c r="BQ14" s="213" t="s">
        <v>94</v>
      </c>
      <c r="BR14" s="213" t="str">
        <f>Проверки!Q14</f>
        <v/>
      </c>
      <c r="BS14" s="213" t="str">
        <f>IF(Проверки!M14+Проверки!O14,MID(Проверки!C14,1,1),"")</f>
        <v/>
      </c>
      <c r="BT14" s="213"/>
      <c r="BU14" s="213" t="str">
        <f t="shared" si="12"/>
        <v/>
      </c>
      <c r="BV14" s="213">
        <f t="shared" si="13"/>
        <v>1</v>
      </c>
      <c r="BW14" s="303">
        <f ca="1">COUNTIF(OFFSET($AM$3,$BW$4-1,0,BW11),"&lt;="&amp;$BW$8)</f>
        <v>0</v>
      </c>
      <c r="BX14" s="213" t="str">
        <f t="shared" ca="1" si="14"/>
        <v>-</v>
      </c>
      <c r="BY14" s="213">
        <f t="shared" ca="1" si="15"/>
        <v>1</v>
      </c>
      <c r="BZ14" s="213"/>
      <c r="CA14" s="41"/>
      <c r="CB14" s="41" t="str">
        <f t="shared" si="3"/>
        <v>iC60225</v>
      </c>
      <c r="CC14" s="213" t="s">
        <v>105</v>
      </c>
      <c r="CD14" s="213">
        <v>2</v>
      </c>
      <c r="CE14" s="214">
        <v>25</v>
      </c>
      <c r="CF14" s="214"/>
      <c r="CG14" s="201" t="s">
        <v>604</v>
      </c>
      <c r="CH14" s="41"/>
      <c r="CI14" s="41"/>
      <c r="CP14" s="9"/>
      <c r="CQ14" s="9"/>
      <c r="CR14" s="9"/>
      <c r="CS14" s="9"/>
      <c r="CT14" s="9"/>
      <c r="CU14" s="9"/>
      <c r="DG14" s="400"/>
      <c r="DH14" s="22"/>
      <c r="DI14" s="22"/>
      <c r="DJ14" s="22"/>
      <c r="DK14" s="344"/>
      <c r="DL14" s="375" t="str">
        <f t="shared" si="4"/>
        <v>TN-C1250</v>
      </c>
      <c r="DM14" s="376" t="s">
        <v>6</v>
      </c>
      <c r="DN14" s="376">
        <v>1</v>
      </c>
      <c r="DO14" s="376">
        <v>250</v>
      </c>
      <c r="DP14" s="376">
        <v>1</v>
      </c>
      <c r="DQ14" s="377" t="s">
        <v>380</v>
      </c>
      <c r="DR14" s="358"/>
      <c r="DW14" s="358"/>
      <c r="DX14" s="592" t="str">
        <f t="shared" si="6"/>
        <v>TT2</v>
      </c>
      <c r="DY14" s="593" t="s">
        <v>763</v>
      </c>
      <c r="DZ14" s="593">
        <v>2</v>
      </c>
      <c r="EA14" s="593">
        <v>3</v>
      </c>
      <c r="EB14" s="358"/>
      <c r="EC14" s="593">
        <v>16</v>
      </c>
      <c r="ED14" s="593">
        <v>1</v>
      </c>
      <c r="EE14" s="592">
        <v>2.5</v>
      </c>
      <c r="EF14" s="22"/>
      <c r="EG14" s="620"/>
      <c r="EH14" s="610"/>
      <c r="EI14" s="619" t="s">
        <v>162</v>
      </c>
      <c r="EJ14" s="619">
        <f>Бланк!$O$23</f>
        <v>0</v>
      </c>
      <c r="EK14" s="619">
        <f>IFERROR(VALUE(MID(Бланк!$L23,1,1)),1)*$EJ14</f>
        <v>0</v>
      </c>
      <c r="EL14" s="619" t="str">
        <f>IF(EJ14=EK14,MID(Бланк!$L23,1,100),MID(Бланк!$L23,3,100))</f>
        <v/>
      </c>
      <c r="EM14" s="619">
        <f>Бланк!$M23</f>
        <v>0</v>
      </c>
      <c r="EN14" s="612">
        <f>_xlfn.IFNA(VLOOKUP(Бланк!$K$3&amp;Габариты!$C17,$DX:$EA,4,FALSE)&amp;"x"&amp;VLOOKUP(Проверки!$D15,$EC:$EE,3,FALSE),0)</f>
        <v>0</v>
      </c>
      <c r="EO14" s="612">
        <f t="shared" si="7"/>
        <v>0</v>
      </c>
      <c r="EP14" s="593">
        <f>Бланк!N23</f>
        <v>0</v>
      </c>
      <c r="EQ14" s="593">
        <f>_xlfn.IFNA(VLOOKUP($EL14&amp;" "&amp;$EO14,'Список кабелей'!$I:$J,2,FALSE),0)</f>
        <v>0</v>
      </c>
      <c r="ER14" s="593">
        <f>IF(OR($EL14="-",EO14="-",EP14="-",Проверки!$D15=""),0,VLOOKUP($EO14,'Список кабелей'!$D:$J,7,FALSE))</f>
        <v>0</v>
      </c>
      <c r="ES14" s="593">
        <f t="shared" si="8"/>
        <v>0</v>
      </c>
      <c r="ET14" s="612">
        <f>$EK14*_xlfn.IFNA(VLOOKUP(Проверки!$D15,$EC:$EE,2,FALSE),0)</f>
        <v>0</v>
      </c>
      <c r="EU14" s="612">
        <f t="shared" si="9"/>
        <v>0</v>
      </c>
      <c r="EV14" s="616">
        <f>IF($ER14=0,0,VLOOKUP(ER14,'Список кабелей'!$Q$3:$R$11,2,0))</f>
        <v>0</v>
      </c>
      <c r="EW14" s="617">
        <f t="shared" si="17"/>
        <v>0</v>
      </c>
      <c r="EX14" s="613">
        <f t="shared" si="17"/>
        <v>0</v>
      </c>
      <c r="EY14" s="613">
        <f t="shared" si="17"/>
        <v>0</v>
      </c>
      <c r="EZ14" s="613">
        <f t="shared" si="17"/>
        <v>0</v>
      </c>
      <c r="FA14" s="613">
        <f t="shared" si="17"/>
        <v>0</v>
      </c>
      <c r="FB14" s="613">
        <f t="shared" si="17"/>
        <v>0</v>
      </c>
      <c r="FC14" s="613">
        <f t="shared" si="17"/>
        <v>0</v>
      </c>
      <c r="FD14" s="613">
        <f t="shared" si="17"/>
        <v>0</v>
      </c>
      <c r="FE14" s="618">
        <f t="shared" si="17"/>
        <v>0</v>
      </c>
      <c r="FH14" s="1369"/>
      <c r="FI14" s="1370"/>
      <c r="FJ14" s="642" t="s">
        <v>862</v>
      </c>
      <c r="FK14" s="643">
        <f>IF(ISERROR(FK13),0,ROUNDUP(FK13,0))*VLOOKUP(FK$2,'Список кабелей'!$Q$3:$R$11,2,0)</f>
        <v>0</v>
      </c>
      <c r="FL14" s="644">
        <f>IF(ISERROR(FL13),0,ROUNDUP(FL13,0))*VLOOKUP(FL$2,'Список кабелей'!$Q$3:$R$11,2,0)</f>
        <v>88</v>
      </c>
      <c r="FM14" s="644">
        <f>IF(ISERROR(FM13),0,ROUNDUP(FM13,0))*VLOOKUP(FM$2,'Список кабелей'!$Q$3:$R$11,2,0)</f>
        <v>0</v>
      </c>
      <c r="FN14" s="644">
        <f>IF(ISERROR(FN13),0,ROUNDUP(FN13,0))*VLOOKUP(FN$2,'Список кабелей'!$Q$3:$R$11,2,0)</f>
        <v>0</v>
      </c>
      <c r="FO14" s="644">
        <f>IF(ISERROR(FO13),0,ROUNDUP(FO13,0))*VLOOKUP(FO$2,'Список кабелей'!$Q$3:$R$11,2,0)</f>
        <v>0</v>
      </c>
      <c r="FP14" s="644">
        <f>IF(ISERROR(FP13),0,ROUNDUP(FP13,0))*VLOOKUP(FP$2,'Список кабелей'!$Q$3:$R$11,2,0)</f>
        <v>0</v>
      </c>
      <c r="FQ14" s="644">
        <f>IF(ISERROR(FQ13),0,ROUNDUP(FQ13,0))*VLOOKUP(FQ$2,'Список кабелей'!$Q$3:$R$11,2,0)</f>
        <v>44</v>
      </c>
      <c r="FR14" s="644">
        <f>IF(ISERROR(FR13),0,ROUNDUP(FR13,0))*VLOOKUP(FR$2,'Список кабелей'!$Q$3:$R$11,2,0)</f>
        <v>0</v>
      </c>
      <c r="FS14" s="645">
        <f>IF(ISERROR(FS13),0,ROUNDUP(FS13,0))*VLOOKUP(FS$2,'Список кабелей'!$Q$3:$R$11,2,0)</f>
        <v>70</v>
      </c>
      <c r="FT14" s="1373"/>
      <c r="FU14" s="1378"/>
      <c r="FV14" s="1383"/>
    </row>
    <row r="15" spans="1:178" x14ac:dyDescent="0.2">
      <c r="A15" s="47" t="s">
        <v>47</v>
      </c>
      <c r="B15" s="1427" t="s">
        <v>33</v>
      </c>
      <c r="C15" s="1428"/>
      <c r="D15" s="1428"/>
      <c r="E15" s="1429"/>
      <c r="F15" s="22"/>
      <c r="G15" s="496">
        <v>32</v>
      </c>
      <c r="H15" s="497" t="s">
        <v>870</v>
      </c>
      <c r="I15" s="470"/>
      <c r="J15" s="470"/>
      <c r="K15" s="470"/>
      <c r="L15" s="470"/>
      <c r="M15" s="470"/>
      <c r="N15" s="102"/>
      <c r="X15" s="49" t="s">
        <v>22</v>
      </c>
      <c r="Y15" s="120" t="s">
        <v>22</v>
      </c>
      <c r="Z15" s="119" t="s">
        <v>328</v>
      </c>
      <c r="AA15" s="8" t="s">
        <v>21</v>
      </c>
      <c r="AB15" s="437">
        <v>4</v>
      </c>
      <c r="AC15" s="8" t="s">
        <v>20</v>
      </c>
      <c r="AD15" s="11" t="s">
        <v>137</v>
      </c>
      <c r="AE15" s="8" t="s">
        <v>19</v>
      </c>
      <c r="AF15" s="107">
        <v>25</v>
      </c>
      <c r="AG15" s="232" t="s">
        <v>19</v>
      </c>
      <c r="AH15" s="259">
        <v>20</v>
      </c>
      <c r="AI15" s="102"/>
      <c r="AJ15" s="102" t="str">
        <f t="shared" si="1"/>
        <v>iC60N</v>
      </c>
      <c r="AK15" s="201" t="s">
        <v>19</v>
      </c>
      <c r="AL15" s="240"/>
      <c r="AM15" s="240">
        <v>20</v>
      </c>
      <c r="AN15" s="102"/>
      <c r="AO15" s="102" t="str">
        <f t="shared" si="2"/>
        <v>iC60N4</v>
      </c>
      <c r="AP15" s="222" t="s">
        <v>19</v>
      </c>
      <c r="AQ15" s="221"/>
      <c r="AR15" s="256">
        <v>4</v>
      </c>
      <c r="AS15" s="222" t="s">
        <v>57</v>
      </c>
      <c r="AT15" s="102"/>
      <c r="AU15" s="232" t="s">
        <v>117</v>
      </c>
      <c r="AV15" s="254" t="s">
        <v>57</v>
      </c>
      <c r="AW15" s="206">
        <v>50</v>
      </c>
      <c r="AX15" s="204" t="s">
        <v>63</v>
      </c>
      <c r="AY15" s="110">
        <v>500</v>
      </c>
      <c r="AZ15" s="32">
        <f>Бланк!D13*6</f>
        <v>240</v>
      </c>
      <c r="BA15" s="11">
        <f>Бланк!F13*2</f>
        <v>0</v>
      </c>
      <c r="BB15" s="9" t="s">
        <v>61</v>
      </c>
      <c r="BC15" s="11">
        <f>0.9*BC16</f>
        <v>22.5</v>
      </c>
      <c r="BD15" s="231">
        <v>40</v>
      </c>
      <c r="BE15" s="232" t="s">
        <v>292</v>
      </c>
      <c r="BF15" s="230" t="s">
        <v>163</v>
      </c>
      <c r="BG15" s="229" t="str">
        <f>IF(
 MID(Бланк!$B24,1,2)="iC",
 IF(
  MID(Бланк!$C24,1,1)="2",
  121,
  IF(
   Бланк!$C24=3,
   122,
   IF(
    Бланк!$C24=4,
    123,
    D!$BA$3
   )
  )
 ),
 IF(
  MID(Бланк!$B24,1,3)="DPN",
  IF(
   MID(Бланк!$E24,1,1)="B",
   124,
   125
  ),
  IF(
   MID(Бланк!$B24,1,6)="iDPN N",
   IF(
    MID(Бланк!$E24,1,1)="B",
    126,
    127
   ),
   IF(
    MID(Бланк!$B24,1,6)="iDPN H",
    128,
    D!$BA$3
   )
  )
 )
)</f>
        <v>-</v>
      </c>
      <c r="BH15" s="819"/>
      <c r="BI15" s="1073" t="s">
        <v>63</v>
      </c>
      <c r="BJ15" s="1074">
        <v>500</v>
      </c>
      <c r="BK15" s="819"/>
      <c r="BL15" s="819"/>
      <c r="BO15" s="819"/>
      <c r="BP15" s="41"/>
      <c r="BQ15" s="213" t="s">
        <v>162</v>
      </c>
      <c r="BR15" s="213" t="str">
        <f>Проверки!Q15</f>
        <v/>
      </c>
      <c r="BS15" s="213" t="str">
        <f>IF(Проверки!M15+Проверки!O15,MID(Проверки!C15,1,1),"")</f>
        <v/>
      </c>
      <c r="BT15" s="213"/>
      <c r="BU15" s="213" t="str">
        <f t="shared" si="12"/>
        <v/>
      </c>
      <c r="BV15" s="213">
        <f t="shared" si="13"/>
        <v>1</v>
      </c>
      <c r="BW15" s="21" t="s">
        <v>733</v>
      </c>
      <c r="BX15" s="213" t="str">
        <f t="shared" ca="1" si="14"/>
        <v>-</v>
      </c>
      <c r="BY15" s="213">
        <f t="shared" ca="1" si="15"/>
        <v>1</v>
      </c>
      <c r="BZ15" s="213"/>
      <c r="CA15" s="41"/>
      <c r="CB15" s="41" t="str">
        <f t="shared" si="3"/>
        <v>iC60263</v>
      </c>
      <c r="CC15" s="213" t="s">
        <v>105</v>
      </c>
      <c r="CD15" s="213">
        <v>2</v>
      </c>
      <c r="CE15" s="214">
        <v>63</v>
      </c>
      <c r="CF15" s="214"/>
      <c r="CG15" s="201" t="s">
        <v>30</v>
      </c>
      <c r="CH15" s="41"/>
      <c r="CI15" s="41"/>
      <c r="CP15" s="9"/>
      <c r="CQ15" s="9"/>
      <c r="CR15" s="9"/>
      <c r="CS15" s="9"/>
      <c r="CT15" s="9"/>
      <c r="CU15" s="9"/>
      <c r="DG15" s="400"/>
      <c r="DH15" s="22"/>
      <c r="DI15" s="22"/>
      <c r="DJ15" s="22"/>
      <c r="DK15" s="344"/>
      <c r="DL15" s="375" t="str">
        <f t="shared" si="4"/>
        <v>TN-C1400</v>
      </c>
      <c r="DM15" s="376" t="s">
        <v>6</v>
      </c>
      <c r="DN15" s="376">
        <v>1</v>
      </c>
      <c r="DO15" s="376">
        <v>400</v>
      </c>
      <c r="DP15" s="376">
        <v>2</v>
      </c>
      <c r="DQ15" s="377" t="s">
        <v>379</v>
      </c>
      <c r="DR15" s="358"/>
      <c r="DW15" s="358"/>
      <c r="DX15" s="592" t="str">
        <f t="shared" si="6"/>
        <v>TT3</v>
      </c>
      <c r="DY15" s="593" t="s">
        <v>763</v>
      </c>
      <c r="DZ15" s="593">
        <v>3</v>
      </c>
      <c r="EA15" s="593">
        <v>5</v>
      </c>
      <c r="EB15" s="358"/>
      <c r="EC15" s="593">
        <v>20</v>
      </c>
      <c r="ED15" s="593">
        <v>1</v>
      </c>
      <c r="EE15" s="592">
        <v>2.5</v>
      </c>
      <c r="EF15" s="22"/>
      <c r="EG15" s="620"/>
      <c r="EH15" s="610"/>
      <c r="EI15" s="619" t="s">
        <v>163</v>
      </c>
      <c r="EJ15" s="619">
        <f>Бланк!$O$24</f>
        <v>0</v>
      </c>
      <c r="EK15" s="619">
        <f>IFERROR(VALUE(MID(Бланк!$L24,1,1)),1)*$EJ15</f>
        <v>0</v>
      </c>
      <c r="EL15" s="619" t="str">
        <f>IF(EJ15=EK15,MID(Бланк!$L24,1,100),MID(Бланк!$L24,3,100))</f>
        <v/>
      </c>
      <c r="EM15" s="619">
        <f>Бланк!$M24</f>
        <v>0</v>
      </c>
      <c r="EN15" s="612">
        <f>_xlfn.IFNA(VLOOKUP(Бланк!$K$3&amp;Габариты!$C18,$DX:$EA,4,FALSE)&amp;"x"&amp;VLOOKUP(Проверки!$D16,$EC:$EE,3,FALSE),0)</f>
        <v>0</v>
      </c>
      <c r="EO15" s="612">
        <f t="shared" si="7"/>
        <v>0</v>
      </c>
      <c r="EP15" s="593">
        <f>Бланк!N24</f>
        <v>0</v>
      </c>
      <c r="EQ15" s="593">
        <f>_xlfn.IFNA(VLOOKUP($EL15&amp;" "&amp;$EO15,'Список кабелей'!$I:$J,2,FALSE),0)</f>
        <v>0</v>
      </c>
      <c r="ER15" s="593">
        <f>IF(OR($EL15="-",EO15="-",EP15="-",Проверки!$D16=""),0,VLOOKUP($EO15,'Список кабелей'!$D:$J,7,FALSE))</f>
        <v>0</v>
      </c>
      <c r="ES15" s="593">
        <f t="shared" si="8"/>
        <v>0</v>
      </c>
      <c r="ET15" s="612">
        <f>$EK15*_xlfn.IFNA(VLOOKUP(Проверки!$D16,$EC:$EE,2,FALSE),0)</f>
        <v>0</v>
      </c>
      <c r="EU15" s="612">
        <f t="shared" si="9"/>
        <v>0</v>
      </c>
      <c r="EV15" s="616">
        <f>IF($ER15=0,0,VLOOKUP(ER15,'Список кабелей'!$Q$3:$R$11,2,0))</f>
        <v>0</v>
      </c>
      <c r="EW15" s="617">
        <f t="shared" si="17"/>
        <v>0</v>
      </c>
      <c r="EX15" s="613">
        <f t="shared" si="17"/>
        <v>0</v>
      </c>
      <c r="EY15" s="613">
        <f t="shared" si="17"/>
        <v>0</v>
      </c>
      <c r="EZ15" s="613">
        <f t="shared" si="17"/>
        <v>0</v>
      </c>
      <c r="FA15" s="613">
        <f t="shared" si="17"/>
        <v>0</v>
      </c>
      <c r="FB15" s="613">
        <f t="shared" si="17"/>
        <v>0</v>
      </c>
      <c r="FC15" s="613">
        <f t="shared" si="17"/>
        <v>0</v>
      </c>
      <c r="FD15" s="613">
        <f t="shared" si="17"/>
        <v>0</v>
      </c>
      <c r="FE15" s="618">
        <f t="shared" si="17"/>
        <v>0</v>
      </c>
      <c r="FH15" s="1367" t="s">
        <v>80</v>
      </c>
      <c r="FI15" s="1370"/>
      <c r="FJ15" s="638" t="s">
        <v>233</v>
      </c>
      <c r="FK15" s="649">
        <f>IF(FK$6&gt;0,FK$6/(IF($EH$3=D!$FJ$19,FK$19,IF($EH$3=D!$FJ$22,FK$22,IF($EH$3=D!$FJ$25,FK$25,)))),0)</f>
        <v>0</v>
      </c>
      <c r="FL15" s="650">
        <f>IF(FL$6&gt;0,FL$6/(IF($EH$3=D!$FJ$19,FL$19,IF($EH$3=D!$FJ$22,FL$22,IF($EH$3=D!$FJ$25,FL$25,)))),0)</f>
        <v>0</v>
      </c>
      <c r="FM15" s="650">
        <f>IF(FM$6&gt;0,FM$6/(IF($EH$3=D!$FJ$19,FM$19,IF($EH$3=D!$FJ$22,FM$22,IF($EH$3=D!$FJ$25,FM$25,)))),0)</f>
        <v>0</v>
      </c>
      <c r="FN15" s="650">
        <f>IF(FN$6&gt;0,FN$6/(IF($EH$3=D!$FJ$19,FN$19,IF($EH$3=D!$FJ$22,FN$22,IF($EH$3=D!$FJ$25,FN$25,)))),0)</f>
        <v>0</v>
      </c>
      <c r="FO15" s="650">
        <f>IF(FO$6&gt;0,FO$6/(IF($EH$3=D!$FJ$19,FO$19,IF($EH$3=D!$FJ$22,FO$22,IF($EH$3=D!$FJ$25,FO$25,)))),0)</f>
        <v>0</v>
      </c>
      <c r="FP15" s="650">
        <f>IF(FP$6&gt;0,FP$6/(IF($EH$3=D!$FJ$19,FP$19,IF($EH$3=D!$FJ$22,FP$22,IF($EH$3=D!$FJ$25,FP$25,)))),0)</f>
        <v>0</v>
      </c>
      <c r="FQ15" s="650">
        <f>IF(FQ$6&gt;0,FQ$6/(IF($EH$3=D!$FJ$19,FQ$19,IF($EH$3=D!$FJ$22,FQ$22,IF($EH$3=D!$FJ$25,FQ$25,)))),0)</f>
        <v>0</v>
      </c>
      <c r="FR15" s="650">
        <f>IF(FR$6&gt;0,FR$6/(IF($EH$3=D!$FJ$19,FR$19,IF($EH$3=D!$FJ$22,FR$22,IF($EH$3=D!$FJ$25,FR$25,)))),0)</f>
        <v>0</v>
      </c>
      <c r="FS15" s="653">
        <f>IF(FS$6&gt;0,FS$6/(IF($EH$3=D!$FJ$19,FS$19,IF($EH$3=D!$FJ$22,FS$22,IF($EH$3=D!$FJ$25,FS$25,)))),0)</f>
        <v>0</v>
      </c>
      <c r="FT15" s="1372">
        <f>SUM(FK16:FS16)</f>
        <v>0</v>
      </c>
      <c r="FU15" s="1378"/>
      <c r="FV15" s="1383"/>
    </row>
    <row r="16" spans="1:178" ht="13.5" thickBot="1" x14ac:dyDescent="0.25">
      <c r="A16" s="47" t="s">
        <v>48</v>
      </c>
      <c r="B16" s="1427" t="s">
        <v>35</v>
      </c>
      <c r="C16" s="1428"/>
      <c r="D16" s="1428"/>
      <c r="E16" s="1429"/>
      <c r="F16" s="22"/>
      <c r="G16" s="496">
        <v>40</v>
      </c>
      <c r="H16" s="497" t="s">
        <v>870</v>
      </c>
      <c r="I16" s="470"/>
      <c r="J16" s="470"/>
      <c r="K16" s="470"/>
      <c r="L16" s="470"/>
      <c r="M16" s="470"/>
      <c r="N16" s="102"/>
      <c r="X16" s="49" t="s">
        <v>23</v>
      </c>
      <c r="Y16" s="120" t="s">
        <v>23</v>
      </c>
      <c r="Z16" s="119" t="s">
        <v>329</v>
      </c>
      <c r="AA16" s="8" t="s">
        <v>148</v>
      </c>
      <c r="AB16" s="437">
        <v>2</v>
      </c>
      <c r="AC16" s="8" t="s">
        <v>20</v>
      </c>
      <c r="AD16" s="11" t="s">
        <v>138</v>
      </c>
      <c r="AE16" s="8" t="s">
        <v>19</v>
      </c>
      <c r="AF16" s="107">
        <v>32</v>
      </c>
      <c r="AG16" s="232" t="s">
        <v>19</v>
      </c>
      <c r="AH16" s="259">
        <v>25</v>
      </c>
      <c r="AI16" s="102"/>
      <c r="AJ16" s="102" t="str">
        <f t="shared" si="1"/>
        <v>iC60N</v>
      </c>
      <c r="AK16" s="201" t="s">
        <v>19</v>
      </c>
      <c r="AL16" s="240"/>
      <c r="AM16" s="240">
        <v>25</v>
      </c>
      <c r="AN16" s="102"/>
      <c r="AO16" s="102" t="str">
        <f t="shared" si="2"/>
        <v>iC60N4</v>
      </c>
      <c r="AP16" s="222" t="s">
        <v>19</v>
      </c>
      <c r="AQ16" s="221"/>
      <c r="AR16" s="256">
        <v>4</v>
      </c>
      <c r="AS16" s="222" t="s">
        <v>58</v>
      </c>
      <c r="AT16" s="102"/>
      <c r="AU16" s="232" t="s">
        <v>117</v>
      </c>
      <c r="AV16" s="254" t="s">
        <v>58</v>
      </c>
      <c r="AW16" s="206">
        <v>63</v>
      </c>
      <c r="AX16" s="204" t="s">
        <v>64</v>
      </c>
      <c r="AY16" s="110">
        <v>500</v>
      </c>
      <c r="AZ16" s="32">
        <f>Бланк!D13*7</f>
        <v>280</v>
      </c>
      <c r="BA16" s="11">
        <f>Бланк!F13*3</f>
        <v>0</v>
      </c>
      <c r="BB16" s="9" t="s">
        <v>61</v>
      </c>
      <c r="BC16" s="11">
        <v>25</v>
      </c>
      <c r="BD16" s="231">
        <v>63</v>
      </c>
      <c r="BE16" s="232" t="s">
        <v>595</v>
      </c>
      <c r="BF16" s="230" t="s">
        <v>164</v>
      </c>
      <c r="BG16" s="229" t="str">
        <f>IF(
 MID(Бланк!$B25,1,2)="iC",
 IF(
  MID(Бланк!$C25,1,1)="2",
  131,
  IF(
   Бланк!$C25=3,
   132,
   IF(
    Бланк!$C25=4,
    133,
    D!$BA$3
   )
  )
 ),
 IF(
  MID(Бланк!$B25,1,3)="DPN",
  IF(
   MID(Бланк!$E25,1,1)="B",
   134,
   135
  ),
  IF(
   MID(Бланк!$B25,1,6)="iDPN N",
   IF(
    MID(Бланк!$E25,1,1)="B",
    136,
    137
   ),
   IF(
    MID(Бланк!$B25,1,6)="iDPN H",
    138,
    D!$BA$3
   )
  )
 )
)</f>
        <v>-</v>
      </c>
      <c r="BH16" s="819"/>
      <c r="BI16" s="1073" t="s">
        <v>64</v>
      </c>
      <c r="BJ16" s="1074">
        <v>500</v>
      </c>
      <c r="BK16" s="819"/>
      <c r="BL16" s="819"/>
      <c r="BO16" s="819"/>
      <c r="BP16" s="41"/>
      <c r="BQ16" s="213" t="s">
        <v>163</v>
      </c>
      <c r="BR16" s="213" t="str">
        <f>Проверки!Q16</f>
        <v/>
      </c>
      <c r="BS16" s="213" t="str">
        <f>IF(Проверки!M16+Проверки!O16,MID(Проверки!C16,1,1),"")</f>
        <v/>
      </c>
      <c r="BT16" s="213"/>
      <c r="BU16" s="213" t="str">
        <f t="shared" si="12"/>
        <v/>
      </c>
      <c r="BV16" s="213">
        <f t="shared" si="13"/>
        <v>1</v>
      </c>
      <c r="BW16" s="303">
        <f ca="1">IF(BT4,$BW$14,$BW$11)</f>
        <v>8</v>
      </c>
      <c r="BX16" s="213" t="str">
        <f t="shared" ca="1" si="14"/>
        <v>-</v>
      </c>
      <c r="BY16" s="213">
        <f t="shared" ca="1" si="15"/>
        <v>1</v>
      </c>
      <c r="BZ16" s="213"/>
      <c r="CA16" s="41"/>
      <c r="CB16" s="41" t="str">
        <f t="shared" si="3"/>
        <v>iC60263</v>
      </c>
      <c r="CC16" s="213" t="s">
        <v>105</v>
      </c>
      <c r="CD16" s="213">
        <v>2</v>
      </c>
      <c r="CE16" s="214">
        <v>63</v>
      </c>
      <c r="CF16" s="214"/>
      <c r="CG16" s="201" t="s">
        <v>595</v>
      </c>
      <c r="CH16" s="41"/>
      <c r="CI16" s="41"/>
      <c r="CP16" s="9"/>
      <c r="CQ16" s="41"/>
      <c r="CR16" s="9"/>
      <c r="CS16" s="9"/>
      <c r="CT16" s="9"/>
      <c r="CU16" s="9"/>
      <c r="DG16" s="400"/>
      <c r="DH16" s="22"/>
      <c r="DI16" s="22"/>
      <c r="DJ16" s="22"/>
      <c r="DK16" s="344"/>
      <c r="DL16" s="375" t="str">
        <f t="shared" si="4"/>
        <v>TN-C1630</v>
      </c>
      <c r="DM16" s="376" t="s">
        <v>6</v>
      </c>
      <c r="DN16" s="376">
        <v>1</v>
      </c>
      <c r="DO16" s="376">
        <v>630</v>
      </c>
      <c r="DP16" s="376">
        <v>2</v>
      </c>
      <c r="DQ16" s="377" t="s">
        <v>382</v>
      </c>
      <c r="DR16" s="358"/>
      <c r="DS16" s="358"/>
      <c r="DT16" s="358"/>
      <c r="DU16" s="358"/>
      <c r="DV16" s="358"/>
      <c r="DW16" s="358"/>
      <c r="DX16" s="592" t="str">
        <f t="shared" si="6"/>
        <v>TT4</v>
      </c>
      <c r="DY16" s="593" t="s">
        <v>763</v>
      </c>
      <c r="DZ16" s="593">
        <v>4</v>
      </c>
      <c r="EA16" s="593">
        <v>5</v>
      </c>
      <c r="EB16" s="358"/>
      <c r="EC16" s="593">
        <v>25</v>
      </c>
      <c r="ED16" s="593">
        <v>1</v>
      </c>
      <c r="EE16" s="592">
        <v>4</v>
      </c>
      <c r="EF16" s="22"/>
      <c r="EG16" s="620"/>
      <c r="EH16" s="610"/>
      <c r="EI16" s="619" t="s">
        <v>164</v>
      </c>
      <c r="EJ16" s="619">
        <f>Бланк!$O$25</f>
        <v>0</v>
      </c>
      <c r="EK16" s="619">
        <f>IFERROR(VALUE(MID(Бланк!$L25,1,1)),1)*$EJ16</f>
        <v>0</v>
      </c>
      <c r="EL16" s="619" t="str">
        <f>IF(EJ16=EK16,MID(Бланк!$L25,1,100),MID(Бланк!$L25,3,100))</f>
        <v/>
      </c>
      <c r="EM16" s="619">
        <f>Бланк!$M25</f>
        <v>0</v>
      </c>
      <c r="EN16" s="612">
        <f>_xlfn.IFNA(VLOOKUP(Бланк!$K$3&amp;Габариты!$C19,$DX:$EA,4,FALSE)&amp;"x"&amp;VLOOKUP(Проверки!$D17,$EC:$EE,3,FALSE),0)</f>
        <v>0</v>
      </c>
      <c r="EO16" s="612">
        <f t="shared" si="7"/>
        <v>0</v>
      </c>
      <c r="EP16" s="593">
        <f>Бланк!N25</f>
        <v>0</v>
      </c>
      <c r="EQ16" s="593">
        <f>_xlfn.IFNA(VLOOKUP($EL16&amp;" "&amp;$EO16,'Список кабелей'!$I:$J,2,FALSE),0)</f>
        <v>0</v>
      </c>
      <c r="ER16" s="593">
        <f>IF(OR($EL16="-",EO16="-",EP16="-",Проверки!$D17=""),0,VLOOKUP($EO16,'Список кабелей'!$D:$J,7,FALSE))</f>
        <v>0</v>
      </c>
      <c r="ES16" s="593">
        <f t="shared" si="8"/>
        <v>0</v>
      </c>
      <c r="ET16" s="612">
        <f>$EK16*_xlfn.IFNA(VLOOKUP(Проверки!$D17,$EC:$EE,2,FALSE),0)</f>
        <v>0</v>
      </c>
      <c r="EU16" s="612">
        <f t="shared" si="9"/>
        <v>0</v>
      </c>
      <c r="EV16" s="616">
        <f>IF($ER16=0,0,VLOOKUP(ER16,'Список кабелей'!$Q$3:$R$11,2,0))</f>
        <v>0</v>
      </c>
      <c r="EW16" s="617">
        <f t="shared" si="17"/>
        <v>0</v>
      </c>
      <c r="EX16" s="613">
        <f t="shared" si="17"/>
        <v>0</v>
      </c>
      <c r="EY16" s="613">
        <f t="shared" si="17"/>
        <v>0</v>
      </c>
      <c r="EZ16" s="613">
        <f t="shared" si="17"/>
        <v>0</v>
      </c>
      <c r="FA16" s="613">
        <f t="shared" si="17"/>
        <v>0</v>
      </c>
      <c r="FB16" s="613">
        <f t="shared" si="17"/>
        <v>0</v>
      </c>
      <c r="FC16" s="613">
        <f t="shared" si="17"/>
        <v>0</v>
      </c>
      <c r="FD16" s="613">
        <f t="shared" si="17"/>
        <v>0</v>
      </c>
      <c r="FE16" s="618">
        <f t="shared" si="17"/>
        <v>0</v>
      </c>
      <c r="FH16" s="1368"/>
      <c r="FI16" s="1401"/>
      <c r="FJ16" s="658" t="s">
        <v>862</v>
      </c>
      <c r="FK16" s="659">
        <f>IF(ISERROR(FK15),0,ROUNDUP(FK15,0))*VLOOKUP(FK$2,'Список кабелей'!$Q$3:$R$11,2,0)</f>
        <v>0</v>
      </c>
      <c r="FL16" s="660">
        <f>IF(ISERROR(FL15),0,ROUNDUP(FL15,0))*VLOOKUP(FL$2,'Список кабелей'!$Q$3:$R$11,2,0)</f>
        <v>0</v>
      </c>
      <c r="FM16" s="660">
        <f>IF(ISERROR(FM15),0,ROUNDUP(FM15,0))*VLOOKUP(FM$2,'Список кабелей'!$Q$3:$R$11,2,0)</f>
        <v>0</v>
      </c>
      <c r="FN16" s="660">
        <f>IF(ISERROR(FN15),0,ROUNDUP(FN15,0))*VLOOKUP(FN$2,'Список кабелей'!$Q$3:$R$11,2,0)</f>
        <v>0</v>
      </c>
      <c r="FO16" s="660">
        <f>IF(ISERROR(FO15),0,ROUNDUP(FO15,0))*VLOOKUP(FO$2,'Список кабелей'!$Q$3:$R$11,2,0)</f>
        <v>0</v>
      </c>
      <c r="FP16" s="660">
        <f>IF(ISERROR(FP15),0,ROUNDUP(FP15,0))*VLOOKUP(FP$2,'Список кабелей'!$Q$3:$R$11,2,0)</f>
        <v>0</v>
      </c>
      <c r="FQ16" s="660">
        <f>IF(ISERROR(FQ15),0,ROUNDUP(FQ15,0))*VLOOKUP(FQ$2,'Список кабелей'!$Q$3:$R$11,2,0)</f>
        <v>0</v>
      </c>
      <c r="FR16" s="660">
        <f>IF(ISERROR(FR15),0,ROUNDUP(FR15,0))*VLOOKUP(FR$2,'Список кабелей'!$Q$3:$R$11,2,0)</f>
        <v>0</v>
      </c>
      <c r="FS16" s="661">
        <f>IF(ISERROR(FS15),0,ROUNDUP(FS15,0))*VLOOKUP(FS$2,'Список кабелей'!$Q$3:$R$11,2,0)</f>
        <v>0</v>
      </c>
      <c r="FT16" s="1381"/>
      <c r="FU16" s="1380"/>
      <c r="FV16" s="1385"/>
    </row>
    <row r="17" spans="1:179" ht="13.5" thickTop="1" x14ac:dyDescent="0.2">
      <c r="A17" s="47" t="s">
        <v>49</v>
      </c>
      <c r="B17" s="1427" t="s">
        <v>36</v>
      </c>
      <c r="C17" s="1428"/>
      <c r="D17" s="1428"/>
      <c r="E17" s="1429"/>
      <c r="F17" s="22"/>
      <c r="G17" s="496">
        <v>50</v>
      </c>
      <c r="H17" s="497" t="s">
        <v>871</v>
      </c>
      <c r="I17" s="470"/>
      <c r="J17" s="470"/>
      <c r="K17" s="470"/>
      <c r="L17" s="470"/>
      <c r="M17" s="470"/>
      <c r="N17" s="102"/>
      <c r="X17" s="49" t="s">
        <v>486</v>
      </c>
      <c r="Y17" s="120" t="s">
        <v>486</v>
      </c>
      <c r="Z17" s="119" t="s">
        <v>330</v>
      </c>
      <c r="AA17" s="8" t="s">
        <v>149</v>
      </c>
      <c r="AB17" s="437">
        <v>1</v>
      </c>
      <c r="AC17" s="8" t="s">
        <v>20</v>
      </c>
      <c r="AD17" s="11" t="s">
        <v>326</v>
      </c>
      <c r="AE17" s="8" t="s">
        <v>19</v>
      </c>
      <c r="AF17" s="107">
        <v>40</v>
      </c>
      <c r="AG17" s="232" t="s">
        <v>19</v>
      </c>
      <c r="AH17" s="259">
        <v>32</v>
      </c>
      <c r="AI17" s="102"/>
      <c r="AJ17" s="102" t="str">
        <f t="shared" si="1"/>
        <v>iC60N</v>
      </c>
      <c r="AK17" s="201" t="s">
        <v>19</v>
      </c>
      <c r="AL17" s="240"/>
      <c r="AM17" s="240">
        <v>32</v>
      </c>
      <c r="AN17" s="102"/>
      <c r="AO17" s="102" t="str">
        <f t="shared" si="2"/>
        <v>iC60N4</v>
      </c>
      <c r="AP17" s="222" t="s">
        <v>19</v>
      </c>
      <c r="AQ17" s="221"/>
      <c r="AR17" s="256">
        <v>4</v>
      </c>
      <c r="AS17" s="222" t="s">
        <v>59</v>
      </c>
      <c r="AT17" s="102"/>
      <c r="AU17" s="232" t="s">
        <v>117</v>
      </c>
      <c r="AV17" s="254" t="s">
        <v>59</v>
      </c>
      <c r="AW17" s="206">
        <v>63</v>
      </c>
      <c r="AX17" s="204" t="s">
        <v>567</v>
      </c>
      <c r="AY17" s="110">
        <v>125</v>
      </c>
      <c r="AZ17" s="32">
        <f>Бланк!D13*8</f>
        <v>320</v>
      </c>
      <c r="BA17" s="11">
        <f>Бланк!F13*4</f>
        <v>0</v>
      </c>
      <c r="BB17" s="9" t="s">
        <v>111</v>
      </c>
      <c r="BC17" s="11">
        <f>0.7*BC20</f>
        <v>22.4</v>
      </c>
      <c r="BD17" s="231">
        <v>63</v>
      </c>
      <c r="BE17" s="232" t="s">
        <v>596</v>
      </c>
      <c r="BF17" s="230" t="s">
        <v>165</v>
      </c>
      <c r="BG17" s="229" t="str">
        <f>IF(
 MID(Бланк!$B26,1,2)="iC",
 IF(
  MID(Бланк!$C26,1,1)="2",
  141,
  IF(
   Бланк!$C26=3,
   142,
   IF(
    Бланк!$C26=4,
    143,
    D!$BA$3
   )
  )
 ),
 IF(
  MID(Бланк!$B26,1,3)="DPN",
  IF(
   MID(Бланк!$E26,1,1)="B",
   144,
   145
  ),
  IF(
   MID(Бланк!$B26,1,6)="iDPN N",
   IF(
    MID(Бланк!$E26,1,1)="B",
    146,
    147
   ),
   IF(
    MID(Бланк!$B26,1,6)="iDPN H",
    148,
    D!$BA$3
   )
  )
 )
)</f>
        <v>-</v>
      </c>
      <c r="BH17" s="819"/>
      <c r="BI17" s="1073" t="s">
        <v>567</v>
      </c>
      <c r="BJ17" s="1074">
        <v>125</v>
      </c>
      <c r="BK17" s="819"/>
      <c r="BL17" s="819"/>
      <c r="BO17" s="819"/>
      <c r="BP17" s="41"/>
      <c r="BQ17" s="213" t="s">
        <v>164</v>
      </c>
      <c r="BR17" s="213" t="str">
        <f>Проверки!Q17</f>
        <v/>
      </c>
      <c r="BS17" s="213" t="str">
        <f>IF(Проверки!M17+Проверки!O17,MID(Проверки!C17,1,1),"")</f>
        <v/>
      </c>
      <c r="BT17" s="213"/>
      <c r="BU17" s="213" t="str">
        <f t="shared" si="12"/>
        <v/>
      </c>
      <c r="BV17" s="213">
        <f t="shared" si="13"/>
        <v>1</v>
      </c>
      <c r="BW17" s="21"/>
      <c r="BX17" s="213" t="str">
        <f t="shared" ca="1" si="14"/>
        <v>-</v>
      </c>
      <c r="BY17" s="213">
        <f t="shared" ca="1" si="15"/>
        <v>1</v>
      </c>
      <c r="BZ17" s="213"/>
      <c r="CA17" s="41"/>
      <c r="CB17" s="41" t="str">
        <f t="shared" si="3"/>
        <v>iC60263</v>
      </c>
      <c r="CC17" s="213" t="s">
        <v>105</v>
      </c>
      <c r="CD17" s="213">
        <v>2</v>
      </c>
      <c r="CE17" s="214">
        <v>63</v>
      </c>
      <c r="CF17" s="214"/>
      <c r="CG17" s="201" t="s">
        <v>596</v>
      </c>
      <c r="CH17" s="41"/>
      <c r="CI17" s="41"/>
      <c r="CP17" s="9"/>
      <c r="CQ17" s="41"/>
      <c r="CR17" s="9"/>
      <c r="CS17" s="9"/>
      <c r="CT17" s="9"/>
      <c r="CU17" s="9"/>
      <c r="DG17" s="400"/>
      <c r="DH17" s="22"/>
      <c r="DI17" s="22"/>
      <c r="DJ17" s="22"/>
      <c r="DK17" s="344"/>
      <c r="DL17" s="375" t="str">
        <f t="shared" si="4"/>
        <v>TN-C310</v>
      </c>
      <c r="DM17" s="376" t="s">
        <v>6</v>
      </c>
      <c r="DN17" s="376">
        <v>3</v>
      </c>
      <c r="DO17" s="376">
        <v>10</v>
      </c>
      <c r="DP17" s="376">
        <v>1</v>
      </c>
      <c r="DQ17" s="377" t="s">
        <v>397</v>
      </c>
      <c r="DR17" s="358"/>
      <c r="DS17" s="358"/>
      <c r="DT17" s="358"/>
      <c r="DU17" s="358"/>
      <c r="DV17" s="358"/>
      <c r="DW17" s="358"/>
      <c r="DX17" s="592" t="str">
        <f t="shared" si="6"/>
        <v>IT1</v>
      </c>
      <c r="DY17" s="593" t="s">
        <v>151</v>
      </c>
      <c r="DZ17" s="593">
        <v>1</v>
      </c>
      <c r="EA17" s="593">
        <v>3</v>
      </c>
      <c r="EB17" s="358"/>
      <c r="EC17" s="593">
        <v>32</v>
      </c>
      <c r="ED17" s="593">
        <v>1</v>
      </c>
      <c r="EE17" s="592">
        <v>6</v>
      </c>
      <c r="EF17" s="22"/>
      <c r="EG17" s="620"/>
      <c r="EH17" s="610"/>
      <c r="EI17" s="619" t="s">
        <v>165</v>
      </c>
      <c r="EJ17" s="621">
        <f>Бланк!$O$26</f>
        <v>0</v>
      </c>
      <c r="EK17" s="619">
        <f>IFERROR(VALUE(MID(Бланк!$L26,1,1)),1)*$EJ17</f>
        <v>0</v>
      </c>
      <c r="EL17" s="619" t="str">
        <f>IF(EJ17=EK17,MID(Бланк!$L26,1,100),MID(Бланк!$L26,3,100))</f>
        <v/>
      </c>
      <c r="EM17" s="619">
        <f>Бланк!$M26</f>
        <v>0</v>
      </c>
      <c r="EN17" s="612">
        <f>_xlfn.IFNA(VLOOKUP(Бланк!$K$3&amp;Габариты!$C20,$DX:$EA,4,FALSE)&amp;"x"&amp;VLOOKUP(Проверки!$D18,$EC:$EE,3,FALSE),0)</f>
        <v>0</v>
      </c>
      <c r="EO17" s="612">
        <f t="shared" si="7"/>
        <v>0</v>
      </c>
      <c r="EP17" s="593">
        <f>Бланк!N26</f>
        <v>0</v>
      </c>
      <c r="EQ17" s="593">
        <f>_xlfn.IFNA(VLOOKUP($EL17&amp;" "&amp;$EO17,'Список кабелей'!$I:$J,2,FALSE),0)</f>
        <v>0</v>
      </c>
      <c r="ER17" s="593">
        <f>IF(OR($EL17="-",EO17="-",EP17="-",Проверки!$D18=""),0,VLOOKUP($EO17,'Список кабелей'!$D:$J,7,FALSE))</f>
        <v>0</v>
      </c>
      <c r="ES17" s="593">
        <f t="shared" si="8"/>
        <v>0</v>
      </c>
      <c r="ET17" s="612">
        <f>$EK17*_xlfn.IFNA(VLOOKUP(Проверки!$D18,$EC:$EE,2,FALSE),0)</f>
        <v>0</v>
      </c>
      <c r="EU17" s="612">
        <f t="shared" si="9"/>
        <v>0</v>
      </c>
      <c r="EV17" s="616">
        <f>IF($ER17=0,0,VLOOKUP(ER17,'Список кабелей'!$Q$3:$R$11,2,0))</f>
        <v>0</v>
      </c>
      <c r="EW17" s="617">
        <f t="shared" si="17"/>
        <v>0</v>
      </c>
      <c r="EX17" s="613">
        <f t="shared" si="17"/>
        <v>0</v>
      </c>
      <c r="EY17" s="613">
        <f t="shared" si="17"/>
        <v>0</v>
      </c>
      <c r="EZ17" s="613">
        <f t="shared" si="17"/>
        <v>0</v>
      </c>
      <c r="FA17" s="613">
        <f t="shared" si="17"/>
        <v>0</v>
      </c>
      <c r="FB17" s="613">
        <f t="shared" si="17"/>
        <v>0</v>
      </c>
      <c r="FC17" s="613">
        <f t="shared" si="17"/>
        <v>0</v>
      </c>
      <c r="FD17" s="613">
        <f t="shared" si="17"/>
        <v>0</v>
      </c>
      <c r="FE17" s="618">
        <f t="shared" si="17"/>
        <v>0</v>
      </c>
      <c r="FH17" s="1390" t="s">
        <v>524</v>
      </c>
      <c r="FI17" s="662" t="s">
        <v>234</v>
      </c>
      <c r="FJ17" s="663" t="s">
        <v>43</v>
      </c>
      <c r="FK17" s="664">
        <v>0</v>
      </c>
      <c r="FL17" s="665">
        <v>1</v>
      </c>
      <c r="FM17" s="665">
        <v>1</v>
      </c>
      <c r="FN17" s="665">
        <v>1</v>
      </c>
      <c r="FO17" s="665">
        <v>1</v>
      </c>
      <c r="FP17" s="665">
        <v>1</v>
      </c>
      <c r="FQ17" s="665">
        <v>2</v>
      </c>
      <c r="FR17" s="665">
        <v>2</v>
      </c>
      <c r="FS17" s="638">
        <v>3</v>
      </c>
      <c r="FT17" s="1388">
        <f>$EG$3-$CX3</f>
        <v>300</v>
      </c>
      <c r="FU17" s="180"/>
      <c r="FV17" s="181"/>
      <c r="FW17" s="9"/>
    </row>
    <row r="18" spans="1:179" ht="13.5" thickBot="1" x14ac:dyDescent="0.25">
      <c r="A18" s="47" t="s">
        <v>50</v>
      </c>
      <c r="B18" s="1427" t="s">
        <v>37</v>
      </c>
      <c r="C18" s="1428"/>
      <c r="D18" s="1428"/>
      <c r="E18" s="1429"/>
      <c r="F18" s="22"/>
      <c r="G18" s="496">
        <v>63</v>
      </c>
      <c r="H18" s="497" t="s">
        <v>871</v>
      </c>
      <c r="I18" s="470"/>
      <c r="J18" s="470"/>
      <c r="K18" s="470"/>
      <c r="L18" s="470"/>
      <c r="M18" s="470"/>
      <c r="N18" s="102"/>
      <c r="X18" s="49" t="s">
        <v>24</v>
      </c>
      <c r="Y18" s="120" t="s">
        <v>24</v>
      </c>
      <c r="Z18" s="154" t="s">
        <v>22</v>
      </c>
      <c r="AA18" s="8" t="s">
        <v>149</v>
      </c>
      <c r="AB18" s="437">
        <v>2</v>
      </c>
      <c r="AC18" s="8" t="s">
        <v>20</v>
      </c>
      <c r="AD18" s="11" t="s">
        <v>139</v>
      </c>
      <c r="AE18" s="8" t="s">
        <v>19</v>
      </c>
      <c r="AF18" s="107">
        <v>50</v>
      </c>
      <c r="AG18" s="232" t="s">
        <v>19</v>
      </c>
      <c r="AH18" s="259">
        <v>40</v>
      </c>
      <c r="AI18" s="102"/>
      <c r="AJ18" s="102" t="str">
        <f t="shared" si="1"/>
        <v>iC60N</v>
      </c>
      <c r="AK18" s="201" t="s">
        <v>19</v>
      </c>
      <c r="AL18" s="240"/>
      <c r="AM18" s="240">
        <v>40</v>
      </c>
      <c r="AN18" s="102"/>
      <c r="AO18" s="102" t="str">
        <f t="shared" si="2"/>
        <v>iC60N5</v>
      </c>
      <c r="AP18" s="222" t="s">
        <v>19</v>
      </c>
      <c r="AQ18" s="256"/>
      <c r="AR18" s="256">
        <v>5</v>
      </c>
      <c r="AS18" s="222" t="s">
        <v>57</v>
      </c>
      <c r="AT18" s="102"/>
      <c r="AU18" s="232" t="s">
        <v>119</v>
      </c>
      <c r="AV18" s="254" t="s">
        <v>57</v>
      </c>
      <c r="AW18" s="206">
        <v>80</v>
      </c>
      <c r="AX18" s="204" t="s">
        <v>65</v>
      </c>
      <c r="AY18" s="110">
        <v>640</v>
      </c>
      <c r="AZ18" s="32">
        <f>Бланк!D13*9</f>
        <v>360</v>
      </c>
      <c r="BA18" s="11">
        <f>Бланк!F13*5</f>
        <v>0</v>
      </c>
      <c r="BB18" s="9" t="s">
        <v>111</v>
      </c>
      <c r="BC18" s="11">
        <f>0.8*BC20</f>
        <v>25.6</v>
      </c>
      <c r="BD18" s="231">
        <v>63</v>
      </c>
      <c r="BE18" s="232" t="s">
        <v>597</v>
      </c>
      <c r="BF18" s="230" t="s">
        <v>166</v>
      </c>
      <c r="BG18" s="229" t="str">
        <f>IF(
 MID(Бланк!$B27,1,2)="iC",
 IF(
  MID(Бланк!$C27,1,1)="2",
  151,
  IF(
   Бланк!$C27=3,
   152,
   IF(
    Бланк!$C27=4,
    153,
    D!$BA$3
   )
  )
 ),
 IF(
  MID(Бланк!$B27,1,3)="DPN",
  IF(
   MID(Бланк!$E27,1,1)="B",
   154,
   155
  ),
  IF(
   MID(Бланк!$B27,1,6)="iDPN N",
   IF(
    MID(Бланк!$E27,1,1)="B",
    156,
    157
   ),
   IF(
    MID(Бланк!$B27,1,6)="iDPN H",
    158,
    D!$BA$3
   )
  )
 )
)</f>
        <v>-</v>
      </c>
      <c r="BH18" s="819"/>
      <c r="BI18" s="1073" t="s">
        <v>65</v>
      </c>
      <c r="BJ18" s="1074">
        <v>640</v>
      </c>
      <c r="BK18" s="819"/>
      <c r="BL18" s="819"/>
      <c r="BO18" s="819"/>
      <c r="BP18" s="41"/>
      <c r="BQ18" s="213" t="s">
        <v>165</v>
      </c>
      <c r="BR18" s="213" t="str">
        <f>Проверки!Q18</f>
        <v/>
      </c>
      <c r="BS18" s="213" t="str">
        <f>IF(Проверки!M18+Проверки!O18,MID(Проверки!C18,1,1),"")</f>
        <v/>
      </c>
      <c r="BT18" s="213"/>
      <c r="BU18" s="213" t="str">
        <f t="shared" si="12"/>
        <v/>
      </c>
      <c r="BV18" s="213">
        <f t="shared" si="13"/>
        <v>1</v>
      </c>
      <c r="BW18" s="21"/>
      <c r="BX18" s="213" t="str">
        <f t="shared" ca="1" si="14"/>
        <v>-</v>
      </c>
      <c r="BY18" s="213">
        <f t="shared" ca="1" si="15"/>
        <v>1</v>
      </c>
      <c r="BZ18" s="213"/>
      <c r="CA18" s="41"/>
      <c r="CB18" s="41" t="str">
        <f t="shared" si="3"/>
        <v>iC60263</v>
      </c>
      <c r="CC18" s="213" t="s">
        <v>105</v>
      </c>
      <c r="CD18" s="213">
        <v>2</v>
      </c>
      <c r="CE18" s="214">
        <v>63</v>
      </c>
      <c r="CF18" s="214"/>
      <c r="CG18" s="201" t="s">
        <v>597</v>
      </c>
      <c r="CH18" s="41"/>
      <c r="CI18" s="41"/>
      <c r="CP18" s="9"/>
      <c r="CQ18" s="9"/>
      <c r="CR18" s="9"/>
      <c r="CS18" s="9"/>
      <c r="CT18" s="9"/>
      <c r="CU18" s="9"/>
      <c r="DG18" s="400"/>
      <c r="DH18" s="22"/>
      <c r="DI18" s="22"/>
      <c r="DJ18" s="22"/>
      <c r="DK18" s="344"/>
      <c r="DL18" s="375" t="str">
        <f t="shared" si="4"/>
        <v>TN-C320</v>
      </c>
      <c r="DM18" s="376" t="s">
        <v>6</v>
      </c>
      <c r="DN18" s="376">
        <v>3</v>
      </c>
      <c r="DO18" s="376">
        <v>20</v>
      </c>
      <c r="DP18" s="376">
        <v>1</v>
      </c>
      <c r="DQ18" s="377" t="s">
        <v>398</v>
      </c>
      <c r="DR18" s="358"/>
      <c r="DS18" s="358"/>
      <c r="DT18" s="358"/>
      <c r="DU18" s="358"/>
      <c r="DV18" s="358"/>
      <c r="DW18" s="358"/>
      <c r="DX18" s="592" t="str">
        <f t="shared" si="6"/>
        <v>IT2</v>
      </c>
      <c r="DY18" s="593" t="s">
        <v>151</v>
      </c>
      <c r="DZ18" s="593">
        <v>2</v>
      </c>
      <c r="EA18" s="593">
        <v>3</v>
      </c>
      <c r="EB18" s="358"/>
      <c r="EC18" s="593">
        <v>40</v>
      </c>
      <c r="ED18" s="593">
        <v>1</v>
      </c>
      <c r="EE18" s="592">
        <v>10</v>
      </c>
      <c r="EF18" s="22"/>
      <c r="EG18" s="622"/>
      <c r="EH18" s="623"/>
      <c r="EI18" s="607" t="s">
        <v>166</v>
      </c>
      <c r="EJ18" s="607">
        <f>Бланк!$O$27</f>
        <v>0</v>
      </c>
      <c r="EK18" s="607">
        <f>IFERROR(VALUE(MID(Бланк!$L27,1,1)),1)*$EJ18</f>
        <v>0</v>
      </c>
      <c r="EL18" s="607" t="str">
        <f>IF(EJ18=EK18,MID(Бланк!$L27,1,100),MID(Бланк!$L27,3,100))</f>
        <v/>
      </c>
      <c r="EM18" s="607">
        <f>Бланк!$M27</f>
        <v>0</v>
      </c>
      <c r="EN18" s="624">
        <f>_xlfn.IFNA(VLOOKUP(Бланк!$K$3&amp;Габариты!$C21,$DX:$EA,4,FALSE)&amp;"x"&amp;VLOOKUP(Проверки!$D19,$EC:$EE,3,FALSE),0)</f>
        <v>0</v>
      </c>
      <c r="EO18" s="624">
        <f t="shared" si="7"/>
        <v>0</v>
      </c>
      <c r="EP18" s="625">
        <f>Бланк!N27</f>
        <v>0</v>
      </c>
      <c r="EQ18" s="625">
        <f>_xlfn.IFNA(VLOOKUP($EL18&amp;" "&amp;$EO18,'Список кабелей'!$I:$J,2,FALSE),0)</f>
        <v>0</v>
      </c>
      <c r="ER18" s="625">
        <f>IF(OR($EL18="-",EO18="-",EP18="-",Проверки!$D19=""),0,VLOOKUP($EO18,'Список кабелей'!$D:$J,7,FALSE))</f>
        <v>0</v>
      </c>
      <c r="ES18" s="625">
        <f t="shared" si="8"/>
        <v>0</v>
      </c>
      <c r="ET18" s="624">
        <f>$EK18*_xlfn.IFNA(VLOOKUP(Проверки!$D19,$EC:$EE,2,FALSE),0)</f>
        <v>0</v>
      </c>
      <c r="EU18" s="624">
        <f t="shared" si="9"/>
        <v>0</v>
      </c>
      <c r="EV18" s="626">
        <f>IF($ER18=0,0,VLOOKUP(ER18,'Список кабелей'!$Q$3:$R$11,2,0))</f>
        <v>0</v>
      </c>
      <c r="EW18" s="622">
        <f t="shared" si="17"/>
        <v>0</v>
      </c>
      <c r="EX18" s="623">
        <f t="shared" si="17"/>
        <v>0</v>
      </c>
      <c r="EY18" s="623">
        <f t="shared" si="17"/>
        <v>0</v>
      </c>
      <c r="EZ18" s="623">
        <f t="shared" si="17"/>
        <v>0</v>
      </c>
      <c r="FA18" s="623">
        <f t="shared" si="17"/>
        <v>0</v>
      </c>
      <c r="FB18" s="623">
        <f t="shared" si="17"/>
        <v>0</v>
      </c>
      <c r="FC18" s="623">
        <f t="shared" si="17"/>
        <v>0</v>
      </c>
      <c r="FD18" s="623">
        <f t="shared" si="17"/>
        <v>0</v>
      </c>
      <c r="FE18" s="627">
        <f t="shared" si="17"/>
        <v>0</v>
      </c>
      <c r="FH18" s="1390"/>
      <c r="FI18" s="666" t="s">
        <v>235</v>
      </c>
      <c r="FJ18" s="667" t="s">
        <v>43</v>
      </c>
      <c r="FK18" s="668">
        <v>1</v>
      </c>
      <c r="FL18" s="669">
        <v>2</v>
      </c>
      <c r="FM18" s="669">
        <v>2</v>
      </c>
      <c r="FN18" s="669">
        <v>2</v>
      </c>
      <c r="FO18" s="669">
        <v>2</v>
      </c>
      <c r="FP18" s="669">
        <v>3</v>
      </c>
      <c r="FQ18" s="669">
        <v>4</v>
      </c>
      <c r="FR18" s="669">
        <v>5</v>
      </c>
      <c r="FS18" s="652">
        <v>5</v>
      </c>
      <c r="FT18" s="1388"/>
      <c r="FU18" s="178"/>
      <c r="FV18" s="179"/>
      <c r="FW18" s="9"/>
    </row>
    <row r="19" spans="1:179" ht="13.5" thickBot="1" x14ac:dyDescent="0.25">
      <c r="A19" s="47" t="s">
        <v>51</v>
      </c>
      <c r="B19" s="1427" t="s">
        <v>38</v>
      </c>
      <c r="C19" s="1428"/>
      <c r="D19" s="1428"/>
      <c r="E19" s="1429"/>
      <c r="F19" s="22"/>
      <c r="G19" s="496">
        <v>80</v>
      </c>
      <c r="H19" s="497" t="s">
        <v>872</v>
      </c>
      <c r="I19" s="470"/>
      <c r="J19" s="470"/>
      <c r="K19" s="470"/>
      <c r="L19" s="470"/>
      <c r="M19" s="470"/>
      <c r="N19" s="102"/>
      <c r="O19" s="102"/>
      <c r="P19" s="102"/>
      <c r="X19" s="49" t="s">
        <v>25</v>
      </c>
      <c r="Y19" s="120" t="s">
        <v>25</v>
      </c>
      <c r="Z19" s="154" t="s">
        <v>23</v>
      </c>
      <c r="AA19" s="8" t="s">
        <v>149</v>
      </c>
      <c r="AB19" s="437">
        <v>3</v>
      </c>
      <c r="AC19" s="8" t="s">
        <v>20</v>
      </c>
      <c r="AD19" s="11" t="s">
        <v>140</v>
      </c>
      <c r="AE19" s="8" t="s">
        <v>19</v>
      </c>
      <c r="AF19" s="107">
        <v>63</v>
      </c>
      <c r="AG19" s="232" t="s">
        <v>19</v>
      </c>
      <c r="AH19" s="259">
        <v>50</v>
      </c>
      <c r="AI19" s="102"/>
      <c r="AJ19" s="102" t="str">
        <f t="shared" si="1"/>
        <v>iC60N</v>
      </c>
      <c r="AK19" s="201" t="s">
        <v>19</v>
      </c>
      <c r="AL19" s="240"/>
      <c r="AM19" s="240">
        <v>50</v>
      </c>
      <c r="AN19" s="102"/>
      <c r="AO19" s="102" t="str">
        <f t="shared" si="2"/>
        <v>iC60N5</v>
      </c>
      <c r="AP19" s="222" t="s">
        <v>19</v>
      </c>
      <c r="AQ19" s="256"/>
      <c r="AR19" s="256">
        <v>5</v>
      </c>
      <c r="AS19" s="222" t="s">
        <v>58</v>
      </c>
      <c r="AT19" s="102"/>
      <c r="AU19" s="232" t="s">
        <v>119</v>
      </c>
      <c r="AV19" s="254" t="s">
        <v>58</v>
      </c>
      <c r="AW19" s="206">
        <v>80</v>
      </c>
      <c r="AX19" s="204" t="s">
        <v>568</v>
      </c>
      <c r="AY19" s="110">
        <v>200</v>
      </c>
      <c r="AZ19" s="32">
        <f>Бланк!D13*10</f>
        <v>400</v>
      </c>
      <c r="BA19" s="11">
        <f>Бланк!F13*6</f>
        <v>0</v>
      </c>
      <c r="BB19" s="9" t="s">
        <v>111</v>
      </c>
      <c r="BC19" s="11">
        <f>0.9*BC20</f>
        <v>28.8</v>
      </c>
      <c r="BD19" s="231">
        <v>63</v>
      </c>
      <c r="BE19" s="232" t="s">
        <v>290</v>
      </c>
      <c r="BF19" s="156"/>
      <c r="BG19" s="41"/>
      <c r="BH19" s="41"/>
      <c r="BI19" s="1073" t="s">
        <v>568</v>
      </c>
      <c r="BJ19" s="1074">
        <v>200</v>
      </c>
      <c r="BK19" s="41"/>
      <c r="BL19" s="41"/>
      <c r="BO19" s="41"/>
      <c r="BP19" s="41"/>
      <c r="BQ19" s="213" t="s">
        <v>166</v>
      </c>
      <c r="BR19" s="213" t="str">
        <f>Проверки!Q19</f>
        <v/>
      </c>
      <c r="BS19" s="213" t="str">
        <f>IF(Проверки!M19+Проверки!O19,MID(Проверки!C19,1,1),"")</f>
        <v/>
      </c>
      <c r="BT19" s="213"/>
      <c r="BU19" s="213" t="str">
        <f t="shared" si="12"/>
        <v/>
      </c>
      <c r="BV19" s="213">
        <f t="shared" si="13"/>
        <v>1</v>
      </c>
      <c r="BW19" s="21"/>
      <c r="BX19" s="213" t="str">
        <f t="shared" ca="1" si="14"/>
        <v>-</v>
      </c>
      <c r="BY19" s="213">
        <f t="shared" ca="1" si="15"/>
        <v>1</v>
      </c>
      <c r="BZ19" s="213"/>
      <c r="CA19" s="41"/>
      <c r="CB19" s="41" t="str">
        <f t="shared" si="3"/>
        <v>iC60263</v>
      </c>
      <c r="CC19" s="213" t="s">
        <v>105</v>
      </c>
      <c r="CD19" s="213">
        <v>2</v>
      </c>
      <c r="CE19" s="214">
        <v>63</v>
      </c>
      <c r="CF19" s="214"/>
      <c r="CG19" s="201" t="s">
        <v>598</v>
      </c>
      <c r="CH19" s="41"/>
      <c r="CI19" s="41"/>
      <c r="CP19" s="9"/>
      <c r="CQ19" s="9"/>
      <c r="CR19" s="9"/>
      <c r="CS19" s="9"/>
      <c r="CT19" s="9"/>
      <c r="CU19" s="9"/>
      <c r="DG19" s="400"/>
      <c r="DH19" s="22"/>
      <c r="DI19" s="22"/>
      <c r="DJ19" s="22"/>
      <c r="DK19" s="344"/>
      <c r="DL19" s="375" t="str">
        <f t="shared" si="4"/>
        <v>TN-C325</v>
      </c>
      <c r="DM19" s="376" t="s">
        <v>6</v>
      </c>
      <c r="DN19" s="376">
        <v>3</v>
      </c>
      <c r="DO19" s="376">
        <v>25</v>
      </c>
      <c r="DP19" s="376">
        <v>1</v>
      </c>
      <c r="DQ19" s="377" t="s">
        <v>399</v>
      </c>
      <c r="DR19" s="358"/>
      <c r="DS19" s="358"/>
      <c r="DT19" s="358"/>
      <c r="DU19" s="358"/>
      <c r="DV19" s="358"/>
      <c r="DW19" s="358"/>
      <c r="DX19" s="592" t="str">
        <f t="shared" si="6"/>
        <v>IT3</v>
      </c>
      <c r="DY19" s="593" t="s">
        <v>151</v>
      </c>
      <c r="DZ19" s="593">
        <v>3</v>
      </c>
      <c r="EA19" s="593">
        <v>5</v>
      </c>
      <c r="EB19" s="358"/>
      <c r="EC19" s="593">
        <v>50</v>
      </c>
      <c r="ED19" s="593">
        <v>1</v>
      </c>
      <c r="EE19" s="592">
        <v>10</v>
      </c>
      <c r="EF19" s="22"/>
      <c r="EG19" s="22"/>
      <c r="EH19" s="22"/>
      <c r="EI19" s="22"/>
      <c r="EJ19" s="22"/>
      <c r="EK19" s="22"/>
      <c r="EL19" s="22"/>
      <c r="EM19" s="22"/>
      <c r="EN19" s="344"/>
      <c r="EO19" s="344"/>
      <c r="EP19" s="22"/>
      <c r="EQ19" s="22"/>
      <c r="ER19" s="22"/>
      <c r="EU19" s="344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H19" s="1390"/>
      <c r="FI19" s="670" t="s">
        <v>236</v>
      </c>
      <c r="FJ19" s="671" t="s">
        <v>43</v>
      </c>
      <c r="FK19" s="672">
        <v>2</v>
      </c>
      <c r="FL19" s="673">
        <v>3</v>
      </c>
      <c r="FM19" s="673">
        <v>3</v>
      </c>
      <c r="FN19" s="673">
        <v>3</v>
      </c>
      <c r="FO19" s="673">
        <v>4</v>
      </c>
      <c r="FP19" s="673">
        <v>5</v>
      </c>
      <c r="FQ19" s="673">
        <v>6</v>
      </c>
      <c r="FR19" s="673">
        <v>7</v>
      </c>
      <c r="FS19" s="674">
        <v>7</v>
      </c>
      <c r="FT19" s="1389"/>
      <c r="FU19" s="178"/>
      <c r="FV19" s="179"/>
      <c r="FW19" s="9"/>
    </row>
    <row r="20" spans="1:179" ht="13.5" thickBot="1" x14ac:dyDescent="0.25">
      <c r="A20" s="47" t="s">
        <v>52</v>
      </c>
      <c r="B20" s="1427" t="s">
        <v>39</v>
      </c>
      <c r="C20" s="1428"/>
      <c r="D20" s="1428"/>
      <c r="E20" s="1429"/>
      <c r="G20" s="496">
        <v>100</v>
      </c>
      <c r="H20" s="497" t="s">
        <v>872</v>
      </c>
      <c r="X20" s="49" t="s">
        <v>485</v>
      </c>
      <c r="Y20" s="120" t="s">
        <v>485</v>
      </c>
      <c r="Z20" s="154" t="s">
        <v>486</v>
      </c>
      <c r="AA20" s="8" t="s">
        <v>149</v>
      </c>
      <c r="AB20" s="437">
        <v>4</v>
      </c>
      <c r="AC20" s="8" t="s">
        <v>20</v>
      </c>
      <c r="AD20" s="11" t="s">
        <v>141</v>
      </c>
      <c r="AE20" s="8" t="s">
        <v>20</v>
      </c>
      <c r="AF20" s="736">
        <v>1</v>
      </c>
      <c r="AG20" s="232" t="s">
        <v>19</v>
      </c>
      <c r="AH20" s="259">
        <v>63</v>
      </c>
      <c r="AI20" s="102"/>
      <c r="AJ20" s="102" t="str">
        <f t="shared" si="1"/>
        <v>iC60N</v>
      </c>
      <c r="AK20" s="217" t="s">
        <v>19</v>
      </c>
      <c r="AL20" s="241"/>
      <c r="AM20" s="241">
        <v>63</v>
      </c>
      <c r="AN20" s="102"/>
      <c r="AO20" s="102" t="str">
        <f t="shared" si="2"/>
        <v>iC60N5</v>
      </c>
      <c r="AP20" s="222" t="s">
        <v>19</v>
      </c>
      <c r="AQ20" s="256"/>
      <c r="AR20" s="256">
        <v>5</v>
      </c>
      <c r="AS20" s="222" t="s">
        <v>59</v>
      </c>
      <c r="AT20" s="102"/>
      <c r="AU20" s="232" t="s">
        <v>119</v>
      </c>
      <c r="AV20" s="254" t="s">
        <v>59</v>
      </c>
      <c r="AW20" s="206">
        <v>100</v>
      </c>
      <c r="AX20" s="204" t="s">
        <v>66</v>
      </c>
      <c r="AY20" s="110">
        <v>800</v>
      </c>
      <c r="AZ20" s="32"/>
      <c r="BA20" s="11">
        <f>Бланк!F13*7</f>
        <v>0</v>
      </c>
      <c r="BB20" s="9" t="s">
        <v>111</v>
      </c>
      <c r="BC20" s="11">
        <v>32</v>
      </c>
      <c r="BD20" s="231">
        <v>63</v>
      </c>
      <c r="BE20" s="232" t="s">
        <v>291</v>
      </c>
      <c r="BF20" s="41"/>
      <c r="BG20" s="41"/>
      <c r="BH20" s="41"/>
      <c r="BI20" s="1073" t="s">
        <v>66</v>
      </c>
      <c r="BJ20" s="1074">
        <v>800</v>
      </c>
      <c r="BK20" s="41"/>
      <c r="BL20" s="41"/>
      <c r="BO20" s="41"/>
      <c r="BP20" s="41"/>
      <c r="BQ20" s="213" t="s">
        <v>1305</v>
      </c>
      <c r="BR20" s="213" t="str">
        <f>Проверки!Q20</f>
        <v/>
      </c>
      <c r="BS20" s="213" t="str">
        <f>IF(Проверки!M20+Проверки!O20,MID(Проверки!C20,1,1),"")</f>
        <v/>
      </c>
      <c r="BT20" s="213"/>
      <c r="BU20" s="213" t="str">
        <f t="shared" si="12"/>
        <v/>
      </c>
      <c r="BV20" s="213">
        <f t="shared" si="13"/>
        <v>1</v>
      </c>
      <c r="BW20" s="21"/>
      <c r="BX20" s="213" t="str">
        <f t="shared" ca="1" si="14"/>
        <v>-</v>
      </c>
      <c r="BY20" s="213">
        <f t="shared" ca="1" si="15"/>
        <v>1</v>
      </c>
      <c r="BZ20" s="213"/>
      <c r="CA20" s="41"/>
      <c r="CB20" s="41" t="str">
        <f t="shared" si="3"/>
        <v>iC60263</v>
      </c>
      <c r="CC20" s="213" t="s">
        <v>105</v>
      </c>
      <c r="CD20" s="213">
        <v>2</v>
      </c>
      <c r="CE20" s="214">
        <v>63</v>
      </c>
      <c r="CF20" s="214"/>
      <c r="CG20" s="201" t="s">
        <v>290</v>
      </c>
      <c r="CH20" s="41"/>
      <c r="CI20" s="41"/>
      <c r="DG20" s="400"/>
      <c r="DH20" s="22"/>
      <c r="DI20" s="22"/>
      <c r="DJ20" s="22"/>
      <c r="DK20" s="344"/>
      <c r="DL20" s="375" t="str">
        <f t="shared" si="4"/>
        <v>TN-C332</v>
      </c>
      <c r="DM20" s="376" t="s">
        <v>6</v>
      </c>
      <c r="DN20" s="376">
        <v>3</v>
      </c>
      <c r="DO20" s="376">
        <v>32</v>
      </c>
      <c r="DP20" s="376">
        <v>1</v>
      </c>
      <c r="DQ20" s="377" t="s">
        <v>400</v>
      </c>
      <c r="DR20" s="358"/>
      <c r="DS20" s="358"/>
      <c r="DT20" s="358"/>
      <c r="DU20" s="358"/>
      <c r="DV20" s="358"/>
      <c r="DW20" s="358"/>
      <c r="DX20" s="592" t="str">
        <f t="shared" si="6"/>
        <v>IT4</v>
      </c>
      <c r="DY20" s="593" t="s">
        <v>151</v>
      </c>
      <c r="DZ20" s="593">
        <v>4</v>
      </c>
      <c r="EA20" s="593">
        <v>5</v>
      </c>
      <c r="EB20" s="358"/>
      <c r="EC20" s="593">
        <v>63</v>
      </c>
      <c r="ED20" s="593">
        <v>1</v>
      </c>
      <c r="EE20" s="592">
        <v>16</v>
      </c>
      <c r="EF20" s="22"/>
      <c r="EG20" s="22"/>
      <c r="EH20" s="22"/>
      <c r="EI20" s="22"/>
      <c r="EJ20" s="22"/>
      <c r="EK20" s="22"/>
      <c r="EL20" s="22"/>
      <c r="EM20" s="22"/>
      <c r="EN20" s="349"/>
      <c r="EO20" s="344"/>
      <c r="EP20" s="22"/>
      <c r="EQ20" s="22"/>
      <c r="ER20" s="22"/>
      <c r="ET20" s="349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H20" s="1390"/>
      <c r="FI20" s="662" t="s">
        <v>234</v>
      </c>
      <c r="FJ20" s="663" t="s">
        <v>44</v>
      </c>
      <c r="FK20" s="664">
        <v>0</v>
      </c>
      <c r="FL20" s="665">
        <v>1</v>
      </c>
      <c r="FM20" s="665">
        <v>1</v>
      </c>
      <c r="FN20" s="665">
        <v>1</v>
      </c>
      <c r="FO20" s="665">
        <v>1</v>
      </c>
      <c r="FP20" s="665">
        <v>1</v>
      </c>
      <c r="FQ20" s="665">
        <v>2</v>
      </c>
      <c r="FR20" s="665">
        <v>2</v>
      </c>
      <c r="FS20" s="638">
        <v>3</v>
      </c>
      <c r="FT20" s="1396">
        <f>$EG$3-$CX4</f>
        <v>300</v>
      </c>
      <c r="FU20" s="178"/>
      <c r="FV20" s="179"/>
    </row>
    <row r="21" spans="1:179" ht="13.5" thickTop="1" x14ac:dyDescent="0.2">
      <c r="A21" s="47" t="s">
        <v>53</v>
      </c>
      <c r="B21" s="1427" t="s">
        <v>40</v>
      </c>
      <c r="C21" s="1428"/>
      <c r="D21" s="1428"/>
      <c r="E21" s="1429"/>
      <c r="G21" s="496">
        <v>125</v>
      </c>
      <c r="H21" s="497" t="s">
        <v>873</v>
      </c>
      <c r="X21" s="49" t="s">
        <v>26</v>
      </c>
      <c r="Y21" s="120" t="s">
        <v>26</v>
      </c>
      <c r="Z21" s="154" t="s">
        <v>24</v>
      </c>
      <c r="AA21" s="8" t="s">
        <v>150</v>
      </c>
      <c r="AB21" s="437">
        <v>2</v>
      </c>
      <c r="AC21" s="8" t="s">
        <v>20</v>
      </c>
      <c r="AD21" s="11" t="s">
        <v>312</v>
      </c>
      <c r="AE21" s="8" t="s">
        <v>20</v>
      </c>
      <c r="AF21" s="736">
        <v>2</v>
      </c>
      <c r="AG21" s="232" t="s">
        <v>20</v>
      </c>
      <c r="AH21" s="259">
        <v>0.5</v>
      </c>
      <c r="AI21" s="102"/>
      <c r="AJ21" s="102" t="str">
        <f t="shared" si="1"/>
        <v>iC60H</v>
      </c>
      <c r="AK21" s="190" t="s">
        <v>20</v>
      </c>
      <c r="AL21" s="242"/>
      <c r="AM21" s="242">
        <v>0.5</v>
      </c>
      <c r="AN21" s="102"/>
      <c r="AO21" s="102" t="str">
        <f t="shared" si="2"/>
        <v>iC60N6</v>
      </c>
      <c r="AP21" s="222" t="s">
        <v>19</v>
      </c>
      <c r="AQ21" s="256"/>
      <c r="AR21" s="256">
        <v>6</v>
      </c>
      <c r="AS21" s="222" t="s">
        <v>57</v>
      </c>
      <c r="AT21" s="102"/>
      <c r="AU21" s="232" t="s">
        <v>120</v>
      </c>
      <c r="AV21" s="254" t="s">
        <v>57</v>
      </c>
      <c r="AW21" s="206">
        <v>100</v>
      </c>
      <c r="AX21" s="204" t="s">
        <v>569</v>
      </c>
      <c r="AY21" s="110">
        <v>320</v>
      </c>
      <c r="AZ21" s="32"/>
      <c r="BA21" s="11">
        <f>Бланк!F13*8</f>
        <v>0</v>
      </c>
      <c r="BB21" s="9" t="s">
        <v>62</v>
      </c>
      <c r="BC21" s="11">
        <f>0.7*BC24</f>
        <v>28</v>
      </c>
      <c r="BD21" s="231">
        <v>63</v>
      </c>
      <c r="BE21" s="232" t="s">
        <v>292</v>
      </c>
      <c r="BF21" s="41"/>
      <c r="BG21" s="41"/>
      <c r="BH21" s="41"/>
      <c r="BI21" s="1073" t="s">
        <v>569</v>
      </c>
      <c r="BJ21" s="1074">
        <v>320</v>
      </c>
      <c r="BK21" s="41"/>
      <c r="BL21" s="41"/>
      <c r="BQ21" s="213" t="s">
        <v>1306</v>
      </c>
      <c r="BR21" s="213" t="str">
        <f>Проверки!Q21</f>
        <v/>
      </c>
      <c r="BS21" s="213" t="str">
        <f>IF(Проверки!M21+Проверки!O21,MID(Проверки!C21,1,1),"")</f>
        <v/>
      </c>
      <c r="BT21" s="213"/>
      <c r="BU21" s="213" t="str">
        <f t="shared" si="12"/>
        <v/>
      </c>
      <c r="BV21" s="213">
        <f t="shared" si="13"/>
        <v>1</v>
      </c>
      <c r="BW21" s="21"/>
      <c r="BX21" s="213" t="str">
        <f t="shared" ca="1" si="14"/>
        <v>-</v>
      </c>
      <c r="BY21" s="213">
        <f t="shared" ca="1" si="15"/>
        <v>1</v>
      </c>
      <c r="BZ21" s="213"/>
      <c r="CB21" s="41" t="str">
        <f t="shared" si="3"/>
        <v>iC60263</v>
      </c>
      <c r="CC21" s="213" t="s">
        <v>105</v>
      </c>
      <c r="CD21" s="213">
        <v>2</v>
      </c>
      <c r="CE21" s="214">
        <v>63</v>
      </c>
      <c r="CF21" s="214"/>
      <c r="CG21" s="201" t="s">
        <v>287</v>
      </c>
      <c r="CH21" s="41"/>
      <c r="CI21" s="41"/>
      <c r="DG21" s="400"/>
      <c r="DH21" s="22"/>
      <c r="DI21" s="22"/>
      <c r="DJ21" s="22"/>
      <c r="DK21" s="344"/>
      <c r="DL21" s="375" t="str">
        <f t="shared" si="4"/>
        <v>TN-C350</v>
      </c>
      <c r="DM21" s="376" t="s">
        <v>6</v>
      </c>
      <c r="DN21" s="376">
        <v>3</v>
      </c>
      <c r="DO21" s="376">
        <v>50</v>
      </c>
      <c r="DP21" s="376">
        <v>1</v>
      </c>
      <c r="DQ21" s="377" t="s">
        <v>401</v>
      </c>
      <c r="DR21" s="358"/>
      <c r="DS21" s="358"/>
      <c r="DT21" s="358"/>
      <c r="DU21" s="358"/>
      <c r="DV21" s="358"/>
      <c r="DW21" s="358"/>
      <c r="DX21" s="358"/>
      <c r="DY21" s="358"/>
      <c r="DZ21" s="358"/>
      <c r="EA21" s="358"/>
      <c r="EB21" s="358"/>
      <c r="EC21" s="593">
        <v>80</v>
      </c>
      <c r="ED21" s="593">
        <v>1</v>
      </c>
      <c r="EE21" s="592">
        <v>25</v>
      </c>
      <c r="EF21" s="22"/>
      <c r="EG21" s="22"/>
      <c r="EH21" s="22"/>
      <c r="EI21" s="22"/>
      <c r="EJ21" s="22"/>
      <c r="EK21" s="22"/>
      <c r="EL21" s="22"/>
      <c r="EM21" s="22"/>
      <c r="EN21" s="344"/>
      <c r="EO21" s="344"/>
      <c r="EP21" s="22"/>
      <c r="EQ21" s="344"/>
      <c r="ER21" s="22"/>
      <c r="EU21" s="349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H21" s="1390"/>
      <c r="FI21" s="666" t="s">
        <v>235</v>
      </c>
      <c r="FJ21" s="667" t="s">
        <v>44</v>
      </c>
      <c r="FK21" s="668">
        <v>1</v>
      </c>
      <c r="FL21" s="669">
        <v>2</v>
      </c>
      <c r="FM21" s="669">
        <v>2</v>
      </c>
      <c r="FN21" s="669">
        <v>2</v>
      </c>
      <c r="FO21" s="669">
        <v>2</v>
      </c>
      <c r="FP21" s="669">
        <v>3</v>
      </c>
      <c r="FQ21" s="669">
        <v>4</v>
      </c>
      <c r="FR21" s="669">
        <v>5</v>
      </c>
      <c r="FS21" s="652">
        <v>5</v>
      </c>
      <c r="FT21" s="1388"/>
      <c r="FU21" s="178"/>
      <c r="FV21" s="179"/>
    </row>
    <row r="22" spans="1:179" ht="13.5" thickBot="1" x14ac:dyDescent="0.25">
      <c r="A22" s="47" t="s">
        <v>54</v>
      </c>
      <c r="B22" s="1427" t="s">
        <v>41</v>
      </c>
      <c r="C22" s="1428"/>
      <c r="D22" s="1428"/>
      <c r="E22" s="1429"/>
      <c r="G22" s="498">
        <v>160</v>
      </c>
      <c r="H22" s="497" t="s">
        <v>873</v>
      </c>
      <c r="X22" s="49" t="s">
        <v>27</v>
      </c>
      <c r="Y22" s="120" t="s">
        <v>27</v>
      </c>
      <c r="Z22" s="154" t="s">
        <v>25</v>
      </c>
      <c r="AA22" s="8" t="s">
        <v>150</v>
      </c>
      <c r="AB22" s="437">
        <v>4</v>
      </c>
      <c r="AC22" s="8" t="s">
        <v>20</v>
      </c>
      <c r="AD22" s="11">
        <v>3</v>
      </c>
      <c r="AE22" s="8" t="s">
        <v>20</v>
      </c>
      <c r="AF22" s="736">
        <v>3</v>
      </c>
      <c r="AG22" s="232" t="s">
        <v>20</v>
      </c>
      <c r="AH22" s="259">
        <v>1</v>
      </c>
      <c r="AI22" s="102"/>
      <c r="AJ22" s="102" t="str">
        <f t="shared" si="1"/>
        <v>iC60H</v>
      </c>
      <c r="AK22" s="201" t="s">
        <v>20</v>
      </c>
      <c r="AL22" s="240"/>
      <c r="AM22" s="240">
        <v>1</v>
      </c>
      <c r="AN22" s="102"/>
      <c r="AO22" s="102" t="str">
        <f t="shared" si="2"/>
        <v>iC60N6</v>
      </c>
      <c r="AP22" s="222" t="s">
        <v>19</v>
      </c>
      <c r="AQ22" s="256"/>
      <c r="AR22" s="256">
        <v>6</v>
      </c>
      <c r="AS22" s="222" t="s">
        <v>58</v>
      </c>
      <c r="AT22" s="102"/>
      <c r="AU22" s="232" t="s">
        <v>120</v>
      </c>
      <c r="AV22" s="254" t="s">
        <v>58</v>
      </c>
      <c r="AW22" s="206">
        <v>100</v>
      </c>
      <c r="AX22" s="204" t="s">
        <v>72</v>
      </c>
      <c r="AY22" s="110" t="s">
        <v>30</v>
      </c>
      <c r="AZ22" s="32"/>
      <c r="BA22" s="11">
        <f>Бланк!F13*10</f>
        <v>0</v>
      </c>
      <c r="BB22" s="9" t="s">
        <v>62</v>
      </c>
      <c r="BC22" s="11">
        <f>0.8*BC24</f>
        <v>32</v>
      </c>
      <c r="BD22" s="231">
        <v>80</v>
      </c>
      <c r="BE22" s="232" t="s">
        <v>595</v>
      </c>
      <c r="BF22" s="7"/>
      <c r="BG22" s="7"/>
      <c r="BH22" s="878"/>
      <c r="BI22" s="1073" t="s">
        <v>72</v>
      </c>
      <c r="BJ22" s="1074" t="s">
        <v>30</v>
      </c>
      <c r="BK22" s="878"/>
      <c r="BL22" s="7"/>
      <c r="BQ22" s="213" t="s">
        <v>1307</v>
      </c>
      <c r="BR22" s="213" t="str">
        <f>Проверки!Q22</f>
        <v/>
      </c>
      <c r="BS22" s="213" t="str">
        <f>IF(Проверки!M22+Проверки!O22,MID(Проверки!C22,1,1),"")</f>
        <v/>
      </c>
      <c r="BT22" s="213"/>
      <c r="BU22" s="213" t="str">
        <f t="shared" si="12"/>
        <v/>
      </c>
      <c r="BV22" s="213">
        <f t="shared" si="13"/>
        <v>1</v>
      </c>
      <c r="BW22" s="21"/>
      <c r="BX22" s="213" t="str">
        <f t="shared" ca="1" si="14"/>
        <v>-</v>
      </c>
      <c r="BY22" s="213">
        <f t="shared" ca="1" si="15"/>
        <v>1</v>
      </c>
      <c r="BZ22" s="213"/>
      <c r="CB22" s="41" t="str">
        <f t="shared" si="3"/>
        <v>iC60263</v>
      </c>
      <c r="CC22" s="213" t="s">
        <v>105</v>
      </c>
      <c r="CD22" s="213">
        <v>2</v>
      </c>
      <c r="CE22" s="214">
        <v>63</v>
      </c>
      <c r="CF22" s="214"/>
      <c r="CG22" s="201" t="s">
        <v>291</v>
      </c>
      <c r="CH22" s="7"/>
      <c r="CI22" s="7"/>
      <c r="DG22" s="400"/>
      <c r="DH22" s="22"/>
      <c r="DI22" s="22"/>
      <c r="DJ22" s="22"/>
      <c r="DK22" s="344"/>
      <c r="DL22" s="375" t="str">
        <f t="shared" si="4"/>
        <v>TN-C363</v>
      </c>
      <c r="DM22" s="376" t="s">
        <v>6</v>
      </c>
      <c r="DN22" s="376">
        <v>3</v>
      </c>
      <c r="DO22" s="376">
        <v>63</v>
      </c>
      <c r="DP22" s="376">
        <v>1</v>
      </c>
      <c r="DQ22" s="377" t="s">
        <v>402</v>
      </c>
      <c r="DR22" s="358"/>
      <c r="DS22" s="358"/>
      <c r="DT22" s="358"/>
      <c r="DU22" s="358"/>
      <c r="DV22" s="358"/>
      <c r="DW22" s="358"/>
      <c r="DX22" s="358"/>
      <c r="DY22" s="358"/>
      <c r="DZ22" s="358"/>
      <c r="EA22" s="358"/>
      <c r="EB22" s="358"/>
      <c r="EC22" s="593">
        <v>100</v>
      </c>
      <c r="ED22" s="593">
        <v>1</v>
      </c>
      <c r="EE22" s="592">
        <v>35</v>
      </c>
      <c r="EF22" s="22"/>
      <c r="EG22" s="22"/>
      <c r="EH22" s="22"/>
      <c r="EI22" s="22"/>
      <c r="EJ22" s="22"/>
      <c r="EK22" s="22"/>
      <c r="EL22" s="22"/>
      <c r="EM22" s="22"/>
      <c r="EN22" s="344"/>
      <c r="EO22" s="344"/>
      <c r="EP22" s="22"/>
      <c r="EQ22" s="22"/>
      <c r="ER22" s="22"/>
      <c r="EU22" s="344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H22" s="1390"/>
      <c r="FI22" s="670" t="s">
        <v>236</v>
      </c>
      <c r="FJ22" s="671" t="s">
        <v>44</v>
      </c>
      <c r="FK22" s="672">
        <v>2</v>
      </c>
      <c r="FL22" s="673">
        <v>3</v>
      </c>
      <c r="FM22" s="673">
        <v>3</v>
      </c>
      <c r="FN22" s="673">
        <v>3</v>
      </c>
      <c r="FO22" s="673">
        <v>4</v>
      </c>
      <c r="FP22" s="673">
        <v>5</v>
      </c>
      <c r="FQ22" s="673">
        <v>6</v>
      </c>
      <c r="FR22" s="673">
        <v>7</v>
      </c>
      <c r="FS22" s="674">
        <v>7</v>
      </c>
      <c r="FT22" s="1389"/>
      <c r="FU22" s="178"/>
      <c r="FV22" s="179"/>
    </row>
    <row r="23" spans="1:179" x14ac:dyDescent="0.2">
      <c r="A23" s="47" t="s">
        <v>55</v>
      </c>
      <c r="B23" s="1427" t="s">
        <v>42</v>
      </c>
      <c r="C23" s="1428"/>
      <c r="D23" s="1428"/>
      <c r="E23" s="1429"/>
      <c r="G23" s="498">
        <v>200</v>
      </c>
      <c r="H23" s="497" t="s">
        <v>874</v>
      </c>
      <c r="X23" s="49" t="s">
        <v>484</v>
      </c>
      <c r="Y23" s="120" t="s">
        <v>484</v>
      </c>
      <c r="Z23" s="154" t="s">
        <v>485</v>
      </c>
      <c r="AA23" s="116" t="s">
        <v>362</v>
      </c>
      <c r="AB23" s="117">
        <v>4</v>
      </c>
      <c r="AC23" s="8" t="s">
        <v>20</v>
      </c>
      <c r="AD23" s="11">
        <v>4</v>
      </c>
      <c r="AE23" s="8" t="s">
        <v>20</v>
      </c>
      <c r="AF23" s="736">
        <v>4</v>
      </c>
      <c r="AG23" s="232" t="s">
        <v>20</v>
      </c>
      <c r="AH23" s="259">
        <v>2</v>
      </c>
      <c r="AI23" s="102"/>
      <c r="AJ23" s="102" t="str">
        <f t="shared" si="1"/>
        <v>iC60H</v>
      </c>
      <c r="AK23" s="201" t="s">
        <v>20</v>
      </c>
      <c r="AL23" s="240"/>
      <c r="AM23" s="240">
        <v>2</v>
      </c>
      <c r="AN23" s="102"/>
      <c r="AO23" s="102" t="str">
        <f t="shared" si="2"/>
        <v>iC60N6</v>
      </c>
      <c r="AP23" s="222" t="s">
        <v>19</v>
      </c>
      <c r="AQ23" s="256"/>
      <c r="AR23" s="256">
        <v>6</v>
      </c>
      <c r="AS23" s="222" t="s">
        <v>59</v>
      </c>
      <c r="AT23" s="102"/>
      <c r="AU23" s="232" t="s">
        <v>120</v>
      </c>
      <c r="AV23" s="254" t="s">
        <v>59</v>
      </c>
      <c r="AW23" s="206">
        <v>100</v>
      </c>
      <c r="AX23" s="204" t="s">
        <v>554</v>
      </c>
      <c r="AY23" s="110" t="s">
        <v>30</v>
      </c>
      <c r="AZ23" s="1430" t="s">
        <v>86</v>
      </c>
      <c r="BA23" s="1431"/>
      <c r="BB23" s="9" t="s">
        <v>62</v>
      </c>
      <c r="BC23" s="11">
        <f>0.9*BC24</f>
        <v>36</v>
      </c>
      <c r="BD23" s="231">
        <v>80</v>
      </c>
      <c r="BE23" s="232" t="s">
        <v>596</v>
      </c>
      <c r="BF23" s="7"/>
      <c r="BG23" s="7"/>
      <c r="BH23" s="878"/>
      <c r="BI23" s="1073" t="s">
        <v>554</v>
      </c>
      <c r="BJ23" s="1074" t="s">
        <v>30</v>
      </c>
      <c r="BK23" s="878"/>
      <c r="BL23" s="7"/>
      <c r="BQ23" s="213" t="s">
        <v>1308</v>
      </c>
      <c r="BR23" s="213" t="str">
        <f>Проверки!Q23</f>
        <v/>
      </c>
      <c r="BS23" s="213" t="str">
        <f>IF(Проверки!M23+Проверки!O23,MID(Проверки!C23,1,1),"")</f>
        <v/>
      </c>
      <c r="BT23" s="213"/>
      <c r="BU23" s="213" t="str">
        <f t="shared" si="12"/>
        <v/>
      </c>
      <c r="BV23" s="213">
        <f t="shared" si="13"/>
        <v>1</v>
      </c>
      <c r="BW23" s="21"/>
      <c r="BX23" s="213" t="str">
        <f t="shared" ca="1" si="14"/>
        <v>-</v>
      </c>
      <c r="BY23" s="213">
        <f t="shared" ca="1" si="15"/>
        <v>1</v>
      </c>
      <c r="BZ23" s="213"/>
      <c r="CB23" s="41" t="str">
        <f t="shared" si="3"/>
        <v>iC60263</v>
      </c>
      <c r="CC23" s="213" t="s">
        <v>105</v>
      </c>
      <c r="CD23" s="213">
        <v>2</v>
      </c>
      <c r="CE23" s="214">
        <v>63</v>
      </c>
      <c r="CF23" s="214"/>
      <c r="CG23" s="201" t="s">
        <v>300</v>
      </c>
      <c r="CH23" s="7"/>
      <c r="CI23" s="7"/>
      <c r="DG23" s="400"/>
      <c r="DH23" s="22"/>
      <c r="DI23" s="22"/>
      <c r="DJ23" s="22"/>
      <c r="DK23" s="344"/>
      <c r="DL23" s="375" t="str">
        <f t="shared" si="4"/>
        <v>TN-C380</v>
      </c>
      <c r="DM23" s="376" t="s">
        <v>6</v>
      </c>
      <c r="DN23" s="376">
        <v>3</v>
      </c>
      <c r="DO23" s="376">
        <v>80</v>
      </c>
      <c r="DP23" s="376">
        <v>1</v>
      </c>
      <c r="DQ23" s="377" t="s">
        <v>403</v>
      </c>
      <c r="DR23" s="358"/>
      <c r="DS23" s="358"/>
      <c r="DT23" s="358"/>
      <c r="DU23" s="358"/>
      <c r="DV23" s="358"/>
      <c r="DW23" s="358"/>
      <c r="DX23" s="358"/>
      <c r="DY23" s="358"/>
      <c r="DZ23" s="358"/>
      <c r="EA23" s="358"/>
      <c r="EB23" s="358"/>
      <c r="EC23" s="593">
        <v>125</v>
      </c>
      <c r="ED23" s="593">
        <v>1</v>
      </c>
      <c r="EE23" s="592">
        <v>50</v>
      </c>
      <c r="EF23" s="22"/>
      <c r="EG23" s="22"/>
      <c r="EH23" s="22"/>
      <c r="EI23" s="22"/>
      <c r="EJ23" s="22"/>
      <c r="EK23" s="22"/>
      <c r="EL23" s="22"/>
      <c r="EM23" s="22"/>
      <c r="EN23" s="344"/>
      <c r="EO23" s="344"/>
      <c r="EP23" s="22"/>
      <c r="EQ23" s="22"/>
      <c r="ER23" s="22"/>
      <c r="EU23" s="344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H23" s="1390"/>
      <c r="FI23" s="662" t="s">
        <v>234</v>
      </c>
      <c r="FJ23" s="663" t="s">
        <v>45</v>
      </c>
      <c r="FK23" s="664">
        <v>0</v>
      </c>
      <c r="FL23" s="665">
        <v>1</v>
      </c>
      <c r="FM23" s="665">
        <v>1</v>
      </c>
      <c r="FN23" s="665">
        <v>1</v>
      </c>
      <c r="FO23" s="665">
        <v>1</v>
      </c>
      <c r="FP23" s="665">
        <v>1</v>
      </c>
      <c r="FQ23" s="665">
        <v>2</v>
      </c>
      <c r="FR23" s="665">
        <v>2</v>
      </c>
      <c r="FS23" s="638">
        <v>3</v>
      </c>
      <c r="FT23" s="1396">
        <f>$EG$3-$CX5</f>
        <v>300</v>
      </c>
      <c r="FU23" s="178"/>
      <c r="FV23" s="179"/>
    </row>
    <row r="24" spans="1:179" ht="13.5" thickBot="1" x14ac:dyDescent="0.25">
      <c r="A24" s="48" t="s">
        <v>56</v>
      </c>
      <c r="B24" s="1458" t="s">
        <v>34</v>
      </c>
      <c r="C24" s="1459"/>
      <c r="D24" s="1459"/>
      <c r="E24" s="1460"/>
      <c r="G24" s="498">
        <v>250</v>
      </c>
      <c r="H24" s="497" t="s">
        <v>874</v>
      </c>
      <c r="X24" s="49" t="s">
        <v>28</v>
      </c>
      <c r="Y24" s="120" t="s">
        <v>143</v>
      </c>
      <c r="Z24" s="154" t="s">
        <v>26</v>
      </c>
      <c r="AA24" s="116" t="s">
        <v>430</v>
      </c>
      <c r="AB24" s="437">
        <v>2</v>
      </c>
      <c r="AC24" s="8" t="s">
        <v>21</v>
      </c>
      <c r="AD24" s="11" t="s">
        <v>136</v>
      </c>
      <c r="AE24" s="8" t="s">
        <v>20</v>
      </c>
      <c r="AF24" s="736">
        <v>5</v>
      </c>
      <c r="AG24" s="232" t="s">
        <v>20</v>
      </c>
      <c r="AH24" s="259">
        <v>3</v>
      </c>
      <c r="AI24" s="102"/>
      <c r="AJ24" s="102" t="str">
        <f t="shared" si="1"/>
        <v>iC60H</v>
      </c>
      <c r="AK24" s="201" t="s">
        <v>20</v>
      </c>
      <c r="AL24" s="240"/>
      <c r="AM24" s="240">
        <v>3</v>
      </c>
      <c r="AN24" s="102"/>
      <c r="AO24" s="102" t="str">
        <f t="shared" si="2"/>
        <v>iC60N10</v>
      </c>
      <c r="AP24" s="222" t="s">
        <v>19</v>
      </c>
      <c r="AQ24" s="256"/>
      <c r="AR24" s="256">
        <v>10</v>
      </c>
      <c r="AS24" s="222" t="s">
        <v>57</v>
      </c>
      <c r="AT24" s="102"/>
      <c r="AU24" s="232" t="s">
        <v>121</v>
      </c>
      <c r="AV24" s="254" t="s">
        <v>57</v>
      </c>
      <c r="AW24" s="206">
        <v>100</v>
      </c>
      <c r="AX24" s="204" t="s">
        <v>1248</v>
      </c>
      <c r="AY24" s="110" t="s">
        <v>30</v>
      </c>
      <c r="AZ24" s="32">
        <f>Бланк!D14*5</f>
        <v>80</v>
      </c>
      <c r="BA24" s="11">
        <f>Бланк!F14*1.5</f>
        <v>0</v>
      </c>
      <c r="BB24" s="9" t="s">
        <v>62</v>
      </c>
      <c r="BC24" s="11">
        <v>40</v>
      </c>
      <c r="BD24" s="231">
        <v>80</v>
      </c>
      <c r="BE24" s="232" t="s">
        <v>597</v>
      </c>
      <c r="BF24" s="41"/>
      <c r="BG24" s="41"/>
      <c r="BH24" s="41"/>
      <c r="BI24" s="1073" t="s">
        <v>1248</v>
      </c>
      <c r="BJ24" s="1074" t="s">
        <v>30</v>
      </c>
      <c r="BK24" s="41"/>
      <c r="BL24" s="41"/>
      <c r="BQ24" s="213" t="s">
        <v>1309</v>
      </c>
      <c r="BR24" s="213" t="str">
        <f>Проверки!Q24</f>
        <v/>
      </c>
      <c r="BS24" s="213" t="str">
        <f>IF(Проверки!M24+Проверки!O24,MID(Проверки!C24,1,1),"")</f>
        <v/>
      </c>
      <c r="BT24" s="213"/>
      <c r="BU24" s="213" t="str">
        <f t="shared" si="12"/>
        <v/>
      </c>
      <c r="BV24" s="213">
        <f t="shared" si="13"/>
        <v>1</v>
      </c>
      <c r="BW24" s="21"/>
      <c r="BX24" s="213" t="str">
        <f t="shared" ca="1" si="14"/>
        <v>-</v>
      </c>
      <c r="BY24" s="213">
        <f t="shared" ca="1" si="15"/>
        <v>1</v>
      </c>
      <c r="BZ24" s="213"/>
      <c r="CB24" s="41" t="str">
        <f t="shared" si="3"/>
        <v>iC60263</v>
      </c>
      <c r="CC24" s="213" t="s">
        <v>105</v>
      </c>
      <c r="CD24" s="213">
        <v>2</v>
      </c>
      <c r="CE24" s="214">
        <v>63</v>
      </c>
      <c r="CF24" s="214"/>
      <c r="CG24" s="201" t="s">
        <v>292</v>
      </c>
      <c r="CH24" s="41"/>
      <c r="CI24" s="41"/>
      <c r="CJ24" s="6"/>
      <c r="CK24" s="6"/>
      <c r="CL24" s="6"/>
      <c r="CM24" s="6"/>
      <c r="CN24" s="6"/>
      <c r="DG24" s="400"/>
      <c r="DH24" s="22"/>
      <c r="DI24" s="22"/>
      <c r="DJ24" s="22"/>
      <c r="DK24" s="344"/>
      <c r="DL24" s="375" t="str">
        <f t="shared" si="4"/>
        <v>TN-C3100</v>
      </c>
      <c r="DM24" s="376" t="s">
        <v>6</v>
      </c>
      <c r="DN24" s="376">
        <v>3</v>
      </c>
      <c r="DO24" s="376">
        <v>100</v>
      </c>
      <c r="DP24" s="376">
        <v>1</v>
      </c>
      <c r="DQ24" s="377" t="s">
        <v>404</v>
      </c>
      <c r="DR24" s="358"/>
      <c r="DS24" s="358"/>
      <c r="DT24" s="358"/>
      <c r="DU24" s="358"/>
      <c r="DV24" s="358"/>
      <c r="DW24" s="358"/>
      <c r="DX24" s="358"/>
      <c r="DY24" s="358"/>
      <c r="DZ24" s="358"/>
      <c r="EA24" s="358"/>
      <c r="EB24" s="358"/>
      <c r="EC24" s="593">
        <v>160</v>
      </c>
      <c r="ED24" s="593">
        <v>1</v>
      </c>
      <c r="EE24" s="592">
        <v>70</v>
      </c>
      <c r="EF24" s="22"/>
      <c r="EG24" s="22"/>
      <c r="EH24" s="22"/>
      <c r="EI24" s="22"/>
      <c r="EJ24" s="22"/>
      <c r="EK24" s="22"/>
      <c r="EL24" s="22"/>
      <c r="EM24" s="22"/>
      <c r="EP24" s="22"/>
      <c r="EQ24" s="22"/>
      <c r="EU24" s="344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H24" s="1390"/>
      <c r="FI24" s="666" t="s">
        <v>235</v>
      </c>
      <c r="FJ24" s="667" t="s">
        <v>45</v>
      </c>
      <c r="FK24" s="668">
        <v>1</v>
      </c>
      <c r="FL24" s="669">
        <v>2</v>
      </c>
      <c r="FM24" s="669">
        <v>2</v>
      </c>
      <c r="FN24" s="669">
        <v>2</v>
      </c>
      <c r="FO24" s="669">
        <v>2</v>
      </c>
      <c r="FP24" s="669">
        <v>3</v>
      </c>
      <c r="FQ24" s="669">
        <v>4</v>
      </c>
      <c r="FR24" s="669">
        <v>5</v>
      </c>
      <c r="FS24" s="652">
        <v>5</v>
      </c>
      <c r="FT24" s="1388"/>
      <c r="FU24" s="178"/>
      <c r="FV24" s="179"/>
    </row>
    <row r="25" spans="1:179" ht="13.5" thickBot="1" x14ac:dyDescent="0.25">
      <c r="G25" s="498">
        <v>400</v>
      </c>
      <c r="H25" s="497" t="s">
        <v>875</v>
      </c>
      <c r="X25" s="49" t="s">
        <v>487</v>
      </c>
      <c r="Y25" s="120" t="s">
        <v>144</v>
      </c>
      <c r="Z25" s="154" t="s">
        <v>27</v>
      </c>
      <c r="AA25" s="116" t="s">
        <v>344</v>
      </c>
      <c r="AB25" s="437">
        <v>1</v>
      </c>
      <c r="AC25" s="8" t="s">
        <v>21</v>
      </c>
      <c r="AD25" s="11" t="s">
        <v>137</v>
      </c>
      <c r="AE25" s="8" t="s">
        <v>20</v>
      </c>
      <c r="AF25" s="736">
        <v>6</v>
      </c>
      <c r="AG25" s="232" t="s">
        <v>20</v>
      </c>
      <c r="AH25" s="259">
        <v>4</v>
      </c>
      <c r="AI25" s="102"/>
      <c r="AJ25" s="102" t="str">
        <f t="shared" si="1"/>
        <v>iC60H</v>
      </c>
      <c r="AK25" s="201" t="s">
        <v>20</v>
      </c>
      <c r="AL25" s="240"/>
      <c r="AM25" s="240">
        <v>4</v>
      </c>
      <c r="AN25" s="102"/>
      <c r="AO25" s="102" t="str">
        <f t="shared" si="2"/>
        <v>iC60N10</v>
      </c>
      <c r="AP25" s="222" t="s">
        <v>19</v>
      </c>
      <c r="AQ25" s="256"/>
      <c r="AR25" s="256">
        <v>10</v>
      </c>
      <c r="AS25" s="222" t="s">
        <v>58</v>
      </c>
      <c r="AT25" s="102"/>
      <c r="AU25" s="232" t="s">
        <v>121</v>
      </c>
      <c r="AV25" s="254" t="s">
        <v>58</v>
      </c>
      <c r="AW25" s="206">
        <v>100</v>
      </c>
      <c r="AX25" s="204" t="s">
        <v>1249</v>
      </c>
      <c r="AY25" s="110" t="s">
        <v>30</v>
      </c>
      <c r="AZ25" s="32">
        <f>Бланк!D14*6</f>
        <v>96</v>
      </c>
      <c r="BA25" s="11">
        <f>Бланк!F14*2</f>
        <v>0</v>
      </c>
      <c r="BB25" s="18" t="s">
        <v>63</v>
      </c>
      <c r="BC25" s="11">
        <f>0.7*BC28</f>
        <v>35</v>
      </c>
      <c r="BD25" s="231">
        <v>100</v>
      </c>
      <c r="BE25" s="232" t="s">
        <v>595</v>
      </c>
      <c r="BF25" s="41"/>
      <c r="BG25" s="41"/>
      <c r="BH25" s="41"/>
      <c r="BI25" s="1073" t="s">
        <v>1249</v>
      </c>
      <c r="BJ25" s="1074" t="s">
        <v>30</v>
      </c>
      <c r="BK25" s="41"/>
      <c r="BL25" s="41"/>
      <c r="CB25" s="41" t="str">
        <f t="shared" si="3"/>
        <v>iC60325</v>
      </c>
      <c r="CC25" s="213" t="s">
        <v>105</v>
      </c>
      <c r="CD25" s="213">
        <v>3</v>
      </c>
      <c r="CE25" s="214">
        <v>25</v>
      </c>
      <c r="CF25" s="214"/>
      <c r="CG25" s="201" t="s">
        <v>30</v>
      </c>
      <c r="CH25" s="41"/>
      <c r="CI25" s="41"/>
      <c r="CJ25" s="6"/>
      <c r="CK25" s="6"/>
      <c r="CL25" s="6"/>
      <c r="CM25" s="6"/>
      <c r="CN25" s="6"/>
      <c r="DG25" s="400"/>
      <c r="DH25" s="22"/>
      <c r="DI25" s="22"/>
      <c r="DJ25" s="22"/>
      <c r="DK25" s="344"/>
      <c r="DL25" s="375" t="str">
        <f t="shared" si="4"/>
        <v>TN-C3125</v>
      </c>
      <c r="DM25" s="376" t="s">
        <v>6</v>
      </c>
      <c r="DN25" s="376">
        <v>3</v>
      </c>
      <c r="DO25" s="376">
        <v>125</v>
      </c>
      <c r="DP25" s="376">
        <v>1</v>
      </c>
      <c r="DQ25" s="377" t="s">
        <v>405</v>
      </c>
      <c r="DR25" s="358"/>
      <c r="DS25" s="358"/>
      <c r="DT25" s="358"/>
      <c r="DU25" s="358"/>
      <c r="DV25" s="358"/>
      <c r="DW25" s="358"/>
      <c r="DX25" s="358"/>
      <c r="DY25" s="358"/>
      <c r="DZ25" s="358"/>
      <c r="EA25" s="358"/>
      <c r="EB25" s="358"/>
      <c r="EC25" s="593">
        <v>200</v>
      </c>
      <c r="ED25" s="593">
        <v>1</v>
      </c>
      <c r="EE25" s="592">
        <v>95</v>
      </c>
      <c r="EF25" s="22"/>
      <c r="EG25" s="22"/>
      <c r="EH25" s="22"/>
      <c r="EI25" s="22"/>
      <c r="EJ25" s="22"/>
      <c r="EK25" s="22"/>
      <c r="EL25" s="22"/>
      <c r="EM25" s="22"/>
      <c r="EN25" s="344"/>
      <c r="EO25" s="344"/>
      <c r="EP25" s="22"/>
      <c r="EQ25" s="22"/>
      <c r="ER25" s="22"/>
      <c r="EU25" s="344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H25" s="1391"/>
      <c r="FI25" s="675" t="s">
        <v>236</v>
      </c>
      <c r="FJ25" s="676" t="s">
        <v>45</v>
      </c>
      <c r="FK25" s="677">
        <v>2</v>
      </c>
      <c r="FL25" s="678">
        <v>3</v>
      </c>
      <c r="FM25" s="678">
        <v>3</v>
      </c>
      <c r="FN25" s="678">
        <v>4</v>
      </c>
      <c r="FO25" s="678">
        <v>4</v>
      </c>
      <c r="FP25" s="678">
        <v>5</v>
      </c>
      <c r="FQ25" s="678">
        <v>6</v>
      </c>
      <c r="FR25" s="678">
        <v>8</v>
      </c>
      <c r="FS25" s="679">
        <v>7</v>
      </c>
      <c r="FT25" s="1397"/>
      <c r="FU25" s="178"/>
      <c r="FV25" s="179"/>
    </row>
    <row r="26" spans="1:179" x14ac:dyDescent="0.2">
      <c r="G26" s="498">
        <v>630</v>
      </c>
      <c r="H26" s="497" t="s">
        <v>876</v>
      </c>
      <c r="X26" s="49" t="s">
        <v>29</v>
      </c>
      <c r="Y26" s="120" t="s">
        <v>145</v>
      </c>
      <c r="Z26" s="154" t="s">
        <v>484</v>
      </c>
      <c r="AA26" s="116" t="s">
        <v>344</v>
      </c>
      <c r="AB26" s="437">
        <v>2</v>
      </c>
      <c r="AC26" s="8" t="s">
        <v>21</v>
      </c>
      <c r="AD26" s="11" t="s">
        <v>138</v>
      </c>
      <c r="AE26" s="8" t="s">
        <v>20</v>
      </c>
      <c r="AF26" s="736">
        <v>10</v>
      </c>
      <c r="AG26" s="232" t="s">
        <v>20</v>
      </c>
      <c r="AH26" s="259">
        <v>5</v>
      </c>
      <c r="AI26" s="102"/>
      <c r="AJ26" s="102" t="str">
        <f t="shared" si="1"/>
        <v>iC60H</v>
      </c>
      <c r="AK26" s="201" t="s">
        <v>20</v>
      </c>
      <c r="AL26" s="240"/>
      <c r="AM26" s="240">
        <v>5</v>
      </c>
      <c r="AN26" s="102"/>
      <c r="AO26" s="102" t="str">
        <f t="shared" si="2"/>
        <v>iC60N10</v>
      </c>
      <c r="AP26" s="222" t="s">
        <v>19</v>
      </c>
      <c r="AQ26" s="256"/>
      <c r="AR26" s="256">
        <v>10</v>
      </c>
      <c r="AS26" s="222" t="s">
        <v>59</v>
      </c>
      <c r="AT26" s="102"/>
      <c r="AU26" s="232" t="s">
        <v>121</v>
      </c>
      <c r="AV26" s="254" t="s">
        <v>59</v>
      </c>
      <c r="AW26" s="206">
        <v>100</v>
      </c>
      <c r="AX26" s="204" t="s">
        <v>1250</v>
      </c>
      <c r="AY26" s="110" t="s">
        <v>30</v>
      </c>
      <c r="AZ26" s="32">
        <f>Бланк!D14*7</f>
        <v>112</v>
      </c>
      <c r="BA26" s="11">
        <f>Бланк!F14*3</f>
        <v>0</v>
      </c>
      <c r="BB26" s="18" t="s">
        <v>63</v>
      </c>
      <c r="BC26" s="11">
        <f>0.8*BC28</f>
        <v>40</v>
      </c>
      <c r="BD26" s="231">
        <v>100</v>
      </c>
      <c r="BE26" s="232" t="s">
        <v>596</v>
      </c>
      <c r="BF26" s="41"/>
      <c r="BG26" s="41"/>
      <c r="BH26" s="41"/>
      <c r="BI26" s="1073" t="s">
        <v>1250</v>
      </c>
      <c r="BJ26" s="1074" t="s">
        <v>30</v>
      </c>
      <c r="BK26" s="41"/>
      <c r="BL26" s="41"/>
      <c r="CB26" s="41" t="str">
        <f t="shared" si="3"/>
        <v>iC60325</v>
      </c>
      <c r="CC26" s="213" t="s">
        <v>105</v>
      </c>
      <c r="CD26" s="213">
        <v>3</v>
      </c>
      <c r="CE26" s="214">
        <v>25</v>
      </c>
      <c r="CF26" s="214"/>
      <c r="CG26" s="201" t="s">
        <v>595</v>
      </c>
      <c r="CH26" s="41"/>
      <c r="CI26" s="41"/>
      <c r="CJ26" s="6"/>
      <c r="CK26" s="6"/>
      <c r="CL26" s="6"/>
      <c r="CM26" s="6"/>
      <c r="CN26" s="6"/>
      <c r="DG26" s="400"/>
      <c r="DH26" s="22"/>
      <c r="DI26" s="22"/>
      <c r="DJ26" s="22"/>
      <c r="DK26" s="344"/>
      <c r="DL26" s="375" t="str">
        <f t="shared" si="4"/>
        <v>TN-C3160</v>
      </c>
      <c r="DM26" s="376" t="s">
        <v>6</v>
      </c>
      <c r="DN26" s="376">
        <v>3</v>
      </c>
      <c r="DO26" s="376">
        <v>160</v>
      </c>
      <c r="DP26" s="376">
        <v>1</v>
      </c>
      <c r="DQ26" s="377" t="s">
        <v>406</v>
      </c>
      <c r="DR26" s="358"/>
      <c r="DS26" s="358"/>
      <c r="DT26" s="358"/>
      <c r="DU26" s="358"/>
      <c r="DV26" s="358"/>
      <c r="DW26" s="358"/>
      <c r="DX26" s="358"/>
      <c r="DY26" s="358"/>
      <c r="DZ26" s="358"/>
      <c r="EA26" s="358"/>
      <c r="EB26" s="358"/>
      <c r="EC26" s="593">
        <v>250</v>
      </c>
      <c r="ED26" s="593">
        <v>1</v>
      </c>
      <c r="EE26" s="592">
        <v>120</v>
      </c>
      <c r="EF26" s="22"/>
      <c r="EG26" s="22"/>
      <c r="EH26" s="22"/>
      <c r="EI26" s="22"/>
      <c r="EJ26" s="22"/>
      <c r="EK26" s="22"/>
      <c r="EL26" s="22"/>
      <c r="EM26" s="22"/>
      <c r="EN26" s="344"/>
      <c r="EO26" s="344"/>
      <c r="EP26" s="22"/>
      <c r="EQ26" s="22"/>
      <c r="ER26" s="22"/>
      <c r="EU26" s="344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K26" s="687">
        <f t="shared" ref="FK26:FS26" si="18">ROUNDDOWN(($EG$6-70)/FK1,0)</f>
        <v>0</v>
      </c>
      <c r="FL26" s="687">
        <f t="shared" si="18"/>
        <v>0</v>
      </c>
      <c r="FM26" s="687">
        <f t="shared" si="18"/>
        <v>0</v>
      </c>
      <c r="FN26" s="687">
        <f t="shared" si="18"/>
        <v>0</v>
      </c>
      <c r="FO26" s="687">
        <f t="shared" si="18"/>
        <v>-1</v>
      </c>
      <c r="FP26" s="687">
        <f t="shared" si="18"/>
        <v>-1</v>
      </c>
      <c r="FQ26" s="687">
        <f t="shared" si="18"/>
        <v>-1</v>
      </c>
      <c r="FR26" s="687">
        <f t="shared" si="18"/>
        <v>-1</v>
      </c>
      <c r="FS26" s="687">
        <f t="shared" si="18"/>
        <v>-2</v>
      </c>
      <c r="FU26" s="27"/>
      <c r="FV26" s="9"/>
    </row>
    <row r="27" spans="1:179" x14ac:dyDescent="0.2">
      <c r="X27" s="49" t="s">
        <v>488</v>
      </c>
      <c r="Y27" s="103"/>
      <c r="Z27" s="154" t="s">
        <v>28</v>
      </c>
      <c r="AA27" s="116" t="s">
        <v>344</v>
      </c>
      <c r="AB27" s="437">
        <v>3</v>
      </c>
      <c r="AC27" s="8" t="s">
        <v>21</v>
      </c>
      <c r="AD27" s="11" t="s">
        <v>326</v>
      </c>
      <c r="AE27" s="8" t="s">
        <v>20</v>
      </c>
      <c r="AF27" s="736">
        <v>13</v>
      </c>
      <c r="AG27" s="232" t="s">
        <v>20</v>
      </c>
      <c r="AH27" s="259">
        <v>6</v>
      </c>
      <c r="AI27" s="102"/>
      <c r="AJ27" s="102" t="str">
        <f t="shared" si="1"/>
        <v>iC60H</v>
      </c>
      <c r="AK27" s="201" t="s">
        <v>20</v>
      </c>
      <c r="AL27" s="240"/>
      <c r="AM27" s="240">
        <v>6</v>
      </c>
      <c r="AN27" s="102"/>
      <c r="AO27" s="102" t="str">
        <f t="shared" si="2"/>
        <v>iC60N13</v>
      </c>
      <c r="AP27" s="222" t="s">
        <v>19</v>
      </c>
      <c r="AQ27" s="256"/>
      <c r="AR27" s="256">
        <v>13</v>
      </c>
      <c r="AS27" s="222" t="s">
        <v>57</v>
      </c>
      <c r="AT27" s="102"/>
      <c r="AU27" s="232" t="s">
        <v>122</v>
      </c>
      <c r="AV27" s="254" t="s">
        <v>57</v>
      </c>
      <c r="AW27" s="206">
        <v>125</v>
      </c>
      <c r="AX27" s="204" t="s">
        <v>67</v>
      </c>
      <c r="AY27" s="110">
        <v>1250</v>
      </c>
      <c r="AZ27" s="32">
        <f>Бланк!D14*8</f>
        <v>128</v>
      </c>
      <c r="BA27" s="11">
        <f>Бланк!F14*4</f>
        <v>0</v>
      </c>
      <c r="BB27" s="18" t="s">
        <v>63</v>
      </c>
      <c r="BC27" s="11">
        <f>0.9*BC28</f>
        <v>45</v>
      </c>
      <c r="BD27" s="231">
        <v>100</v>
      </c>
      <c r="BE27" s="232" t="s">
        <v>597</v>
      </c>
      <c r="BF27" s="41"/>
      <c r="BG27" s="41"/>
      <c r="BH27" s="41"/>
      <c r="BI27" s="1073" t="s">
        <v>67</v>
      </c>
      <c r="BJ27" s="1074">
        <v>1250</v>
      </c>
      <c r="BK27" s="41"/>
      <c r="BL27" s="41"/>
      <c r="CB27" s="41" t="str">
        <f t="shared" si="3"/>
        <v>iC60325</v>
      </c>
      <c r="CC27" s="213" t="s">
        <v>105</v>
      </c>
      <c r="CD27" s="213">
        <v>3</v>
      </c>
      <c r="CE27" s="214">
        <v>25</v>
      </c>
      <c r="CF27" s="214"/>
      <c r="CG27" s="201" t="s">
        <v>597</v>
      </c>
      <c r="CH27" s="41"/>
      <c r="CI27" s="41"/>
      <c r="CJ27" s="6"/>
      <c r="CK27" s="6"/>
      <c r="CL27" s="6"/>
      <c r="CM27" s="6"/>
      <c r="CN27" s="6"/>
      <c r="DG27" s="400"/>
      <c r="DH27" s="22"/>
      <c r="DI27" s="22"/>
      <c r="DJ27" s="22"/>
      <c r="DK27" s="344"/>
      <c r="DL27" s="375" t="str">
        <f t="shared" si="4"/>
        <v>TN-C3200</v>
      </c>
      <c r="DM27" s="376" t="s">
        <v>6</v>
      </c>
      <c r="DN27" s="376">
        <v>3</v>
      </c>
      <c r="DO27" s="376">
        <v>200</v>
      </c>
      <c r="DP27" s="376">
        <v>1</v>
      </c>
      <c r="DQ27" s="377" t="s">
        <v>407</v>
      </c>
      <c r="DR27" s="358"/>
      <c r="DS27" s="358"/>
      <c r="DT27" s="358"/>
      <c r="DU27" s="358"/>
      <c r="DV27" s="358"/>
      <c r="DW27" s="358"/>
      <c r="DX27" s="358"/>
      <c r="DY27" s="358"/>
      <c r="DZ27" s="358"/>
      <c r="EA27" s="358"/>
      <c r="EB27" s="358"/>
      <c r="EC27" s="593">
        <v>400</v>
      </c>
      <c r="ED27" s="593">
        <v>2</v>
      </c>
      <c r="EE27" s="592">
        <v>95</v>
      </c>
      <c r="EF27" s="22"/>
      <c r="EG27" s="22"/>
      <c r="EH27" s="22"/>
      <c r="EI27" s="22"/>
      <c r="EJ27" s="22"/>
      <c r="EK27" s="22"/>
      <c r="EL27" s="22"/>
      <c r="EM27" s="22"/>
      <c r="EN27" s="344"/>
      <c r="EO27" s="344"/>
      <c r="EP27" s="22"/>
      <c r="EQ27" s="22"/>
      <c r="ER27" s="22"/>
      <c r="EU27" s="344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V27" s="9"/>
    </row>
    <row r="28" spans="1:179" x14ac:dyDescent="0.2">
      <c r="X28" s="49" t="s">
        <v>143</v>
      </c>
      <c r="Y28" s="103"/>
      <c r="Z28" s="154" t="s">
        <v>487</v>
      </c>
      <c r="AA28" s="116" t="s">
        <v>344</v>
      </c>
      <c r="AB28" s="437">
        <v>4</v>
      </c>
      <c r="AC28" s="8" t="s">
        <v>21</v>
      </c>
      <c r="AD28" s="11" t="s">
        <v>139</v>
      </c>
      <c r="AE28" s="8" t="s">
        <v>20</v>
      </c>
      <c r="AF28" s="736">
        <v>15</v>
      </c>
      <c r="AG28" s="232" t="s">
        <v>20</v>
      </c>
      <c r="AH28" s="259">
        <v>10</v>
      </c>
      <c r="AI28" s="102"/>
      <c r="AJ28" s="102" t="str">
        <f t="shared" si="1"/>
        <v>iC60H</v>
      </c>
      <c r="AK28" s="201" t="s">
        <v>20</v>
      </c>
      <c r="AL28" s="240"/>
      <c r="AM28" s="240">
        <v>10</v>
      </c>
      <c r="AN28" s="102"/>
      <c r="AO28" s="102" t="str">
        <f t="shared" si="2"/>
        <v>iC60N13</v>
      </c>
      <c r="AP28" s="222" t="s">
        <v>19</v>
      </c>
      <c r="AQ28" s="256"/>
      <c r="AR28" s="256">
        <v>13</v>
      </c>
      <c r="AS28" s="222" t="s">
        <v>58</v>
      </c>
      <c r="AT28" s="102"/>
      <c r="AU28" s="232" t="s">
        <v>122</v>
      </c>
      <c r="AV28" s="254" t="s">
        <v>58</v>
      </c>
      <c r="AW28" s="206">
        <v>125</v>
      </c>
      <c r="AX28" s="204" t="s">
        <v>570</v>
      </c>
      <c r="AY28" s="110">
        <v>440</v>
      </c>
      <c r="AZ28" s="32">
        <f>Бланк!D14*9</f>
        <v>144</v>
      </c>
      <c r="BA28" s="11">
        <f>Бланк!F14*5</f>
        <v>0</v>
      </c>
      <c r="BB28" s="18" t="s">
        <v>63</v>
      </c>
      <c r="BC28" s="11">
        <v>50</v>
      </c>
      <c r="BD28" s="231">
        <v>100</v>
      </c>
      <c r="BE28" s="232" t="s">
        <v>290</v>
      </c>
      <c r="BF28" s="41"/>
      <c r="BG28" s="41"/>
      <c r="BH28" s="41"/>
      <c r="BI28" s="1073" t="s">
        <v>570</v>
      </c>
      <c r="BJ28" s="1074">
        <v>440</v>
      </c>
      <c r="BK28" s="41"/>
      <c r="BL28" s="41"/>
      <c r="BO28" s="41"/>
      <c r="BP28" s="41"/>
      <c r="BQ28" s="1392" t="s">
        <v>615</v>
      </c>
      <c r="BR28" s="1393"/>
      <c r="BS28" s="1393"/>
      <c r="BT28" s="1393"/>
      <c r="BU28" s="1393"/>
      <c r="BV28" s="1393"/>
      <c r="BW28" s="1393"/>
      <c r="BX28" s="1393"/>
      <c r="BY28" s="1393"/>
      <c r="BZ28" s="1394"/>
      <c r="CA28" s="3"/>
      <c r="CB28" s="41" t="str">
        <f t="shared" si="3"/>
        <v>iC60325</v>
      </c>
      <c r="CC28" s="213" t="s">
        <v>105</v>
      </c>
      <c r="CD28" s="213">
        <v>3</v>
      </c>
      <c r="CE28" s="214">
        <v>25</v>
      </c>
      <c r="CF28" s="214"/>
      <c r="CG28" s="201" t="s">
        <v>598</v>
      </c>
      <c r="CH28" s="41"/>
      <c r="CI28" s="41"/>
      <c r="CJ28" s="6"/>
      <c r="CK28" s="6"/>
      <c r="CL28" s="6"/>
      <c r="CM28" s="6"/>
      <c r="CN28" s="6"/>
      <c r="DG28" s="400"/>
      <c r="DH28" s="22"/>
      <c r="DI28" s="22"/>
      <c r="DJ28" s="22"/>
      <c r="DK28" s="344"/>
      <c r="DL28" s="375" t="str">
        <f t="shared" si="4"/>
        <v>TN-C3250</v>
      </c>
      <c r="DM28" s="376" t="s">
        <v>6</v>
      </c>
      <c r="DN28" s="376">
        <v>3</v>
      </c>
      <c r="DO28" s="376">
        <v>250</v>
      </c>
      <c r="DP28" s="376">
        <v>1</v>
      </c>
      <c r="DQ28" s="377" t="s">
        <v>408</v>
      </c>
      <c r="DR28" s="358"/>
      <c r="DS28" s="358"/>
      <c r="DT28" s="358"/>
      <c r="DU28" s="358"/>
      <c r="DV28" s="358"/>
      <c r="DW28" s="358"/>
      <c r="DX28" s="358"/>
      <c r="DY28" s="358"/>
      <c r="DZ28" s="358"/>
      <c r="EA28" s="358"/>
      <c r="EB28" s="358"/>
      <c r="EC28" s="593">
        <v>630</v>
      </c>
      <c r="ED28" s="593">
        <v>2</v>
      </c>
      <c r="EE28" s="592">
        <v>185</v>
      </c>
      <c r="EF28" s="22"/>
      <c r="EG28" s="22"/>
      <c r="EH28" s="22"/>
      <c r="EI28" s="22"/>
      <c r="EJ28" s="22"/>
      <c r="EK28" s="22"/>
      <c r="EL28" s="22"/>
      <c r="EM28" s="22"/>
      <c r="EN28" s="344"/>
      <c r="EO28" s="344"/>
      <c r="EP28" s="22"/>
      <c r="EQ28" s="22"/>
      <c r="ER28" s="22"/>
      <c r="EU28" s="344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V28" s="9"/>
    </row>
    <row r="29" spans="1:179" x14ac:dyDescent="0.2">
      <c r="X29" s="49" t="s">
        <v>144</v>
      </c>
      <c r="Y29" s="103"/>
      <c r="Z29" s="154" t="s">
        <v>143</v>
      </c>
      <c r="AA29" s="116" t="s">
        <v>327</v>
      </c>
      <c r="AB29" s="437">
        <v>1</v>
      </c>
      <c r="AC29" s="8" t="s">
        <v>21</v>
      </c>
      <c r="AD29" s="11" t="s">
        <v>140</v>
      </c>
      <c r="AE29" s="8" t="s">
        <v>20</v>
      </c>
      <c r="AF29" s="107">
        <v>16</v>
      </c>
      <c r="AG29" s="232" t="s">
        <v>20</v>
      </c>
      <c r="AH29" s="259">
        <v>13</v>
      </c>
      <c r="AI29" s="102"/>
      <c r="AJ29" s="102" t="str">
        <f t="shared" si="1"/>
        <v>iC60H</v>
      </c>
      <c r="AK29" s="201" t="s">
        <v>20</v>
      </c>
      <c r="AL29" s="240"/>
      <c r="AM29" s="240">
        <v>13</v>
      </c>
      <c r="AN29" s="102"/>
      <c r="AO29" s="102" t="str">
        <f t="shared" si="2"/>
        <v>iC60N13</v>
      </c>
      <c r="AP29" s="222" t="s">
        <v>19</v>
      </c>
      <c r="AQ29" s="256"/>
      <c r="AR29" s="256">
        <v>13</v>
      </c>
      <c r="AS29" s="222" t="s">
        <v>59</v>
      </c>
      <c r="AT29" s="102"/>
      <c r="AU29" s="232" t="s">
        <v>122</v>
      </c>
      <c r="AV29" s="254" t="s">
        <v>59</v>
      </c>
      <c r="AW29" s="206">
        <v>160</v>
      </c>
      <c r="AX29" s="204" t="s">
        <v>68</v>
      </c>
      <c r="AY29" s="110">
        <v>1250</v>
      </c>
      <c r="AZ29" s="32">
        <f>Бланк!D14*10</f>
        <v>160</v>
      </c>
      <c r="BA29" s="11">
        <f>Бланк!F14*6</f>
        <v>0</v>
      </c>
      <c r="BB29" s="18" t="s">
        <v>64</v>
      </c>
      <c r="BC29" s="11">
        <f>0.7*BC32</f>
        <v>44.099999999999994</v>
      </c>
      <c r="BD29" s="231">
        <v>100</v>
      </c>
      <c r="BE29" s="232" t="s">
        <v>291</v>
      </c>
      <c r="BF29" s="41"/>
      <c r="BG29" s="41"/>
      <c r="BH29" s="41"/>
      <c r="BI29" s="1073" t="s">
        <v>68</v>
      </c>
      <c r="BJ29" s="1074">
        <v>1250</v>
      </c>
      <c r="BK29" s="41"/>
      <c r="BL29" s="41"/>
      <c r="BO29" s="7"/>
      <c r="BP29" s="7"/>
      <c r="BQ29" s="302" t="s">
        <v>482</v>
      </c>
      <c r="BR29" s="302" t="s">
        <v>507</v>
      </c>
      <c r="BS29" s="302" t="s">
        <v>577</v>
      </c>
      <c r="BT29" s="302" t="s">
        <v>578</v>
      </c>
      <c r="BU29" s="213"/>
      <c r="BV29" s="213" t="s">
        <v>587</v>
      </c>
      <c r="BW29" s="302" t="s">
        <v>588</v>
      </c>
      <c r="BX29" s="213" t="s">
        <v>590</v>
      </c>
      <c r="BY29" s="302" t="s">
        <v>589</v>
      </c>
      <c r="BZ29" s="302" t="s">
        <v>170</v>
      </c>
      <c r="CA29" s="3"/>
      <c r="CB29" s="41" t="str">
        <f t="shared" si="3"/>
        <v>iC60325</v>
      </c>
      <c r="CC29" s="213" t="s">
        <v>105</v>
      </c>
      <c r="CD29" s="213">
        <v>3</v>
      </c>
      <c r="CE29" s="214">
        <v>25</v>
      </c>
      <c r="CF29" s="214"/>
      <c r="CG29" s="201" t="s">
        <v>600</v>
      </c>
      <c r="CH29" s="41"/>
      <c r="CI29" s="41"/>
      <c r="CJ29" s="6"/>
      <c r="CK29" s="6"/>
      <c r="CL29" s="6"/>
      <c r="CM29" s="6"/>
      <c r="CN29" s="6"/>
      <c r="DG29" s="400"/>
      <c r="DH29" s="22"/>
      <c r="DI29" s="22"/>
      <c r="DJ29" s="22"/>
      <c r="DK29" s="344"/>
      <c r="DL29" s="375" t="str">
        <f t="shared" si="4"/>
        <v>TN-C3400</v>
      </c>
      <c r="DM29" s="376" t="s">
        <v>6</v>
      </c>
      <c r="DN29" s="376">
        <v>3</v>
      </c>
      <c r="DO29" s="376">
        <v>400</v>
      </c>
      <c r="DP29" s="376">
        <v>2</v>
      </c>
      <c r="DQ29" s="377" t="s">
        <v>407</v>
      </c>
      <c r="DR29" s="358"/>
      <c r="DS29" s="358"/>
      <c r="DT29" s="358"/>
      <c r="DU29" s="358"/>
      <c r="DV29" s="358"/>
      <c r="DW29" s="358"/>
      <c r="DX29" s="358"/>
      <c r="DY29" s="358"/>
      <c r="DZ29" s="358"/>
      <c r="EA29" s="358"/>
      <c r="EB29" s="358"/>
      <c r="EC29" s="358"/>
      <c r="ED29" s="358"/>
      <c r="EE29" s="358"/>
      <c r="EF29" s="22"/>
      <c r="EG29" s="22"/>
      <c r="EH29" s="22"/>
      <c r="EI29" s="22"/>
      <c r="EJ29" s="22"/>
      <c r="EK29" s="22"/>
      <c r="EL29" s="22"/>
      <c r="EM29" s="22"/>
      <c r="EN29" s="344"/>
      <c r="EO29" s="344"/>
      <c r="EP29" s="22"/>
      <c r="EQ29" s="22"/>
      <c r="ER29" s="22"/>
      <c r="EU29" s="344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V29" s="9"/>
    </row>
    <row r="30" spans="1:179" x14ac:dyDescent="0.2">
      <c r="G30" s="735"/>
      <c r="X30" s="49" t="s">
        <v>145</v>
      </c>
      <c r="Z30" s="154" t="s">
        <v>144</v>
      </c>
      <c r="AA30" s="116" t="s">
        <v>327</v>
      </c>
      <c r="AB30" s="437">
        <v>2</v>
      </c>
      <c r="AC30" s="8" t="s">
        <v>21</v>
      </c>
      <c r="AD30" s="11" t="s">
        <v>141</v>
      </c>
      <c r="AE30" s="8" t="s">
        <v>20</v>
      </c>
      <c r="AF30" s="107">
        <v>20</v>
      </c>
      <c r="AG30" s="232" t="s">
        <v>20</v>
      </c>
      <c r="AH30" s="259">
        <v>15</v>
      </c>
      <c r="AI30" s="102"/>
      <c r="AJ30" s="102" t="str">
        <f t="shared" si="1"/>
        <v>iC60H</v>
      </c>
      <c r="AK30" s="201" t="s">
        <v>20</v>
      </c>
      <c r="AL30" s="240"/>
      <c r="AM30" s="240">
        <v>15</v>
      </c>
      <c r="AN30" s="102"/>
      <c r="AO30" s="102" t="str">
        <f t="shared" si="2"/>
        <v>iC60N15</v>
      </c>
      <c r="AP30" s="222" t="s">
        <v>19</v>
      </c>
      <c r="AQ30" s="256"/>
      <c r="AR30" s="256">
        <v>15</v>
      </c>
      <c r="AS30" s="222" t="s">
        <v>57</v>
      </c>
      <c r="AT30" s="102"/>
      <c r="AU30" s="232" t="s">
        <v>123</v>
      </c>
      <c r="AV30" s="254" t="s">
        <v>57</v>
      </c>
      <c r="AW30" s="206">
        <v>160</v>
      </c>
      <c r="AX30" s="204" t="s">
        <v>571</v>
      </c>
      <c r="AY30" s="110">
        <v>440</v>
      </c>
      <c r="AZ30" s="32"/>
      <c r="BA30" s="11">
        <f>Бланк!F14*7</f>
        <v>0</v>
      </c>
      <c r="BB30" s="18" t="s">
        <v>64</v>
      </c>
      <c r="BC30" s="11">
        <f>0.8*BC32</f>
        <v>50.400000000000006</v>
      </c>
      <c r="BD30" s="1456" t="s">
        <v>181</v>
      </c>
      <c r="BE30" s="1457"/>
      <c r="BF30" s="41"/>
      <c r="BG30" s="41"/>
      <c r="BH30" s="41"/>
      <c r="BI30" s="1073" t="s">
        <v>571</v>
      </c>
      <c r="BJ30" s="1074">
        <v>440</v>
      </c>
      <c r="BK30" s="41"/>
      <c r="BL30" s="41"/>
      <c r="BO30" s="7"/>
      <c r="BP30" s="7"/>
      <c r="BQ30" s="213" t="s">
        <v>116</v>
      </c>
      <c r="BR30" s="213" t="str">
        <f>Проверки!S4</f>
        <v>NSX250</v>
      </c>
      <c r="BS30" s="213" t="str">
        <f>IF(Проверки!M4,MID(Проверки!C4,1,1),"")</f>
        <v/>
      </c>
      <c r="BT30" s="213">
        <f>IF(Проверки!M4,IF(Проверки!D4&lt;=63,63,125),IF(Проверки!G4+Проверки!I4+Проверки!K4,Проверки!D4,""))</f>
        <v>250</v>
      </c>
      <c r="BU30" s="213"/>
      <c r="BV30" s="213" t="str">
        <f t="shared" ref="BV30:BV45" si="19">$BR30&amp;$BS30&amp;$BT30</f>
        <v>NSX250250</v>
      </c>
      <c r="BW30" s="213">
        <f t="shared" ref="BW30:BW45" si="20">IF(ISNA(MATCH($BV30,$AO$3:$AO$1000,0)),1,MATCH($BV30,$AO$3:$AO$1000,0))</f>
        <v>359</v>
      </c>
      <c r="BX30" s="213" t="str">
        <f t="shared" ref="BX30:BX45" ca="1" si="21">OFFSET($AS$3,$BW30-1,0,1)</f>
        <v>TM250D</v>
      </c>
      <c r="BY30" s="213">
        <f t="shared" ref="BY30:BY45" ca="1" si="22">IF(COUNTIF(OFFSET($AO$3,$BW30-1,0,20),$BV30),COUNTIF(OFFSET($AO$3,$BW30-1,0,20),$BV30),1)</f>
        <v>7</v>
      </c>
      <c r="BZ30" s="213" t="s">
        <v>559</v>
      </c>
      <c r="CA30" s="41"/>
      <c r="CB30" s="41" t="str">
        <f t="shared" si="3"/>
        <v>iC60325</v>
      </c>
      <c r="CC30" s="213" t="s">
        <v>105</v>
      </c>
      <c r="CD30" s="213">
        <v>3</v>
      </c>
      <c r="CE30" s="214">
        <v>25</v>
      </c>
      <c r="CF30" s="214"/>
      <c r="CG30" s="201" t="s">
        <v>601</v>
      </c>
      <c r="CH30" s="41"/>
      <c r="CI30" s="41"/>
      <c r="CJ30" s="42"/>
      <c r="CK30" s="42"/>
      <c r="CL30" s="42"/>
      <c r="CM30" s="42"/>
      <c r="CN30" s="42"/>
      <c r="DG30" s="400"/>
      <c r="DH30" s="22"/>
      <c r="DI30" s="22"/>
      <c r="DJ30" s="22"/>
      <c r="DK30" s="344"/>
      <c r="DL30" s="375" t="str">
        <f t="shared" si="4"/>
        <v>TN-C3630</v>
      </c>
      <c r="DM30" s="376" t="s">
        <v>6</v>
      </c>
      <c r="DN30" s="376">
        <v>3</v>
      </c>
      <c r="DO30" s="376">
        <v>630</v>
      </c>
      <c r="DP30" s="376">
        <v>2</v>
      </c>
      <c r="DQ30" s="377" t="s">
        <v>410</v>
      </c>
      <c r="DR30" s="358"/>
      <c r="DS30" s="358"/>
      <c r="DT30" s="358"/>
      <c r="DU30" s="358"/>
      <c r="DV30" s="358"/>
      <c r="DW30" s="358"/>
      <c r="DX30" s="358"/>
      <c r="DY30" s="358"/>
      <c r="DZ30" s="358"/>
      <c r="EA30" s="358"/>
      <c r="EB30" s="358"/>
      <c r="EC30" s="358"/>
      <c r="ED30" s="358"/>
      <c r="EE30" s="358"/>
      <c r="EF30" s="22"/>
      <c r="EG30" s="22"/>
      <c r="EH30" s="22"/>
      <c r="EI30" s="22"/>
      <c r="EJ30" s="22"/>
      <c r="EK30" s="22"/>
      <c r="EL30" s="22"/>
      <c r="EM30" s="22"/>
      <c r="EN30" s="344"/>
      <c r="EO30" s="344"/>
      <c r="EP30" s="22"/>
      <c r="EQ30" s="22"/>
      <c r="ER30" s="22"/>
      <c r="EU30" s="344"/>
      <c r="EV30" s="22"/>
      <c r="EW30" s="22"/>
      <c r="EX30" s="22"/>
      <c r="EY30" s="22"/>
      <c r="EZ30" s="22"/>
      <c r="FA30" s="22"/>
      <c r="FB30" s="22"/>
      <c r="FC30" s="22"/>
      <c r="FD30" s="22"/>
      <c r="FE30" s="22"/>
    </row>
    <row r="31" spans="1:179" x14ac:dyDescent="0.2">
      <c r="G31" s="735"/>
      <c r="X31" s="49" t="s">
        <v>146</v>
      </c>
      <c r="Z31" s="154" t="s">
        <v>145</v>
      </c>
      <c r="AA31" s="116" t="s">
        <v>327</v>
      </c>
      <c r="AB31" s="437">
        <v>3</v>
      </c>
      <c r="AC31" s="8" t="s">
        <v>21</v>
      </c>
      <c r="AD31" s="11" t="s">
        <v>312</v>
      </c>
      <c r="AE31" s="8" t="s">
        <v>20</v>
      </c>
      <c r="AF31" s="107">
        <v>25</v>
      </c>
      <c r="AG31" s="232" t="s">
        <v>20</v>
      </c>
      <c r="AH31" s="259">
        <v>16</v>
      </c>
      <c r="AI31" s="102"/>
      <c r="AJ31" s="102" t="str">
        <f t="shared" si="1"/>
        <v>iC60H</v>
      </c>
      <c r="AK31" s="201" t="s">
        <v>20</v>
      </c>
      <c r="AL31" s="240"/>
      <c r="AM31" s="240">
        <v>16</v>
      </c>
      <c r="AN31" s="102"/>
      <c r="AO31" s="102" t="str">
        <f t="shared" si="2"/>
        <v>iC60N15</v>
      </c>
      <c r="AP31" s="222" t="s">
        <v>19</v>
      </c>
      <c r="AQ31" s="256"/>
      <c r="AR31" s="256">
        <v>15</v>
      </c>
      <c r="AS31" s="222" t="s">
        <v>58</v>
      </c>
      <c r="AT31" s="102"/>
      <c r="AU31" s="232" t="s">
        <v>123</v>
      </c>
      <c r="AV31" s="254" t="s">
        <v>58</v>
      </c>
      <c r="AW31" s="206">
        <v>160</v>
      </c>
      <c r="AX31" s="204" t="s">
        <v>73</v>
      </c>
      <c r="AY31" s="110"/>
      <c r="AZ31" s="32"/>
      <c r="BA31" s="11">
        <f>Бланк!F14*8</f>
        <v>0</v>
      </c>
      <c r="BB31" s="18" t="s">
        <v>64</v>
      </c>
      <c r="BC31" s="11">
        <f>0.9*BC32</f>
        <v>56.7</v>
      </c>
      <c r="BD31" s="231">
        <v>25</v>
      </c>
      <c r="BE31" s="232" t="s">
        <v>595</v>
      </c>
      <c r="BF31" s="41"/>
      <c r="BG31" s="41"/>
      <c r="BH31" s="41"/>
      <c r="BI31" s="1073" t="s">
        <v>73</v>
      </c>
      <c r="BJ31" s="1074"/>
      <c r="BK31" s="41"/>
      <c r="BL31" s="41"/>
      <c r="BO31" s="41"/>
      <c r="BP31" s="41"/>
      <c r="BQ31" s="213" t="s">
        <v>85</v>
      </c>
      <c r="BR31" s="213" t="str">
        <f>Проверки!S5</f>
        <v>iC60N</v>
      </c>
      <c r="BS31" s="213" t="str">
        <f>IF(Проверки!M5,MID(Проверки!C5,1,1),"")</f>
        <v/>
      </c>
      <c r="BT31" s="213">
        <f>IF(Проверки!M5,IF(Проверки!D5&lt;=63,63,125),IF(Проверки!G5+Проверки!I5+Проверки!K5,Проверки!D5,""))</f>
        <v>40</v>
      </c>
      <c r="BU31" s="213"/>
      <c r="BV31" s="213" t="str">
        <f t="shared" si="19"/>
        <v>iC60N40</v>
      </c>
      <c r="BW31" s="213">
        <f t="shared" si="20"/>
        <v>43</v>
      </c>
      <c r="BX31" s="213" t="str">
        <f t="shared" ca="1" si="21"/>
        <v>B</v>
      </c>
      <c r="BY31" s="213">
        <f t="shared" ca="1" si="22"/>
        <v>3</v>
      </c>
      <c r="BZ31" s="213" t="s">
        <v>58</v>
      </c>
      <c r="CA31" s="41"/>
      <c r="CB31" s="41" t="str">
        <f t="shared" si="3"/>
        <v>iC60325</v>
      </c>
      <c r="CC31" s="213" t="s">
        <v>105</v>
      </c>
      <c r="CD31" s="213">
        <v>3</v>
      </c>
      <c r="CE31" s="214">
        <v>25</v>
      </c>
      <c r="CF31" s="214"/>
      <c r="CG31" s="201" t="s">
        <v>602</v>
      </c>
      <c r="CH31" s="41"/>
      <c r="CI31" s="41"/>
      <c r="CJ31" s="6"/>
      <c r="CK31" s="6"/>
      <c r="CL31" s="6"/>
      <c r="CM31" s="6"/>
      <c r="CN31" s="6"/>
      <c r="DG31" s="400"/>
      <c r="DH31" s="22"/>
      <c r="DI31" s="22"/>
      <c r="DJ31" s="22"/>
      <c r="DK31" s="344"/>
      <c r="DL31" s="375" t="str">
        <f t="shared" si="4"/>
        <v>TN-C-S110</v>
      </c>
      <c r="DM31" s="376" t="s">
        <v>7</v>
      </c>
      <c r="DN31" s="376">
        <v>1</v>
      </c>
      <c r="DO31" s="376">
        <v>10</v>
      </c>
      <c r="DP31" s="376">
        <v>1</v>
      </c>
      <c r="DQ31" s="377" t="s">
        <v>383</v>
      </c>
      <c r="DR31" s="358"/>
      <c r="DS31" s="358"/>
      <c r="DT31" s="358"/>
      <c r="DU31" s="358"/>
      <c r="DV31" s="358"/>
      <c r="DW31" s="358"/>
      <c r="DX31" s="358"/>
      <c r="DY31" s="358"/>
      <c r="DZ31" s="358"/>
      <c r="EA31" s="358"/>
      <c r="EB31" s="358"/>
      <c r="EC31" s="358"/>
      <c r="ED31" s="358"/>
      <c r="EE31" s="358"/>
      <c r="EF31" s="22"/>
      <c r="EG31" s="22"/>
      <c r="EH31" s="22"/>
      <c r="EI31" s="22"/>
      <c r="EJ31" s="22"/>
      <c r="EK31" s="22"/>
      <c r="EL31" s="22"/>
      <c r="EM31" s="22"/>
      <c r="EN31" s="344"/>
      <c r="EO31" s="344"/>
      <c r="EP31" s="22"/>
      <c r="EQ31" s="22"/>
      <c r="ER31" s="22"/>
      <c r="EU31" s="344"/>
      <c r="EV31" s="22"/>
      <c r="EW31" s="22"/>
      <c r="EX31" s="22"/>
      <c r="EY31" s="22"/>
      <c r="EZ31" s="22"/>
      <c r="FA31" s="22"/>
      <c r="FB31" s="22"/>
      <c r="FC31" s="22"/>
      <c r="FD31" s="22"/>
      <c r="FE31" s="22"/>
    </row>
    <row r="32" spans="1:179" x14ac:dyDescent="0.2">
      <c r="G32" s="735"/>
      <c r="X32" s="49" t="s">
        <v>147</v>
      </c>
      <c r="Z32" s="154" t="s">
        <v>146</v>
      </c>
      <c r="AA32" s="116" t="s">
        <v>327</v>
      </c>
      <c r="AB32" s="437">
        <v>4</v>
      </c>
      <c r="AC32" s="8" t="s">
        <v>21</v>
      </c>
      <c r="AD32" s="11">
        <v>3</v>
      </c>
      <c r="AE32" s="8" t="s">
        <v>20</v>
      </c>
      <c r="AF32" s="107">
        <v>32</v>
      </c>
      <c r="AG32" s="232" t="s">
        <v>20</v>
      </c>
      <c r="AH32" s="259">
        <v>20</v>
      </c>
      <c r="AI32" s="102"/>
      <c r="AJ32" s="102" t="str">
        <f t="shared" si="1"/>
        <v>iC60H</v>
      </c>
      <c r="AK32" s="201" t="s">
        <v>20</v>
      </c>
      <c r="AL32" s="240"/>
      <c r="AM32" s="240">
        <v>20</v>
      </c>
      <c r="AN32" s="102"/>
      <c r="AO32" s="102" t="str">
        <f t="shared" si="2"/>
        <v>iC60N15</v>
      </c>
      <c r="AP32" s="222" t="s">
        <v>19</v>
      </c>
      <c r="AQ32" s="256"/>
      <c r="AR32" s="256">
        <v>15</v>
      </c>
      <c r="AS32" s="222" t="s">
        <v>59</v>
      </c>
      <c r="AT32" s="102"/>
      <c r="AU32" s="232" t="s">
        <v>123</v>
      </c>
      <c r="AV32" s="254" t="s">
        <v>59</v>
      </c>
      <c r="AW32" s="206">
        <v>160</v>
      </c>
      <c r="AX32" s="204" t="s">
        <v>557</v>
      </c>
      <c r="AY32" s="110"/>
      <c r="AZ32" s="32"/>
      <c r="BA32" s="11">
        <f>Бланк!F14*10</f>
        <v>0</v>
      </c>
      <c r="BB32" s="18" t="s">
        <v>64</v>
      </c>
      <c r="BC32" s="11">
        <v>63</v>
      </c>
      <c r="BD32" s="231">
        <v>25</v>
      </c>
      <c r="BE32" s="232" t="s">
        <v>597</v>
      </c>
      <c r="BF32" s="41"/>
      <c r="BG32" s="41"/>
      <c r="BH32" s="41"/>
      <c r="BI32" s="1073" t="s">
        <v>557</v>
      </c>
      <c r="BJ32" s="1074"/>
      <c r="BK32" s="41"/>
      <c r="BL32" s="41"/>
      <c r="BO32" s="41"/>
      <c r="BP32" s="41"/>
      <c r="BQ32" s="213" t="s">
        <v>86</v>
      </c>
      <c r="BR32" s="213" t="str">
        <f>Проверки!S6</f>
        <v>iC60N</v>
      </c>
      <c r="BS32" s="213" t="str">
        <f>IF(Проверки!M6,MID(Проверки!C6,1,1),"")</f>
        <v/>
      </c>
      <c r="BT32" s="213">
        <f>IF(Проверки!M6,IF(Проверки!D6&lt;=63,63,125),IF(Проверки!G6+Проверки!I6+Проверки!K6,Проверки!D6,""))</f>
        <v>16</v>
      </c>
      <c r="BU32" s="213"/>
      <c r="BV32" s="213" t="str">
        <f t="shared" si="19"/>
        <v>iC60N16</v>
      </c>
      <c r="BW32" s="213">
        <f t="shared" si="20"/>
        <v>31</v>
      </c>
      <c r="BX32" s="213" t="str">
        <f t="shared" ca="1" si="21"/>
        <v>B</v>
      </c>
      <c r="BY32" s="213">
        <f t="shared" ca="1" si="22"/>
        <v>3</v>
      </c>
      <c r="BZ32" s="213" t="s">
        <v>573</v>
      </c>
      <c r="CA32" s="41"/>
      <c r="CB32" s="41" t="str">
        <f t="shared" si="3"/>
        <v>iC60325</v>
      </c>
      <c r="CC32" s="213" t="s">
        <v>105</v>
      </c>
      <c r="CD32" s="213">
        <v>3</v>
      </c>
      <c r="CE32" s="214">
        <v>25</v>
      </c>
      <c r="CF32" s="214"/>
      <c r="CG32" s="201" t="s">
        <v>603</v>
      </c>
      <c r="CH32" s="41"/>
      <c r="CI32" s="41"/>
      <c r="CJ32" s="6"/>
      <c r="CK32" s="6"/>
      <c r="CL32" s="6"/>
      <c r="CM32" s="6"/>
      <c r="CN32" s="6"/>
      <c r="DG32" s="400"/>
      <c r="DH32" s="22"/>
      <c r="DI32" s="22"/>
      <c r="DJ32" s="22"/>
      <c r="DK32" s="344"/>
      <c r="DL32" s="375" t="str">
        <f t="shared" si="4"/>
        <v>TN-C-S120</v>
      </c>
      <c r="DM32" s="376" t="s">
        <v>7</v>
      </c>
      <c r="DN32" s="376">
        <v>1</v>
      </c>
      <c r="DO32" s="376">
        <v>20</v>
      </c>
      <c r="DP32" s="376">
        <v>1</v>
      </c>
      <c r="DQ32" s="377" t="s">
        <v>384</v>
      </c>
      <c r="DR32" s="358"/>
      <c r="DS32" s="358"/>
      <c r="DT32" s="358"/>
      <c r="DU32" s="358"/>
      <c r="DV32" s="358"/>
      <c r="DW32" s="358"/>
      <c r="DX32" s="358"/>
      <c r="DY32" s="358"/>
      <c r="DZ32" s="358"/>
      <c r="EA32" s="358"/>
      <c r="EB32" s="358"/>
      <c r="EC32" s="358"/>
      <c r="ED32" s="358"/>
      <c r="EE32" s="358"/>
      <c r="EF32" s="22"/>
      <c r="EG32" s="22"/>
      <c r="EH32" s="22"/>
      <c r="EI32" s="22"/>
      <c r="EJ32" s="22"/>
      <c r="EK32" s="22"/>
      <c r="EL32" s="22"/>
      <c r="EM32" s="22"/>
      <c r="EN32" s="344"/>
      <c r="EO32" s="344"/>
      <c r="EP32" s="22"/>
      <c r="EQ32" s="22"/>
      <c r="ER32" s="22"/>
      <c r="EU32" s="344"/>
      <c r="EV32" s="22"/>
      <c r="EW32" s="22"/>
      <c r="EX32" s="22"/>
      <c r="EY32" s="22"/>
      <c r="EZ32" s="22"/>
      <c r="FA32" s="22"/>
      <c r="FB32" s="22"/>
      <c r="FC32" s="22"/>
      <c r="FD32" s="22"/>
      <c r="FE32" s="22"/>
    </row>
    <row r="33" spans="7:161" x14ac:dyDescent="0.2">
      <c r="G33" s="735"/>
      <c r="X33" s="49" t="s">
        <v>117</v>
      </c>
      <c r="AA33" s="116" t="s">
        <v>328</v>
      </c>
      <c r="AB33" s="437">
        <v>1</v>
      </c>
      <c r="AC33" s="8" t="s">
        <v>21</v>
      </c>
      <c r="AD33" s="11">
        <v>4</v>
      </c>
      <c r="AE33" s="8" t="s">
        <v>20</v>
      </c>
      <c r="AF33" s="107">
        <v>40</v>
      </c>
      <c r="AG33" s="232" t="s">
        <v>20</v>
      </c>
      <c r="AH33" s="259">
        <v>25</v>
      </c>
      <c r="AI33" s="102"/>
      <c r="AJ33" s="102" t="str">
        <f t="shared" si="1"/>
        <v>iC60H</v>
      </c>
      <c r="AK33" s="201" t="s">
        <v>20</v>
      </c>
      <c r="AL33" s="240"/>
      <c r="AM33" s="240">
        <v>25</v>
      </c>
      <c r="AN33" s="102"/>
      <c r="AO33" s="102" t="str">
        <f t="shared" si="2"/>
        <v>iC60N16</v>
      </c>
      <c r="AP33" s="222" t="s">
        <v>19</v>
      </c>
      <c r="AQ33" s="256"/>
      <c r="AR33" s="256">
        <v>16</v>
      </c>
      <c r="AS33" s="222" t="s">
        <v>57</v>
      </c>
      <c r="AT33" s="102"/>
      <c r="AU33" s="232" t="s">
        <v>124</v>
      </c>
      <c r="AV33" s="254" t="s">
        <v>57</v>
      </c>
      <c r="AW33" s="206">
        <v>160</v>
      </c>
      <c r="AX33" s="204" t="s">
        <v>1251</v>
      </c>
      <c r="AY33" s="110"/>
      <c r="AZ33" s="1430" t="s">
        <v>87</v>
      </c>
      <c r="BA33" s="1431"/>
      <c r="BB33" t="s">
        <v>65</v>
      </c>
      <c r="BC33" s="11">
        <f>0.7*BC36</f>
        <v>56</v>
      </c>
      <c r="BD33" s="231">
        <v>25</v>
      </c>
      <c r="BE33" s="232" t="s">
        <v>290</v>
      </c>
      <c r="BF33" s="41"/>
      <c r="BG33" s="41"/>
      <c r="BH33" s="41"/>
      <c r="BI33" s="1073" t="s">
        <v>1251</v>
      </c>
      <c r="BJ33" s="1074"/>
      <c r="BK33" s="41"/>
      <c r="BL33" s="41"/>
      <c r="BO33" s="41"/>
      <c r="BP33" s="41"/>
      <c r="BQ33" s="213" t="s">
        <v>87</v>
      </c>
      <c r="BR33" s="213" t="str">
        <f>Проверки!S7</f>
        <v/>
      </c>
      <c r="BS33" s="213" t="str">
        <f>IF(Проверки!M7,MID(Проверки!C7,1,1),"")</f>
        <v/>
      </c>
      <c r="BT33" s="213" t="str">
        <f>IF(Проверки!M7,IF(Проверки!D7&lt;=63,63,125),IF(Проверки!G7+Проверки!I7+Проверки!K7,Проверки!D7,""))</f>
        <v/>
      </c>
      <c r="BU33" s="213"/>
      <c r="BV33" s="213" t="str">
        <f t="shared" si="19"/>
        <v/>
      </c>
      <c r="BW33" s="213">
        <f t="shared" si="20"/>
        <v>1</v>
      </c>
      <c r="BX33" s="213" t="str">
        <f t="shared" ca="1" si="21"/>
        <v>B</v>
      </c>
      <c r="BY33" s="213">
        <f t="shared" ca="1" si="22"/>
        <v>1</v>
      </c>
      <c r="BZ33" s="213" t="s">
        <v>58</v>
      </c>
      <c r="CA33" s="41"/>
      <c r="CB33" s="41" t="str">
        <f t="shared" si="3"/>
        <v>iC60325</v>
      </c>
      <c r="CC33" s="213" t="s">
        <v>105</v>
      </c>
      <c r="CD33" s="213">
        <v>3</v>
      </c>
      <c r="CE33" s="214">
        <v>25</v>
      </c>
      <c r="CF33" s="214"/>
      <c r="CG33" s="201" t="s">
        <v>604</v>
      </c>
      <c r="CH33" s="41"/>
      <c r="CI33" s="41"/>
      <c r="CJ33" s="6"/>
      <c r="CK33" s="6"/>
      <c r="CL33" s="6"/>
      <c r="CM33" s="6"/>
      <c r="CN33" s="6"/>
      <c r="DG33" s="400"/>
      <c r="DH33" s="22"/>
      <c r="DI33" s="22"/>
      <c r="DJ33" s="22"/>
      <c r="DK33" s="344"/>
      <c r="DL33" s="375" t="str">
        <f t="shared" si="4"/>
        <v>TN-C-S125</v>
      </c>
      <c r="DM33" s="376" t="s">
        <v>7</v>
      </c>
      <c r="DN33" s="376">
        <v>1</v>
      </c>
      <c r="DO33" s="376">
        <v>25</v>
      </c>
      <c r="DP33" s="376">
        <v>1</v>
      </c>
      <c r="DQ33" s="377" t="s">
        <v>385</v>
      </c>
      <c r="DR33" s="358"/>
      <c r="DS33" s="358"/>
      <c r="DT33" s="358"/>
      <c r="DU33" s="358"/>
      <c r="DV33" s="358"/>
      <c r="DW33" s="358"/>
      <c r="DX33" s="358"/>
      <c r="DY33" s="358"/>
      <c r="DZ33" s="358"/>
      <c r="EA33" s="358"/>
      <c r="EB33" s="358"/>
      <c r="EC33" s="358"/>
      <c r="ED33" s="358"/>
      <c r="EE33" s="358"/>
      <c r="EF33" s="22"/>
      <c r="EG33" s="22"/>
      <c r="EH33" s="22"/>
      <c r="EI33" s="22"/>
      <c r="EJ33" s="22"/>
      <c r="EK33" s="22"/>
      <c r="EL33" s="22"/>
      <c r="EM33" s="22"/>
      <c r="EN33" s="344"/>
      <c r="EO33" s="344"/>
      <c r="EP33" s="22"/>
      <c r="EQ33" s="22"/>
      <c r="ER33" s="22"/>
      <c r="EU33" s="344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7:161" x14ac:dyDescent="0.2">
      <c r="G34" s="735"/>
      <c r="X34" s="49" t="s">
        <v>119</v>
      </c>
      <c r="AA34" s="116" t="s">
        <v>328</v>
      </c>
      <c r="AB34" s="437">
        <v>2</v>
      </c>
      <c r="AC34" s="8" t="s">
        <v>148</v>
      </c>
      <c r="AD34" s="11">
        <v>2</v>
      </c>
      <c r="AE34" s="8" t="s">
        <v>20</v>
      </c>
      <c r="AF34" s="107">
        <v>50</v>
      </c>
      <c r="AG34" s="232" t="s">
        <v>20</v>
      </c>
      <c r="AH34" s="259">
        <v>32</v>
      </c>
      <c r="AI34" s="102"/>
      <c r="AJ34" s="102" t="str">
        <f t="shared" si="1"/>
        <v>iC60H</v>
      </c>
      <c r="AK34" s="201" t="s">
        <v>20</v>
      </c>
      <c r="AL34" s="240"/>
      <c r="AM34" s="240">
        <v>32</v>
      </c>
      <c r="AN34" s="102"/>
      <c r="AO34" s="102" t="str">
        <f t="shared" si="2"/>
        <v>iC60N16</v>
      </c>
      <c r="AP34" s="222" t="s">
        <v>19</v>
      </c>
      <c r="AQ34" s="256"/>
      <c r="AR34" s="256">
        <v>16</v>
      </c>
      <c r="AS34" s="222" t="s">
        <v>58</v>
      </c>
      <c r="AT34" s="102"/>
      <c r="AU34" s="232" t="s">
        <v>124</v>
      </c>
      <c r="AV34" s="254" t="s">
        <v>58</v>
      </c>
      <c r="AW34" s="206">
        <v>160</v>
      </c>
      <c r="AX34" s="204" t="s">
        <v>1252</v>
      </c>
      <c r="AY34" s="110"/>
      <c r="AZ34" s="32">
        <f>Бланк!D15*5</f>
        <v>0</v>
      </c>
      <c r="BA34" s="11">
        <f>Бланк!F15*1.5</f>
        <v>0</v>
      </c>
      <c r="BB34" t="s">
        <v>65</v>
      </c>
      <c r="BC34" s="11">
        <f>0.8*BC36</f>
        <v>64</v>
      </c>
      <c r="BD34" s="231">
        <v>25</v>
      </c>
      <c r="BE34" s="232" t="s">
        <v>291</v>
      </c>
      <c r="BF34" s="41"/>
      <c r="BG34" s="41"/>
      <c r="BH34" s="41"/>
      <c r="BI34" s="1073" t="s">
        <v>1252</v>
      </c>
      <c r="BJ34" s="1074"/>
      <c r="BK34" s="41"/>
      <c r="BL34" s="41"/>
      <c r="BO34" s="41"/>
      <c r="BP34" s="41"/>
      <c r="BQ34" s="213" t="s">
        <v>88</v>
      </c>
      <c r="BR34" s="213" t="str">
        <f>Проверки!S8</f>
        <v/>
      </c>
      <c r="BS34" s="213" t="str">
        <f>IF(Проверки!M8,MID(Проверки!C8,1,1),"")</f>
        <v/>
      </c>
      <c r="BT34" s="213" t="str">
        <f>IF(Проверки!M8,IF(Проверки!D8&lt;=63,63,125),IF(Проверки!G8+Проверки!I8+Проверки!K8,Проверки!D8,""))</f>
        <v/>
      </c>
      <c r="BU34" s="213"/>
      <c r="BV34" s="213" t="str">
        <f t="shared" si="19"/>
        <v/>
      </c>
      <c r="BW34" s="213">
        <f t="shared" si="20"/>
        <v>1</v>
      </c>
      <c r="BX34" s="213" t="str">
        <f t="shared" ca="1" si="21"/>
        <v>B</v>
      </c>
      <c r="BY34" s="213">
        <f t="shared" ca="1" si="22"/>
        <v>1</v>
      </c>
      <c r="BZ34" s="213" t="s">
        <v>572</v>
      </c>
      <c r="CA34" s="41"/>
      <c r="CB34" s="41" t="str">
        <f t="shared" si="3"/>
        <v>iC60363</v>
      </c>
      <c r="CC34" s="213" t="s">
        <v>105</v>
      </c>
      <c r="CD34" s="213">
        <v>3</v>
      </c>
      <c r="CE34" s="214">
        <v>63</v>
      </c>
      <c r="CF34" s="214"/>
      <c r="CG34" s="201" t="s">
        <v>30</v>
      </c>
      <c r="CH34" s="41"/>
      <c r="CI34" s="41"/>
      <c r="CJ34" s="6"/>
      <c r="CK34" s="6"/>
      <c r="CL34" s="6"/>
      <c r="CM34" s="6"/>
      <c r="CN34" s="6"/>
      <c r="DG34" s="400"/>
      <c r="DH34" s="22"/>
      <c r="DI34" s="22"/>
      <c r="DJ34" s="22"/>
      <c r="DK34" s="344"/>
      <c r="DL34" s="375" t="str">
        <f t="shared" si="4"/>
        <v>TN-C-S132</v>
      </c>
      <c r="DM34" s="376" t="s">
        <v>7</v>
      </c>
      <c r="DN34" s="376">
        <v>1</v>
      </c>
      <c r="DO34" s="376">
        <v>32</v>
      </c>
      <c r="DP34" s="376">
        <v>1</v>
      </c>
      <c r="DQ34" s="377" t="s">
        <v>386</v>
      </c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22"/>
      <c r="EG34" s="22"/>
      <c r="EH34" s="22"/>
      <c r="EI34" s="22"/>
      <c r="EJ34" s="22"/>
      <c r="EK34" s="22"/>
      <c r="EL34" s="22"/>
      <c r="EM34" s="22"/>
      <c r="EN34" s="344"/>
      <c r="EO34" s="344"/>
      <c r="EP34" s="22"/>
      <c r="EQ34" s="22"/>
      <c r="ER34" s="22"/>
      <c r="EU34" s="344"/>
      <c r="EV34" s="22"/>
      <c r="EW34" s="22"/>
      <c r="EX34" s="22"/>
      <c r="EY34" s="22"/>
      <c r="EZ34" s="22"/>
      <c r="FA34" s="22"/>
      <c r="FB34" s="22"/>
      <c r="FC34" s="22"/>
      <c r="FD34" s="22"/>
      <c r="FE34" s="22"/>
    </row>
    <row r="35" spans="7:161" x14ac:dyDescent="0.2">
      <c r="G35" s="735"/>
      <c r="X35" s="49" t="s">
        <v>120</v>
      </c>
      <c r="AA35" s="116" t="s">
        <v>328</v>
      </c>
      <c r="AB35" s="437">
        <v>3</v>
      </c>
      <c r="AC35" s="8" t="s">
        <v>149</v>
      </c>
      <c r="AD35" s="11" t="s">
        <v>136</v>
      </c>
      <c r="AE35" s="8" t="s">
        <v>20</v>
      </c>
      <c r="AF35" s="107">
        <v>63</v>
      </c>
      <c r="AG35" s="232" t="s">
        <v>20</v>
      </c>
      <c r="AH35" s="259">
        <v>40</v>
      </c>
      <c r="AI35" s="102"/>
      <c r="AJ35" s="102" t="str">
        <f t="shared" si="1"/>
        <v>iC60H</v>
      </c>
      <c r="AK35" s="201" t="s">
        <v>20</v>
      </c>
      <c r="AL35" s="240"/>
      <c r="AM35" s="240">
        <v>40</v>
      </c>
      <c r="AN35" s="102"/>
      <c r="AO35" s="102" t="str">
        <f t="shared" si="2"/>
        <v>iC60N16</v>
      </c>
      <c r="AP35" s="222" t="s">
        <v>19</v>
      </c>
      <c r="AQ35" s="256"/>
      <c r="AR35" s="256">
        <v>16</v>
      </c>
      <c r="AS35" s="222" t="s">
        <v>59</v>
      </c>
      <c r="AT35" s="102"/>
      <c r="AU35" s="232" t="s">
        <v>124</v>
      </c>
      <c r="AV35" s="254" t="s">
        <v>59</v>
      </c>
      <c r="AW35" s="206">
        <v>160</v>
      </c>
      <c r="AX35" s="204" t="s">
        <v>1253</v>
      </c>
      <c r="AY35" s="110"/>
      <c r="AZ35" s="32">
        <f>Бланк!D15*6</f>
        <v>0</v>
      </c>
      <c r="BA35" s="11">
        <f>Бланк!F15*2</f>
        <v>0</v>
      </c>
      <c r="BB35" t="s">
        <v>65</v>
      </c>
      <c r="BC35" s="11">
        <f>0.9*BC36</f>
        <v>72</v>
      </c>
      <c r="BD35" s="231">
        <v>25</v>
      </c>
      <c r="BE35" s="232" t="s">
        <v>292</v>
      </c>
      <c r="BF35" s="7"/>
      <c r="BG35" s="7"/>
      <c r="BH35" s="878"/>
      <c r="BI35" s="1073" t="s">
        <v>1253</v>
      </c>
      <c r="BJ35" s="1074"/>
      <c r="BK35" s="878"/>
      <c r="BL35" s="7"/>
      <c r="BO35" s="41"/>
      <c r="BP35" s="41"/>
      <c r="BQ35" s="213" t="s">
        <v>89</v>
      </c>
      <c r="BR35" s="213" t="str">
        <f>Проверки!S9</f>
        <v/>
      </c>
      <c r="BS35" s="213" t="str">
        <f>IF(Проверки!M9,MID(Проверки!C9,1,1),"")</f>
        <v/>
      </c>
      <c r="BT35" s="213" t="str">
        <f>IF(Проверки!M9,IF(Проверки!D9&lt;=63,63,125),IF(Проверки!G9+Проверки!I9+Проверки!K9,Проверки!D9,""))</f>
        <v/>
      </c>
      <c r="BU35" s="213"/>
      <c r="BV35" s="213" t="str">
        <f t="shared" si="19"/>
        <v/>
      </c>
      <c r="BW35" s="213">
        <f t="shared" si="20"/>
        <v>1</v>
      </c>
      <c r="BX35" s="213" t="str">
        <f t="shared" ca="1" si="21"/>
        <v>B</v>
      </c>
      <c r="BY35" s="213">
        <f t="shared" ca="1" si="22"/>
        <v>1</v>
      </c>
      <c r="BZ35" s="213" t="s">
        <v>307</v>
      </c>
      <c r="CA35" s="41"/>
      <c r="CB35" s="41" t="str">
        <f t="shared" si="3"/>
        <v>iC60363</v>
      </c>
      <c r="CC35" s="213" t="s">
        <v>105</v>
      </c>
      <c r="CD35" s="213">
        <v>3</v>
      </c>
      <c r="CE35" s="214">
        <v>63</v>
      </c>
      <c r="CF35" s="214"/>
      <c r="CG35" s="201" t="s">
        <v>595</v>
      </c>
      <c r="CH35" s="7"/>
      <c r="CI35" s="7"/>
      <c r="DG35" s="400"/>
      <c r="DH35" s="22"/>
      <c r="DI35" s="22"/>
      <c r="DJ35" s="22"/>
      <c r="DK35" s="344"/>
      <c r="DL35" s="375" t="str">
        <f t="shared" ref="DL35:DL65" si="23">$DM35&amp;$DN35&amp;$DO35</f>
        <v>TN-C-S150</v>
      </c>
      <c r="DM35" s="376" t="s">
        <v>7</v>
      </c>
      <c r="DN35" s="376">
        <v>1</v>
      </c>
      <c r="DO35" s="376">
        <v>50</v>
      </c>
      <c r="DP35" s="376">
        <v>1</v>
      </c>
      <c r="DQ35" s="377" t="s">
        <v>387</v>
      </c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22"/>
      <c r="EG35" s="22"/>
      <c r="EH35" s="22"/>
      <c r="EI35" s="22"/>
      <c r="EJ35" s="22"/>
      <c r="EK35" s="22"/>
      <c r="EL35" s="22"/>
      <c r="EM35" s="22"/>
      <c r="EN35" s="344"/>
      <c r="EO35" s="344"/>
      <c r="EP35" s="22"/>
      <c r="EQ35" s="22"/>
      <c r="ER35" s="22"/>
      <c r="EU35" s="344"/>
      <c r="EV35" s="22"/>
      <c r="EW35" s="22"/>
      <c r="EX35" s="22"/>
      <c r="EY35" s="22"/>
      <c r="EZ35" s="22"/>
      <c r="FA35" s="22"/>
      <c r="FB35" s="22"/>
      <c r="FC35" s="22"/>
      <c r="FD35" s="22"/>
      <c r="FE35" s="22"/>
    </row>
    <row r="36" spans="7:161" x14ac:dyDescent="0.2">
      <c r="G36" s="735"/>
      <c r="X36" s="49" t="s">
        <v>121</v>
      </c>
      <c r="AA36" s="116" t="s">
        <v>328</v>
      </c>
      <c r="AB36" s="437">
        <v>4</v>
      </c>
      <c r="AC36" s="8" t="s">
        <v>149</v>
      </c>
      <c r="AD36" s="11" t="s">
        <v>137</v>
      </c>
      <c r="AE36" s="8" t="s">
        <v>21</v>
      </c>
      <c r="AF36" s="736">
        <v>1</v>
      </c>
      <c r="AG36" s="232" t="s">
        <v>20</v>
      </c>
      <c r="AH36" s="259">
        <v>50</v>
      </c>
      <c r="AI36" s="102"/>
      <c r="AJ36" s="102" t="str">
        <f t="shared" si="1"/>
        <v>iC60H</v>
      </c>
      <c r="AK36" s="201" t="s">
        <v>20</v>
      </c>
      <c r="AL36" s="240"/>
      <c r="AM36" s="240">
        <v>50</v>
      </c>
      <c r="AN36" s="102"/>
      <c r="AO36" s="102" t="str">
        <f t="shared" si="2"/>
        <v>iC60N20</v>
      </c>
      <c r="AP36" s="222" t="s">
        <v>19</v>
      </c>
      <c r="AQ36" s="222"/>
      <c r="AR36" s="256">
        <v>20</v>
      </c>
      <c r="AS36" s="222" t="s">
        <v>57</v>
      </c>
      <c r="AT36" s="102"/>
      <c r="AU36" s="232" t="s">
        <v>125</v>
      </c>
      <c r="AV36" s="254" t="s">
        <v>57</v>
      </c>
      <c r="AW36" s="206">
        <v>200</v>
      </c>
      <c r="AX36" s="204" t="s">
        <v>69</v>
      </c>
      <c r="AY36" s="110" t="s">
        <v>1263</v>
      </c>
      <c r="AZ36" s="32">
        <f>Бланк!D15*7</f>
        <v>0</v>
      </c>
      <c r="BA36" s="11">
        <f>Бланк!F15*3</f>
        <v>0</v>
      </c>
      <c r="BB36" t="s">
        <v>65</v>
      </c>
      <c r="BC36" s="11">
        <v>80</v>
      </c>
      <c r="BD36" s="231">
        <v>40</v>
      </c>
      <c r="BE36" s="232" t="s">
        <v>595</v>
      </c>
      <c r="BF36" s="7"/>
      <c r="BG36" s="7"/>
      <c r="BH36" s="878"/>
      <c r="BI36" s="1073" t="s">
        <v>69</v>
      </c>
      <c r="BJ36" s="1074" t="s">
        <v>1263</v>
      </c>
      <c r="BK36" s="878"/>
      <c r="BL36" s="7"/>
      <c r="BO36" s="41"/>
      <c r="BP36" s="41"/>
      <c r="BQ36" s="213" t="s">
        <v>90</v>
      </c>
      <c r="BR36" s="213" t="str">
        <f>Проверки!S10</f>
        <v/>
      </c>
      <c r="BS36" s="213" t="str">
        <f>IF(Проверки!M10,MID(Проверки!C10,1,1),"")</f>
        <v/>
      </c>
      <c r="BT36" s="213" t="str">
        <f>IF(Проверки!M10,IF(Проверки!D10&lt;=63,63,125),IF(Проверки!G10+Проверки!I10+Проверки!K10,Проверки!D10,""))</f>
        <v/>
      </c>
      <c r="BU36" s="213"/>
      <c r="BV36" s="213" t="str">
        <f t="shared" si="19"/>
        <v/>
      </c>
      <c r="BW36" s="213">
        <f t="shared" si="20"/>
        <v>1</v>
      </c>
      <c r="BX36" s="213" t="str">
        <f t="shared" ca="1" si="21"/>
        <v>B</v>
      </c>
      <c r="BY36" s="213">
        <f t="shared" ca="1" si="22"/>
        <v>1</v>
      </c>
      <c r="BZ36" s="213" t="s">
        <v>30</v>
      </c>
      <c r="CA36" s="41"/>
      <c r="CB36" s="41" t="str">
        <f t="shared" si="3"/>
        <v>iC60363</v>
      </c>
      <c r="CC36" s="213" t="s">
        <v>105</v>
      </c>
      <c r="CD36" s="213">
        <v>3</v>
      </c>
      <c r="CE36" s="214">
        <v>63</v>
      </c>
      <c r="CF36" s="214"/>
      <c r="CG36" s="201" t="s">
        <v>597</v>
      </c>
      <c r="CH36" s="7"/>
      <c r="CI36" s="7"/>
      <c r="DG36" s="400"/>
      <c r="DH36" s="22"/>
      <c r="DI36" s="22"/>
      <c r="DJ36" s="22"/>
      <c r="DK36" s="344"/>
      <c r="DL36" s="375" t="str">
        <f t="shared" si="23"/>
        <v>TN-C-S163</v>
      </c>
      <c r="DM36" s="376" t="s">
        <v>7</v>
      </c>
      <c r="DN36" s="376">
        <v>1</v>
      </c>
      <c r="DO36" s="376">
        <v>63</v>
      </c>
      <c r="DP36" s="376">
        <v>1</v>
      </c>
      <c r="DQ36" s="377" t="s">
        <v>388</v>
      </c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22"/>
      <c r="EG36" s="22"/>
      <c r="EH36" s="22"/>
      <c r="EI36" s="22"/>
      <c r="EJ36" s="22"/>
      <c r="EK36" s="22"/>
      <c r="EL36" s="22"/>
      <c r="EM36" s="22"/>
      <c r="EN36" s="344"/>
      <c r="EO36" s="344"/>
      <c r="EP36" s="22"/>
      <c r="EQ36" s="22"/>
      <c r="ER36" s="22"/>
      <c r="EU36" s="344"/>
      <c r="EV36" s="22"/>
      <c r="EW36" s="22"/>
      <c r="EX36" s="22"/>
      <c r="EY36" s="22"/>
      <c r="EZ36" s="22"/>
      <c r="FA36" s="22"/>
      <c r="FB36" s="22"/>
      <c r="FC36" s="22"/>
      <c r="FD36" s="22"/>
      <c r="FE36" s="22"/>
    </row>
    <row r="37" spans="7:161" ht="13.5" thickBot="1" x14ac:dyDescent="0.25">
      <c r="G37" s="735"/>
      <c r="X37" s="49" t="s">
        <v>122</v>
      </c>
      <c r="AA37" s="116" t="s">
        <v>329</v>
      </c>
      <c r="AB37" s="437">
        <v>1</v>
      </c>
      <c r="AC37" s="8" t="s">
        <v>149</v>
      </c>
      <c r="AD37" s="11" t="s">
        <v>138</v>
      </c>
      <c r="AE37" s="8" t="s">
        <v>21</v>
      </c>
      <c r="AF37" s="736">
        <v>2</v>
      </c>
      <c r="AG37" s="232" t="s">
        <v>20</v>
      </c>
      <c r="AH37" s="259">
        <v>63</v>
      </c>
      <c r="AI37" s="102"/>
      <c r="AJ37" s="102" t="str">
        <f t="shared" si="1"/>
        <v>iC60H</v>
      </c>
      <c r="AK37" s="217" t="s">
        <v>20</v>
      </c>
      <c r="AL37" s="241"/>
      <c r="AM37" s="241">
        <v>63</v>
      </c>
      <c r="AN37" s="102"/>
      <c r="AO37" s="102" t="str">
        <f t="shared" si="2"/>
        <v>iC60N20</v>
      </c>
      <c r="AP37" s="222" t="s">
        <v>19</v>
      </c>
      <c r="AQ37" s="222"/>
      <c r="AR37" s="256">
        <v>20</v>
      </c>
      <c r="AS37" s="222" t="s">
        <v>58</v>
      </c>
      <c r="AT37" s="102"/>
      <c r="AU37" s="232" t="s">
        <v>125</v>
      </c>
      <c r="AV37" s="254" t="s">
        <v>58</v>
      </c>
      <c r="AW37" s="206">
        <v>200</v>
      </c>
      <c r="AX37" s="204" t="s">
        <v>572</v>
      </c>
      <c r="AY37" s="110">
        <v>440</v>
      </c>
      <c r="AZ37" s="32">
        <f>Бланк!D15*8</f>
        <v>0</v>
      </c>
      <c r="BA37" s="11">
        <f>Бланк!F15*4</f>
        <v>0</v>
      </c>
      <c r="BB37" t="s">
        <v>66</v>
      </c>
      <c r="BC37" s="11">
        <f>0.7*BC40</f>
        <v>70</v>
      </c>
      <c r="BD37" s="231">
        <v>40</v>
      </c>
      <c r="BE37" s="232" t="s">
        <v>596</v>
      </c>
      <c r="BF37" s="7"/>
      <c r="BG37" s="7"/>
      <c r="BH37" s="878"/>
      <c r="BI37" s="1073" t="s">
        <v>572</v>
      </c>
      <c r="BJ37" s="1074">
        <v>440</v>
      </c>
      <c r="BK37" s="878"/>
      <c r="BL37" s="7"/>
      <c r="BO37" s="41"/>
      <c r="BP37" s="41"/>
      <c r="BQ37" s="213" t="s">
        <v>91</v>
      </c>
      <c r="BR37" s="213" t="str">
        <f>Проверки!S11</f>
        <v/>
      </c>
      <c r="BS37" s="213" t="str">
        <f>IF(Проверки!M11,MID(Проверки!C11,1,1),"")</f>
        <v/>
      </c>
      <c r="BT37" s="213" t="str">
        <f>IF(Проверки!M11,IF(Проверки!D11&lt;=63,63,125),IF(Проверки!G11+Проверки!I11+Проверки!K11,Проверки!D11,""))</f>
        <v/>
      </c>
      <c r="BU37" s="213"/>
      <c r="BV37" s="213" t="str">
        <f t="shared" si="19"/>
        <v/>
      </c>
      <c r="BW37" s="213">
        <f t="shared" si="20"/>
        <v>1</v>
      </c>
      <c r="BX37" s="213" t="str">
        <f t="shared" ca="1" si="21"/>
        <v>B</v>
      </c>
      <c r="BY37" s="213">
        <f t="shared" ca="1" si="22"/>
        <v>1</v>
      </c>
      <c r="BZ37" s="213" t="s">
        <v>58</v>
      </c>
      <c r="CA37" s="41"/>
      <c r="CB37" s="41" t="str">
        <f t="shared" si="3"/>
        <v>iC60363</v>
      </c>
      <c r="CC37" s="213" t="s">
        <v>105</v>
      </c>
      <c r="CD37" s="213">
        <v>3</v>
      </c>
      <c r="CE37" s="214">
        <v>63</v>
      </c>
      <c r="CF37" s="214"/>
      <c r="CG37" s="201" t="s">
        <v>598</v>
      </c>
      <c r="CH37" s="7"/>
      <c r="CI37" s="7"/>
      <c r="DG37" s="400"/>
      <c r="DH37" s="22"/>
      <c r="DI37" s="22"/>
      <c r="DJ37" s="22"/>
      <c r="DK37" s="344"/>
      <c r="DL37" s="375" t="str">
        <f t="shared" si="23"/>
        <v>TN-C-S180</v>
      </c>
      <c r="DM37" s="376" t="s">
        <v>7</v>
      </c>
      <c r="DN37" s="376">
        <v>1</v>
      </c>
      <c r="DO37" s="376">
        <v>80</v>
      </c>
      <c r="DP37" s="376">
        <v>1</v>
      </c>
      <c r="DQ37" s="377" t="s">
        <v>389</v>
      </c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22"/>
      <c r="EG37" s="22"/>
      <c r="EH37" s="22"/>
      <c r="EI37" s="22"/>
      <c r="EJ37" s="22"/>
      <c r="EK37" s="22"/>
      <c r="EL37" s="22"/>
      <c r="EM37" s="22"/>
      <c r="EN37" s="344"/>
      <c r="EO37" s="344"/>
      <c r="EP37" s="22"/>
      <c r="EQ37" s="22"/>
      <c r="ER37" s="22"/>
      <c r="EU37" s="344"/>
      <c r="EV37" s="22"/>
      <c r="EW37" s="22"/>
      <c r="EX37" s="22"/>
      <c r="EY37" s="22"/>
      <c r="EZ37" s="22"/>
      <c r="FA37" s="22"/>
      <c r="FB37" s="22"/>
      <c r="FC37" s="22"/>
      <c r="FD37" s="22"/>
      <c r="FE37" s="22"/>
    </row>
    <row r="38" spans="7:161" ht="13.5" thickTop="1" x14ac:dyDescent="0.2">
      <c r="G38" s="735"/>
      <c r="X38" s="49" t="s">
        <v>123</v>
      </c>
      <c r="AA38" s="116" t="s">
        <v>329</v>
      </c>
      <c r="AB38" s="437">
        <v>2</v>
      </c>
      <c r="AC38" s="8" t="s">
        <v>149</v>
      </c>
      <c r="AD38" s="11" t="s">
        <v>326</v>
      </c>
      <c r="AE38" s="8" t="s">
        <v>21</v>
      </c>
      <c r="AF38" s="736">
        <v>3</v>
      </c>
      <c r="AG38" s="232" t="s">
        <v>21</v>
      </c>
      <c r="AH38" s="259">
        <v>0.5</v>
      </c>
      <c r="AI38" s="102"/>
      <c r="AJ38" s="102" t="str">
        <f t="shared" si="1"/>
        <v>iC60L</v>
      </c>
      <c r="AK38" s="190" t="s">
        <v>21</v>
      </c>
      <c r="AL38" s="187"/>
      <c r="AM38" s="242">
        <v>0.5</v>
      </c>
      <c r="AN38" s="102"/>
      <c r="AO38" s="102" t="str">
        <f t="shared" si="2"/>
        <v>iC60N20</v>
      </c>
      <c r="AP38" s="222" t="s">
        <v>19</v>
      </c>
      <c r="AQ38" s="222"/>
      <c r="AR38" s="256">
        <v>20</v>
      </c>
      <c r="AS38" s="222" t="s">
        <v>59</v>
      </c>
      <c r="AT38" s="102"/>
      <c r="AU38" s="232" t="s">
        <v>125</v>
      </c>
      <c r="AV38" s="254" t="s">
        <v>59</v>
      </c>
      <c r="AW38" s="206">
        <v>250</v>
      </c>
      <c r="AX38" s="204" t="s">
        <v>70</v>
      </c>
      <c r="AY38" s="110" t="s">
        <v>1263</v>
      </c>
      <c r="AZ38" s="32">
        <f>Бланк!D15*9</f>
        <v>0</v>
      </c>
      <c r="BA38" s="11">
        <f>Бланк!F15*5</f>
        <v>0</v>
      </c>
      <c r="BB38" t="s">
        <v>66</v>
      </c>
      <c r="BC38" s="11">
        <f>0.8*BC40</f>
        <v>80</v>
      </c>
      <c r="BD38" s="231">
        <v>40</v>
      </c>
      <c r="BE38" s="232" t="s">
        <v>597</v>
      </c>
      <c r="BF38" s="7"/>
      <c r="BG38" s="7"/>
      <c r="BH38" s="878"/>
      <c r="BI38" s="1073" t="s">
        <v>70</v>
      </c>
      <c r="BJ38" s="1074" t="s">
        <v>1263</v>
      </c>
      <c r="BK38" s="878"/>
      <c r="BL38" s="7"/>
      <c r="BO38" s="41"/>
      <c r="BP38" s="41"/>
      <c r="BQ38" s="213" t="s">
        <v>92</v>
      </c>
      <c r="BR38" s="213" t="str">
        <f>Проверки!S12</f>
        <v/>
      </c>
      <c r="BS38" s="213" t="str">
        <f>IF(Проверки!M12,MID(Проверки!C12,1,1),"")</f>
        <v/>
      </c>
      <c r="BT38" s="213" t="str">
        <f>IF(Проверки!M12,IF(Проверки!D12&lt;=63,63,125),IF(Проверки!G12+Проверки!I12+Проверки!K12,Проверки!D12,""))</f>
        <v/>
      </c>
      <c r="BU38" s="213"/>
      <c r="BV38" s="213" t="str">
        <f t="shared" si="19"/>
        <v/>
      </c>
      <c r="BW38" s="213">
        <f t="shared" si="20"/>
        <v>1</v>
      </c>
      <c r="BX38" s="213" t="str">
        <f t="shared" ca="1" si="21"/>
        <v>B</v>
      </c>
      <c r="BY38" s="213">
        <f t="shared" ca="1" si="22"/>
        <v>1</v>
      </c>
      <c r="BZ38" s="213" t="s">
        <v>57</v>
      </c>
      <c r="CA38" s="41"/>
      <c r="CB38" s="41" t="str">
        <f t="shared" si="3"/>
        <v>iC60363</v>
      </c>
      <c r="CC38" s="213" t="s">
        <v>105</v>
      </c>
      <c r="CD38" s="213">
        <v>3</v>
      </c>
      <c r="CE38" s="214">
        <v>63</v>
      </c>
      <c r="CF38" s="214"/>
      <c r="CG38" s="201" t="s">
        <v>600</v>
      </c>
      <c r="CH38" s="7"/>
      <c r="CI38" s="7"/>
      <c r="DG38" s="400"/>
      <c r="DH38" s="22"/>
      <c r="DI38" s="22"/>
      <c r="DJ38" s="22"/>
      <c r="DK38" s="344"/>
      <c r="DL38" s="375" t="str">
        <f t="shared" si="23"/>
        <v>TN-C-S1100</v>
      </c>
      <c r="DM38" s="376" t="s">
        <v>7</v>
      </c>
      <c r="DN38" s="376">
        <v>1</v>
      </c>
      <c r="DO38" s="376">
        <v>100</v>
      </c>
      <c r="DP38" s="376">
        <v>1</v>
      </c>
      <c r="DQ38" s="377" t="s">
        <v>390</v>
      </c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22"/>
      <c r="EG38" s="22"/>
      <c r="EH38" s="22"/>
      <c r="EI38" s="22"/>
      <c r="EJ38" s="22"/>
      <c r="EK38" s="22"/>
      <c r="EL38" s="22"/>
      <c r="EM38" s="22"/>
      <c r="EN38" s="344"/>
      <c r="EO38" s="344"/>
      <c r="EP38" s="22"/>
      <c r="EQ38" s="22"/>
      <c r="ER38" s="22"/>
      <c r="EU38" s="344"/>
      <c r="EV38" s="22"/>
      <c r="EW38" s="22"/>
      <c r="EX38" s="22"/>
      <c r="EY38" s="22"/>
      <c r="EZ38" s="22"/>
      <c r="FA38" s="22"/>
      <c r="FB38" s="22"/>
      <c r="FC38" s="22"/>
      <c r="FD38" s="22"/>
      <c r="FE38" s="22"/>
    </row>
    <row r="39" spans="7:161" x14ac:dyDescent="0.2">
      <c r="X39" s="49" t="s">
        <v>124</v>
      </c>
      <c r="AA39" s="116" t="s">
        <v>329</v>
      </c>
      <c r="AB39" s="437">
        <v>3</v>
      </c>
      <c r="AC39" s="8" t="s">
        <v>149</v>
      </c>
      <c r="AD39" s="11" t="s">
        <v>139</v>
      </c>
      <c r="AE39" s="8" t="s">
        <v>21</v>
      </c>
      <c r="AF39" s="736">
        <v>4</v>
      </c>
      <c r="AG39" s="232" t="s">
        <v>21</v>
      </c>
      <c r="AH39" s="259">
        <v>1</v>
      </c>
      <c r="AI39" s="102"/>
      <c r="AJ39" s="102" t="str">
        <f t="shared" si="1"/>
        <v>iC60L</v>
      </c>
      <c r="AK39" s="201" t="s">
        <v>21</v>
      </c>
      <c r="AL39" s="214"/>
      <c r="AM39" s="240">
        <v>1</v>
      </c>
      <c r="AN39" s="102"/>
      <c r="AO39" s="102" t="str">
        <f t="shared" si="2"/>
        <v>iC60N25</v>
      </c>
      <c r="AP39" s="222" t="s">
        <v>19</v>
      </c>
      <c r="AQ39" s="222"/>
      <c r="AR39" s="256">
        <v>25</v>
      </c>
      <c r="AS39" s="222" t="s">
        <v>57</v>
      </c>
      <c r="AT39" s="102"/>
      <c r="AU39" s="232" t="s">
        <v>126</v>
      </c>
      <c r="AV39" s="254" t="s">
        <v>57</v>
      </c>
      <c r="AW39" s="206">
        <v>250</v>
      </c>
      <c r="AX39" s="204" t="s">
        <v>573</v>
      </c>
      <c r="AY39" s="110">
        <v>520</v>
      </c>
      <c r="AZ39" s="32">
        <f>Бланк!D15*10</f>
        <v>0</v>
      </c>
      <c r="BA39" s="11">
        <f>Бланк!F15*6</f>
        <v>0</v>
      </c>
      <c r="BB39" t="s">
        <v>66</v>
      </c>
      <c r="BC39" s="11">
        <f>0.9*BC40</f>
        <v>90</v>
      </c>
      <c r="BD39" s="231">
        <v>40</v>
      </c>
      <c r="BE39" s="232" t="s">
        <v>290</v>
      </c>
      <c r="BF39" s="7"/>
      <c r="BG39" s="7"/>
      <c r="BH39" s="878"/>
      <c r="BI39" s="1073" t="s">
        <v>573</v>
      </c>
      <c r="BJ39" s="1074">
        <v>520</v>
      </c>
      <c r="BK39" s="878"/>
      <c r="BL39" s="7"/>
      <c r="BO39" s="41"/>
      <c r="BP39" s="41"/>
      <c r="BQ39" s="213" t="s">
        <v>93</v>
      </c>
      <c r="BR39" s="213" t="str">
        <f>Проверки!S13</f>
        <v/>
      </c>
      <c r="BS39" s="213" t="str">
        <f>IF(Проверки!M13,MID(Проверки!C13,1,1),"")</f>
        <v/>
      </c>
      <c r="BT39" s="213" t="str">
        <f>IF(Проверки!M13,IF(Проверки!D13&lt;=63,63,125),IF(Проверки!G13+Проверки!I13+Проверки!K13,Проверки!D13,""))</f>
        <v/>
      </c>
      <c r="BU39" s="213"/>
      <c r="BV39" s="213" t="str">
        <f t="shared" si="19"/>
        <v/>
      </c>
      <c r="BW39" s="213">
        <f t="shared" si="20"/>
        <v>1</v>
      </c>
      <c r="BX39" s="213" t="str">
        <f t="shared" ca="1" si="21"/>
        <v>B</v>
      </c>
      <c r="BY39" s="213">
        <f t="shared" ca="1" si="22"/>
        <v>1</v>
      </c>
      <c r="BZ39" s="213" t="s">
        <v>30</v>
      </c>
      <c r="CA39" s="41"/>
      <c r="CB39" s="41" t="str">
        <f t="shared" si="3"/>
        <v>iC60363</v>
      </c>
      <c r="CC39" s="213" t="s">
        <v>105</v>
      </c>
      <c r="CD39" s="213">
        <v>3</v>
      </c>
      <c r="CE39" s="214">
        <v>63</v>
      </c>
      <c r="CF39" s="214"/>
      <c r="CG39" s="201" t="s">
        <v>602</v>
      </c>
      <c r="CH39" s="7"/>
      <c r="CI39" s="7"/>
      <c r="DG39" s="400"/>
      <c r="DH39" s="22"/>
      <c r="DI39" s="22"/>
      <c r="DJ39" s="22"/>
      <c r="DK39" s="344"/>
      <c r="DL39" s="375" t="str">
        <f t="shared" si="23"/>
        <v>TN-C-S1125</v>
      </c>
      <c r="DM39" s="376" t="s">
        <v>7</v>
      </c>
      <c r="DN39" s="376">
        <v>1</v>
      </c>
      <c r="DO39" s="376">
        <v>125</v>
      </c>
      <c r="DP39" s="376">
        <v>1</v>
      </c>
      <c r="DQ39" s="377" t="s">
        <v>391</v>
      </c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22"/>
      <c r="EG39" s="22"/>
      <c r="EH39" s="22"/>
      <c r="EI39" s="22"/>
      <c r="EJ39" s="22"/>
      <c r="EK39" s="22"/>
      <c r="EL39" s="22"/>
      <c r="EM39" s="22"/>
      <c r="EN39" s="344"/>
      <c r="EO39" s="344"/>
      <c r="EP39" s="22"/>
      <c r="EQ39" s="22"/>
      <c r="ER39" s="22"/>
      <c r="EU39" s="344"/>
      <c r="EV39" s="22"/>
      <c r="EW39" s="22"/>
      <c r="EX39" s="22"/>
      <c r="EY39" s="22"/>
      <c r="EZ39" s="22"/>
      <c r="FA39" s="22"/>
      <c r="FB39" s="22"/>
      <c r="FC39" s="22"/>
      <c r="FD39" s="22"/>
      <c r="FE39" s="22"/>
    </row>
    <row r="40" spans="7:161" x14ac:dyDescent="0.2">
      <c r="X40" s="49" t="s">
        <v>125</v>
      </c>
      <c r="AA40" s="116" t="s">
        <v>329</v>
      </c>
      <c r="AB40" s="437">
        <v>4</v>
      </c>
      <c r="AC40" s="8" t="s">
        <v>149</v>
      </c>
      <c r="AD40" s="11" t="s">
        <v>140</v>
      </c>
      <c r="AE40" s="8" t="s">
        <v>21</v>
      </c>
      <c r="AF40" s="736">
        <v>5</v>
      </c>
      <c r="AG40" s="232" t="s">
        <v>21</v>
      </c>
      <c r="AH40" s="259">
        <v>2</v>
      </c>
      <c r="AI40" s="102"/>
      <c r="AJ40" s="102" t="str">
        <f t="shared" si="1"/>
        <v>iC60L</v>
      </c>
      <c r="AK40" s="201" t="s">
        <v>21</v>
      </c>
      <c r="AL40" s="201"/>
      <c r="AM40" s="240">
        <v>1.6</v>
      </c>
      <c r="AN40" s="102"/>
      <c r="AO40" s="102" t="str">
        <f t="shared" si="2"/>
        <v>iC60N25</v>
      </c>
      <c r="AP40" s="222" t="s">
        <v>19</v>
      </c>
      <c r="AQ40" s="222"/>
      <c r="AR40" s="256">
        <v>25</v>
      </c>
      <c r="AS40" s="222" t="s">
        <v>58</v>
      </c>
      <c r="AT40" s="102"/>
      <c r="AU40" s="232" t="s">
        <v>126</v>
      </c>
      <c r="AV40" s="254" t="s">
        <v>58</v>
      </c>
      <c r="AW40" s="206">
        <v>250</v>
      </c>
      <c r="AX40" s="204" t="s">
        <v>74</v>
      </c>
      <c r="AY40" s="110"/>
      <c r="AZ40" s="32"/>
      <c r="BA40" s="11">
        <f>Бланк!F15*7</f>
        <v>0</v>
      </c>
      <c r="BB40" t="s">
        <v>66</v>
      </c>
      <c r="BC40" s="11">
        <v>100</v>
      </c>
      <c r="BD40" s="231">
        <v>40</v>
      </c>
      <c r="BE40" s="232" t="s">
        <v>287</v>
      </c>
      <c r="BF40" s="7"/>
      <c r="BG40" s="7"/>
      <c r="BH40" s="878"/>
      <c r="BI40" s="1073" t="s">
        <v>74</v>
      </c>
      <c r="BJ40" s="1074"/>
      <c r="BK40" s="878"/>
      <c r="BL40" s="7"/>
      <c r="BO40" s="41"/>
      <c r="BP40" s="41"/>
      <c r="BQ40" s="213" t="s">
        <v>94</v>
      </c>
      <c r="BR40" s="213" t="str">
        <f>Проверки!S14</f>
        <v/>
      </c>
      <c r="BS40" s="213" t="str">
        <f>IF(Проверки!M14,MID(Проверки!C14,1,1),"")</f>
        <v/>
      </c>
      <c r="BT40" s="213" t="str">
        <f>IF(Проверки!M14,IF(Проверки!D14&lt;=63,63,125),IF(Проверки!G14+Проверки!I14+Проверки!K14,Проверки!D14,""))</f>
        <v/>
      </c>
      <c r="BU40" s="213"/>
      <c r="BV40" s="213" t="str">
        <f t="shared" si="19"/>
        <v/>
      </c>
      <c r="BW40" s="213">
        <f t="shared" si="20"/>
        <v>1</v>
      </c>
      <c r="BX40" s="213" t="str">
        <f t="shared" ca="1" si="21"/>
        <v>B</v>
      </c>
      <c r="BY40" s="213">
        <f t="shared" ca="1" si="22"/>
        <v>1</v>
      </c>
      <c r="BZ40" s="213"/>
      <c r="CA40" s="41"/>
      <c r="CB40" s="41" t="str">
        <f t="shared" si="3"/>
        <v>iC60363</v>
      </c>
      <c r="CC40" s="213" t="s">
        <v>105</v>
      </c>
      <c r="CD40" s="213">
        <v>3</v>
      </c>
      <c r="CE40" s="214">
        <v>63</v>
      </c>
      <c r="CF40" s="214"/>
      <c r="CG40" s="201" t="s">
        <v>603</v>
      </c>
      <c r="CH40" s="7"/>
      <c r="CI40" s="7"/>
      <c r="DG40" s="400"/>
      <c r="DH40" s="22"/>
      <c r="DI40" s="22"/>
      <c r="DJ40" s="22"/>
      <c r="DK40" s="344"/>
      <c r="DL40" s="375" t="str">
        <f t="shared" si="23"/>
        <v>TN-C-S1160</v>
      </c>
      <c r="DM40" s="376" t="s">
        <v>7</v>
      </c>
      <c r="DN40" s="376">
        <v>1</v>
      </c>
      <c r="DO40" s="376">
        <v>160</v>
      </c>
      <c r="DP40" s="376">
        <v>1</v>
      </c>
      <c r="DQ40" s="377" t="s">
        <v>392</v>
      </c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22"/>
      <c r="EG40" s="22"/>
      <c r="EH40" s="22"/>
      <c r="EI40" s="22"/>
      <c r="EJ40" s="22"/>
      <c r="EK40" s="22"/>
      <c r="EL40" s="22"/>
      <c r="EM40" s="22"/>
      <c r="EN40" s="344"/>
      <c r="EO40" s="344"/>
      <c r="EP40" s="22"/>
      <c r="EQ40" s="22"/>
      <c r="ER40" s="22"/>
      <c r="EU40" s="344"/>
      <c r="EV40" s="22"/>
      <c r="EW40" s="22"/>
      <c r="EX40" s="22"/>
      <c r="EY40" s="22"/>
      <c r="EZ40" s="22"/>
      <c r="FA40" s="22"/>
      <c r="FB40" s="22"/>
      <c r="FC40" s="22"/>
      <c r="FD40" s="22"/>
      <c r="FE40" s="22"/>
    </row>
    <row r="41" spans="7:161" x14ac:dyDescent="0.2">
      <c r="X41" s="49" t="s">
        <v>126</v>
      </c>
      <c r="AA41" s="116" t="s">
        <v>330</v>
      </c>
      <c r="AB41" s="437">
        <v>1</v>
      </c>
      <c r="AC41" s="8" t="s">
        <v>149</v>
      </c>
      <c r="AD41" s="11" t="s">
        <v>141</v>
      </c>
      <c r="AE41" s="8" t="s">
        <v>21</v>
      </c>
      <c r="AF41" s="736">
        <v>6</v>
      </c>
      <c r="AG41" s="232" t="s">
        <v>21</v>
      </c>
      <c r="AH41" s="259">
        <v>3</v>
      </c>
      <c r="AI41" s="102"/>
      <c r="AJ41" s="102" t="str">
        <f t="shared" si="1"/>
        <v>iC60L</v>
      </c>
      <c r="AK41" s="201" t="s">
        <v>21</v>
      </c>
      <c r="AL41" s="214"/>
      <c r="AM41" s="240">
        <v>2</v>
      </c>
      <c r="AN41" s="102"/>
      <c r="AO41" s="102" t="str">
        <f t="shared" si="2"/>
        <v>iC60N25</v>
      </c>
      <c r="AP41" s="222" t="s">
        <v>19</v>
      </c>
      <c r="AQ41" s="222"/>
      <c r="AR41" s="256">
        <v>25</v>
      </c>
      <c r="AS41" s="222" t="s">
        <v>59</v>
      </c>
      <c r="AT41" s="102"/>
      <c r="AU41" s="232" t="s">
        <v>126</v>
      </c>
      <c r="AV41" s="254" t="s">
        <v>59</v>
      </c>
      <c r="AW41" s="206">
        <v>250</v>
      </c>
      <c r="AX41" s="204" t="s">
        <v>558</v>
      </c>
      <c r="AY41" s="110"/>
      <c r="AZ41" s="32"/>
      <c r="BA41" s="11">
        <f>Бланк!F15*8</f>
        <v>0</v>
      </c>
      <c r="BB41" t="s">
        <v>67</v>
      </c>
      <c r="BC41" s="11">
        <f>0.7*BC44</f>
        <v>87.5</v>
      </c>
      <c r="BD41" s="231">
        <v>40</v>
      </c>
      <c r="BE41" s="232" t="s">
        <v>291</v>
      </c>
      <c r="BF41" s="7"/>
      <c r="BG41" s="7"/>
      <c r="BH41" s="878"/>
      <c r="BI41" s="1073" t="s">
        <v>558</v>
      </c>
      <c r="BJ41" s="1074"/>
      <c r="BK41" s="878"/>
      <c r="BL41" s="7"/>
      <c r="BO41" s="41"/>
      <c r="BP41" s="41"/>
      <c r="BQ41" s="213" t="s">
        <v>162</v>
      </c>
      <c r="BR41" s="213" t="str">
        <f>Проверки!S15</f>
        <v/>
      </c>
      <c r="BS41" s="213" t="str">
        <f>IF(Проверки!M15,MID(Проверки!C15,1,1),"")</f>
        <v/>
      </c>
      <c r="BT41" s="213" t="str">
        <f>IF(Проверки!M15,IF(Проверки!D15&lt;=63,63,125),IF(Проверки!G15+Проверки!I15+Проверки!K15,Проверки!D15,""))</f>
        <v/>
      </c>
      <c r="BU41" s="213"/>
      <c r="BV41" s="213" t="str">
        <f t="shared" si="19"/>
        <v/>
      </c>
      <c r="BW41" s="213">
        <f t="shared" si="20"/>
        <v>1</v>
      </c>
      <c r="BX41" s="213" t="str">
        <f t="shared" ca="1" si="21"/>
        <v>B</v>
      </c>
      <c r="BY41" s="213">
        <f t="shared" ca="1" si="22"/>
        <v>1</v>
      </c>
      <c r="BZ41" s="213"/>
      <c r="CA41" s="41"/>
      <c r="CB41" s="41" t="str">
        <f t="shared" si="3"/>
        <v>iC60363</v>
      </c>
      <c r="CC41" s="213" t="s">
        <v>105</v>
      </c>
      <c r="CD41" s="213">
        <v>3</v>
      </c>
      <c r="CE41" s="214">
        <v>63</v>
      </c>
      <c r="CF41" s="214"/>
      <c r="CG41" s="201" t="s">
        <v>604</v>
      </c>
      <c r="CH41" s="7"/>
      <c r="CI41" s="7"/>
      <c r="DG41" s="400"/>
      <c r="DH41" s="22"/>
      <c r="DI41" s="22"/>
      <c r="DJ41" s="22"/>
      <c r="DK41" s="344"/>
      <c r="DL41" s="375" t="str">
        <f t="shared" si="23"/>
        <v>TN-C-S1200</v>
      </c>
      <c r="DM41" s="376" t="s">
        <v>7</v>
      </c>
      <c r="DN41" s="376">
        <v>1</v>
      </c>
      <c r="DO41" s="376">
        <v>200</v>
      </c>
      <c r="DP41" s="376">
        <v>1</v>
      </c>
      <c r="DQ41" s="377" t="s">
        <v>393</v>
      </c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22"/>
      <c r="EG41" s="22"/>
      <c r="EH41" s="22"/>
      <c r="EI41" s="22"/>
      <c r="EJ41" s="22"/>
      <c r="EK41" s="22"/>
      <c r="EL41" s="22"/>
      <c r="EM41" s="22"/>
      <c r="EN41" s="344"/>
      <c r="EO41" s="344"/>
      <c r="EP41" s="22"/>
      <c r="EQ41" s="22"/>
      <c r="ER41" s="22"/>
      <c r="EU41" s="344"/>
      <c r="EV41" s="22"/>
      <c r="EW41" s="22"/>
      <c r="EX41" s="22"/>
      <c r="EY41" s="22"/>
      <c r="EZ41" s="22"/>
      <c r="FA41" s="22"/>
      <c r="FB41" s="22"/>
      <c r="FC41" s="22"/>
      <c r="FD41" s="22"/>
      <c r="FE41" s="22"/>
    </row>
    <row r="42" spans="7:161" x14ac:dyDescent="0.2">
      <c r="X42" s="49" t="s">
        <v>337</v>
      </c>
      <c r="AA42" s="116" t="s">
        <v>330</v>
      </c>
      <c r="AB42" s="437">
        <v>2</v>
      </c>
      <c r="AC42" s="8" t="s">
        <v>149</v>
      </c>
      <c r="AD42" s="11" t="s">
        <v>312</v>
      </c>
      <c r="AE42" s="8" t="s">
        <v>21</v>
      </c>
      <c r="AF42" s="736">
        <v>10</v>
      </c>
      <c r="AG42" s="232" t="s">
        <v>21</v>
      </c>
      <c r="AH42" s="259">
        <v>4</v>
      </c>
      <c r="AI42" s="102"/>
      <c r="AJ42" s="102" t="str">
        <f t="shared" si="1"/>
        <v>iC60L</v>
      </c>
      <c r="AK42" s="201" t="s">
        <v>21</v>
      </c>
      <c r="AL42" s="214"/>
      <c r="AM42" s="240">
        <v>3</v>
      </c>
      <c r="AN42" s="102"/>
      <c r="AO42" s="102" t="str">
        <f t="shared" si="2"/>
        <v>iC60N32</v>
      </c>
      <c r="AP42" s="222" t="s">
        <v>19</v>
      </c>
      <c r="AQ42" s="222"/>
      <c r="AR42" s="256">
        <v>32</v>
      </c>
      <c r="AS42" s="222" t="s">
        <v>57</v>
      </c>
      <c r="AT42" s="102"/>
      <c r="AU42" s="255" t="s">
        <v>337</v>
      </c>
      <c r="AV42" s="254" t="s">
        <v>30</v>
      </c>
      <c r="AW42" s="206">
        <v>250</v>
      </c>
      <c r="AX42" s="204" t="s">
        <v>1254</v>
      </c>
      <c r="AY42" s="110"/>
      <c r="AZ42" s="32"/>
      <c r="BA42" s="11">
        <f>Бланк!F15*10</f>
        <v>0</v>
      </c>
      <c r="BB42" t="s">
        <v>67</v>
      </c>
      <c r="BC42" s="11">
        <f>0.8*BC44</f>
        <v>100</v>
      </c>
      <c r="BD42" s="231">
        <v>40</v>
      </c>
      <c r="BE42" s="232" t="s">
        <v>292</v>
      </c>
      <c r="BF42" s="7"/>
      <c r="BG42" s="7"/>
      <c r="BH42" s="878"/>
      <c r="BI42" s="1073" t="s">
        <v>1254</v>
      </c>
      <c r="BJ42" s="1074"/>
      <c r="BK42" s="878"/>
      <c r="BL42" s="7"/>
      <c r="BO42" s="7"/>
      <c r="BP42" s="7"/>
      <c r="BQ42" s="213" t="s">
        <v>163</v>
      </c>
      <c r="BR42" s="213" t="str">
        <f>Проверки!S16</f>
        <v/>
      </c>
      <c r="BS42" s="213" t="str">
        <f>IF(Проверки!M16,MID(Проверки!C16,1,1),"")</f>
        <v/>
      </c>
      <c r="BT42" s="213" t="str">
        <f>IF(Проверки!M16,IF(Проверки!D16&lt;=63,63,125),IF(Проверки!G16+Проверки!I16+Проверки!K16,Проверки!D16,""))</f>
        <v/>
      </c>
      <c r="BU42" s="213"/>
      <c r="BV42" s="213" t="str">
        <f t="shared" si="19"/>
        <v/>
      </c>
      <c r="BW42" s="213">
        <f t="shared" si="20"/>
        <v>1</v>
      </c>
      <c r="BX42" s="213" t="str">
        <f t="shared" ca="1" si="21"/>
        <v>B</v>
      </c>
      <c r="BY42" s="213">
        <f t="shared" ca="1" si="22"/>
        <v>1</v>
      </c>
      <c r="BZ42" s="213"/>
      <c r="CA42" s="41"/>
      <c r="CB42" s="41" t="str">
        <f t="shared" si="3"/>
        <v>iC60425</v>
      </c>
      <c r="CC42" s="213" t="s">
        <v>105</v>
      </c>
      <c r="CD42" s="213">
        <v>4</v>
      </c>
      <c r="CE42" s="214">
        <v>25</v>
      </c>
      <c r="CF42" s="214"/>
      <c r="CG42" s="201" t="s">
        <v>30</v>
      </c>
      <c r="CH42" s="7"/>
      <c r="CI42" s="7"/>
      <c r="DG42" s="400"/>
      <c r="DH42" s="22"/>
      <c r="DI42" s="22"/>
      <c r="DJ42" s="22"/>
      <c r="DK42" s="344"/>
      <c r="DL42" s="375" t="str">
        <f t="shared" si="23"/>
        <v>TN-C-S1250</v>
      </c>
      <c r="DM42" s="376" t="s">
        <v>7</v>
      </c>
      <c r="DN42" s="376">
        <v>1</v>
      </c>
      <c r="DO42" s="376">
        <v>250</v>
      </c>
      <c r="DP42" s="376">
        <v>1</v>
      </c>
      <c r="DQ42" s="377" t="s">
        <v>394</v>
      </c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22"/>
      <c r="EG42" s="22"/>
      <c r="EH42" s="22"/>
      <c r="EI42" s="22"/>
      <c r="EJ42" s="22"/>
      <c r="EK42" s="22"/>
      <c r="EL42" s="22"/>
      <c r="EM42" s="22"/>
      <c r="EN42" s="344"/>
      <c r="EO42" s="344"/>
      <c r="EP42" s="22"/>
      <c r="EQ42" s="22"/>
      <c r="ER42" s="22"/>
      <c r="EU42" s="344"/>
      <c r="EV42" s="22"/>
      <c r="EW42" s="22"/>
      <c r="EX42" s="22"/>
      <c r="EY42" s="22"/>
      <c r="EZ42" s="22"/>
      <c r="FA42" s="22"/>
      <c r="FB42" s="22"/>
      <c r="FC42" s="22"/>
      <c r="FD42" s="22"/>
      <c r="FE42" s="22"/>
    </row>
    <row r="43" spans="7:161" x14ac:dyDescent="0.2">
      <c r="X43" s="49" t="s">
        <v>332</v>
      </c>
      <c r="AA43" s="116" t="s">
        <v>330</v>
      </c>
      <c r="AB43" s="437">
        <v>3</v>
      </c>
      <c r="AC43" s="8" t="s">
        <v>149</v>
      </c>
      <c r="AD43" s="11">
        <v>3</v>
      </c>
      <c r="AE43" s="8" t="s">
        <v>21</v>
      </c>
      <c r="AF43" s="736">
        <v>13</v>
      </c>
      <c r="AG43" s="232" t="s">
        <v>21</v>
      </c>
      <c r="AH43" s="259">
        <v>5</v>
      </c>
      <c r="AI43" s="102"/>
      <c r="AJ43" s="102" t="str">
        <f t="shared" si="1"/>
        <v>iC60L</v>
      </c>
      <c r="AK43" s="201" t="s">
        <v>21</v>
      </c>
      <c r="AL43" s="214"/>
      <c r="AM43" s="240">
        <v>4</v>
      </c>
      <c r="AN43" s="102"/>
      <c r="AO43" s="102" t="str">
        <f t="shared" si="2"/>
        <v>iC60N32</v>
      </c>
      <c r="AP43" s="222" t="s">
        <v>19</v>
      </c>
      <c r="AQ43" s="222"/>
      <c r="AR43" s="256">
        <v>32</v>
      </c>
      <c r="AS43" s="222" t="s">
        <v>58</v>
      </c>
      <c r="AT43" s="102"/>
      <c r="AU43" s="255" t="s">
        <v>332</v>
      </c>
      <c r="AV43" s="254" t="s">
        <v>30</v>
      </c>
      <c r="AW43" s="206">
        <v>250</v>
      </c>
      <c r="AX43" s="204" t="s">
        <v>1255</v>
      </c>
      <c r="AY43" s="110"/>
      <c r="AZ43" s="1430" t="s">
        <v>88</v>
      </c>
      <c r="BA43" s="1431"/>
      <c r="BB43" t="s">
        <v>67</v>
      </c>
      <c r="BC43" s="11">
        <f>0.9*BC44</f>
        <v>112.5</v>
      </c>
      <c r="BD43" s="231">
        <v>63</v>
      </c>
      <c r="BE43" s="232" t="s">
        <v>595</v>
      </c>
      <c r="BF43" s="7"/>
      <c r="BG43" s="7"/>
      <c r="BH43" s="878"/>
      <c r="BI43" s="1073" t="s">
        <v>1255</v>
      </c>
      <c r="BJ43" s="1074"/>
      <c r="BK43" s="878"/>
      <c r="BL43" s="7"/>
      <c r="BO43" s="7"/>
      <c r="BP43" s="7"/>
      <c r="BQ43" s="213" t="s">
        <v>164</v>
      </c>
      <c r="BR43" s="213" t="str">
        <f>Проверки!S17</f>
        <v/>
      </c>
      <c r="BS43" s="213" t="str">
        <f>IF(Проверки!M17,MID(Проверки!C17,1,1),"")</f>
        <v/>
      </c>
      <c r="BT43" s="213" t="str">
        <f>IF(Проверки!M17,IF(Проверки!D17&lt;=63,63,125),IF(Проверки!G17+Проверки!I17+Проверки!K17,Проверки!D17,""))</f>
        <v/>
      </c>
      <c r="BU43" s="213"/>
      <c r="BV43" s="213" t="str">
        <f t="shared" si="19"/>
        <v/>
      </c>
      <c r="BW43" s="213">
        <f t="shared" si="20"/>
        <v>1</v>
      </c>
      <c r="BX43" s="213" t="str">
        <f t="shared" ca="1" si="21"/>
        <v>B</v>
      </c>
      <c r="BY43" s="213">
        <f t="shared" ca="1" si="22"/>
        <v>1</v>
      </c>
      <c r="BZ43" s="213"/>
      <c r="CA43" s="41"/>
      <c r="CB43" s="41" t="str">
        <f t="shared" si="3"/>
        <v>iC60425</v>
      </c>
      <c r="CC43" s="213" t="s">
        <v>105</v>
      </c>
      <c r="CD43" s="213">
        <v>4</v>
      </c>
      <c r="CE43" s="214">
        <v>25</v>
      </c>
      <c r="CF43" s="214"/>
      <c r="CG43" s="201" t="s">
        <v>595</v>
      </c>
      <c r="CH43" s="7"/>
      <c r="CI43" s="7"/>
      <c r="DG43" s="400"/>
      <c r="DH43" s="22"/>
      <c r="DI43" s="22"/>
      <c r="DJ43" s="22"/>
      <c r="DK43" s="344"/>
      <c r="DL43" s="375" t="str">
        <f t="shared" si="23"/>
        <v>TN-C-S1400</v>
      </c>
      <c r="DM43" s="376" t="s">
        <v>7</v>
      </c>
      <c r="DN43" s="376">
        <v>1</v>
      </c>
      <c r="DO43" s="376">
        <v>400</v>
      </c>
      <c r="DP43" s="376">
        <v>2</v>
      </c>
      <c r="DQ43" s="377" t="s">
        <v>393</v>
      </c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22"/>
      <c r="EG43" s="22"/>
      <c r="EH43" s="22"/>
      <c r="EI43" s="22"/>
      <c r="EJ43" s="22"/>
      <c r="EK43" s="22"/>
      <c r="EL43" s="22"/>
      <c r="EM43" s="22"/>
      <c r="EN43" s="344"/>
      <c r="EO43" s="344"/>
      <c r="EP43" s="22"/>
      <c r="EQ43" s="22"/>
      <c r="ER43" s="22"/>
      <c r="EU43" s="344"/>
      <c r="EV43" s="22"/>
      <c r="EW43" s="22"/>
      <c r="EX43" s="22"/>
      <c r="EY43" s="22"/>
      <c r="EZ43" s="22"/>
      <c r="FA43" s="22"/>
      <c r="FB43" s="22"/>
      <c r="FC43" s="22"/>
      <c r="FD43" s="22"/>
      <c r="FE43" s="22"/>
    </row>
    <row r="44" spans="7:161" x14ac:dyDescent="0.2">
      <c r="X44" s="49" t="s">
        <v>333</v>
      </c>
      <c r="AA44" s="116" t="s">
        <v>330</v>
      </c>
      <c r="AB44" s="437">
        <v>4</v>
      </c>
      <c r="AC44" s="8" t="s">
        <v>149</v>
      </c>
      <c r="AD44" s="11">
        <v>4</v>
      </c>
      <c r="AE44" s="8" t="s">
        <v>21</v>
      </c>
      <c r="AF44" s="736">
        <v>15</v>
      </c>
      <c r="AG44" s="232" t="s">
        <v>21</v>
      </c>
      <c r="AH44" s="259">
        <v>6</v>
      </c>
      <c r="AI44" s="102"/>
      <c r="AJ44" s="102" t="str">
        <f t="shared" si="1"/>
        <v>iC60L</v>
      </c>
      <c r="AK44" s="201" t="s">
        <v>21</v>
      </c>
      <c r="AL44" s="240"/>
      <c r="AM44" s="240">
        <v>5</v>
      </c>
      <c r="AN44" s="102"/>
      <c r="AO44" s="102" t="str">
        <f t="shared" si="2"/>
        <v>iC60N32</v>
      </c>
      <c r="AP44" s="222" t="s">
        <v>19</v>
      </c>
      <c r="AQ44" s="222"/>
      <c r="AR44" s="256">
        <v>32</v>
      </c>
      <c r="AS44" s="222" t="s">
        <v>59</v>
      </c>
      <c r="AT44" s="102"/>
      <c r="AU44" s="255" t="s">
        <v>333</v>
      </c>
      <c r="AV44" s="254" t="s">
        <v>30</v>
      </c>
      <c r="AW44" s="206">
        <v>250</v>
      </c>
      <c r="AX44" s="204" t="s">
        <v>1256</v>
      </c>
      <c r="AY44" s="110"/>
      <c r="AZ44" s="32">
        <f>Бланк!D16*5</f>
        <v>0</v>
      </c>
      <c r="BA44" s="11">
        <f>Бланк!F16*1.5</f>
        <v>0</v>
      </c>
      <c r="BB44" t="s">
        <v>67</v>
      </c>
      <c r="BC44" s="11">
        <v>125</v>
      </c>
      <c r="BD44" s="231">
        <v>63</v>
      </c>
      <c r="BE44" s="232" t="s">
        <v>596</v>
      </c>
      <c r="BF44" s="7"/>
      <c r="BG44" s="7"/>
      <c r="BH44" s="878"/>
      <c r="BI44" s="1073" t="s">
        <v>1256</v>
      </c>
      <c r="BJ44" s="1074"/>
      <c r="BK44" s="878"/>
      <c r="BL44" s="7"/>
      <c r="BO44" s="7"/>
      <c r="BP44" s="7"/>
      <c r="BQ44" s="213" t="s">
        <v>165</v>
      </c>
      <c r="BR44" s="213" t="str">
        <f>Проверки!S18</f>
        <v/>
      </c>
      <c r="BS44" s="213" t="str">
        <f>IF(Проверки!M18,MID(Проверки!C18,1,1),"")</f>
        <v/>
      </c>
      <c r="BT44" s="213" t="str">
        <f>IF(Проверки!M18,IF(Проверки!D18&lt;=63,63,125),IF(Проверки!G18+Проверки!I18+Проверки!K18,Проверки!D18,""))</f>
        <v/>
      </c>
      <c r="BU44" s="213"/>
      <c r="BV44" s="213" t="str">
        <f t="shared" si="19"/>
        <v/>
      </c>
      <c r="BW44" s="213">
        <f t="shared" si="20"/>
        <v>1</v>
      </c>
      <c r="BX44" s="213" t="str">
        <f t="shared" ca="1" si="21"/>
        <v>B</v>
      </c>
      <c r="BY44" s="213">
        <f t="shared" ca="1" si="22"/>
        <v>1</v>
      </c>
      <c r="BZ44" s="213"/>
      <c r="CA44" s="41"/>
      <c r="CB44" s="41" t="str">
        <f t="shared" si="3"/>
        <v>iC60425</v>
      </c>
      <c r="CC44" s="213" t="s">
        <v>105</v>
      </c>
      <c r="CD44" s="213">
        <v>4</v>
      </c>
      <c r="CE44" s="214">
        <v>25</v>
      </c>
      <c r="CF44" s="214"/>
      <c r="CG44" s="201" t="s">
        <v>596</v>
      </c>
      <c r="CH44" s="7"/>
      <c r="CI44" s="7"/>
      <c r="DG44" s="400"/>
      <c r="DH44" s="22"/>
      <c r="DI44" s="22"/>
      <c r="DJ44" s="22"/>
      <c r="DK44" s="344"/>
      <c r="DL44" s="375" t="str">
        <f t="shared" si="23"/>
        <v>TN-C-S1630</v>
      </c>
      <c r="DM44" s="376" t="s">
        <v>7</v>
      </c>
      <c r="DN44" s="376">
        <v>1</v>
      </c>
      <c r="DO44" s="376">
        <v>630</v>
      </c>
      <c r="DP44" s="376">
        <v>2</v>
      </c>
      <c r="DQ44" s="377" t="s">
        <v>396</v>
      </c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22"/>
      <c r="EG44" s="22"/>
      <c r="EH44" s="22"/>
      <c r="EI44" s="22"/>
      <c r="EJ44" s="22"/>
      <c r="EK44" s="22"/>
      <c r="EL44" s="22"/>
      <c r="EM44" s="22"/>
      <c r="EN44" s="344"/>
      <c r="EO44" s="344"/>
      <c r="EP44" s="22"/>
      <c r="EQ44" s="22"/>
      <c r="ER44" s="22"/>
      <c r="EU44" s="344"/>
      <c r="EV44" s="22"/>
      <c r="EW44" s="22"/>
      <c r="EX44" s="22"/>
      <c r="EY44" s="22"/>
      <c r="EZ44" s="22"/>
      <c r="FA44" s="22"/>
      <c r="FB44" s="22"/>
      <c r="FC44" s="22"/>
      <c r="FD44" s="22"/>
      <c r="FE44" s="22"/>
    </row>
    <row r="45" spans="7:161" x14ac:dyDescent="0.2">
      <c r="X45" s="49" t="s">
        <v>334</v>
      </c>
      <c r="AA45" s="8" t="s">
        <v>22</v>
      </c>
      <c r="AB45" s="437">
        <v>3</v>
      </c>
      <c r="AC45" s="8" t="s">
        <v>150</v>
      </c>
      <c r="AD45" s="11" t="s">
        <v>139</v>
      </c>
      <c r="AE45" s="8" t="s">
        <v>21</v>
      </c>
      <c r="AF45" s="107">
        <v>16</v>
      </c>
      <c r="AG45" s="232" t="s">
        <v>21</v>
      </c>
      <c r="AH45" s="259">
        <v>10</v>
      </c>
      <c r="AI45" s="102"/>
      <c r="AJ45" s="102" t="str">
        <f t="shared" si="1"/>
        <v>iC60L</v>
      </c>
      <c r="AK45" s="201" t="s">
        <v>21</v>
      </c>
      <c r="AL45" s="240"/>
      <c r="AM45" s="240">
        <v>6</v>
      </c>
      <c r="AN45" s="102"/>
      <c r="AO45" s="102" t="str">
        <f t="shared" si="2"/>
        <v>iC60N40</v>
      </c>
      <c r="AP45" s="222" t="s">
        <v>19</v>
      </c>
      <c r="AQ45" s="222"/>
      <c r="AR45" s="256">
        <v>40</v>
      </c>
      <c r="AS45" s="222" t="s">
        <v>57</v>
      </c>
      <c r="AT45" s="102"/>
      <c r="AU45" s="255" t="s">
        <v>334</v>
      </c>
      <c r="AV45" s="254" t="s">
        <v>30</v>
      </c>
      <c r="AW45" s="206">
        <v>400</v>
      </c>
      <c r="AX45" s="204" t="s">
        <v>75</v>
      </c>
      <c r="AY45" s="110"/>
      <c r="AZ45" s="32">
        <f>Бланк!D16*6</f>
        <v>0</v>
      </c>
      <c r="BA45" s="11">
        <f>Бланк!F16*2</f>
        <v>0</v>
      </c>
      <c r="BB45" t="s">
        <v>68</v>
      </c>
      <c r="BC45" s="11">
        <f>0.7*BC48</f>
        <v>112</v>
      </c>
      <c r="BD45" s="231">
        <v>63</v>
      </c>
      <c r="BE45" s="232" t="s">
        <v>597</v>
      </c>
      <c r="BF45" s="7"/>
      <c r="BG45" s="7"/>
      <c r="BH45" s="878"/>
      <c r="BI45" s="1073" t="s">
        <v>75</v>
      </c>
      <c r="BJ45" s="1074"/>
      <c r="BK45" s="878"/>
      <c r="BL45" s="7"/>
      <c r="BO45" s="7"/>
      <c r="BP45" s="7"/>
      <c r="BQ45" s="213" t="s">
        <v>166</v>
      </c>
      <c r="BR45" s="213" t="str">
        <f>Проверки!S19</f>
        <v/>
      </c>
      <c r="BS45" s="213" t="str">
        <f>IF(Проверки!M19,MID(Проверки!C19,1,1),"")</f>
        <v/>
      </c>
      <c r="BT45" s="213" t="str">
        <f>IF(Проверки!M19,IF(Проверки!D19&lt;=63,63,125),IF(Проверки!G19+Проверки!I19+Проверки!K19,Проверки!D19,""))</f>
        <v/>
      </c>
      <c r="BU45" s="213"/>
      <c r="BV45" s="213" t="str">
        <f t="shared" si="19"/>
        <v/>
      </c>
      <c r="BW45" s="213">
        <f t="shared" si="20"/>
        <v>1</v>
      </c>
      <c r="BX45" s="213" t="str">
        <f t="shared" ca="1" si="21"/>
        <v>B</v>
      </c>
      <c r="BY45" s="213">
        <f t="shared" ca="1" si="22"/>
        <v>1</v>
      </c>
      <c r="BZ45" s="213"/>
      <c r="CA45" s="41"/>
      <c r="CB45" s="41" t="str">
        <f t="shared" si="3"/>
        <v>iC60425</v>
      </c>
      <c r="CC45" s="213" t="s">
        <v>105</v>
      </c>
      <c r="CD45" s="213">
        <v>4</v>
      </c>
      <c r="CE45" s="214">
        <v>25</v>
      </c>
      <c r="CF45" s="214"/>
      <c r="CG45" s="201" t="s">
        <v>597</v>
      </c>
      <c r="CH45" s="7"/>
      <c r="CI45" s="7"/>
      <c r="DG45" s="400"/>
      <c r="DH45" s="22"/>
      <c r="DI45" s="22"/>
      <c r="DJ45" s="22"/>
      <c r="DK45" s="344"/>
      <c r="DL45" s="375" t="str">
        <f t="shared" si="23"/>
        <v>TN-C-S210</v>
      </c>
      <c r="DM45" s="376" t="s">
        <v>7</v>
      </c>
      <c r="DN45" s="376">
        <v>2</v>
      </c>
      <c r="DO45" s="376">
        <v>10</v>
      </c>
      <c r="DP45" s="376">
        <v>1</v>
      </c>
      <c r="DQ45" s="377" t="s">
        <v>383</v>
      </c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22"/>
      <c r="EG45" s="22"/>
      <c r="EH45" s="22"/>
      <c r="EI45" s="22"/>
      <c r="EJ45" s="22"/>
      <c r="EK45" s="22"/>
      <c r="EL45" s="22"/>
      <c r="EM45" s="22"/>
      <c r="EN45" s="344"/>
      <c r="EO45" s="344"/>
      <c r="EP45" s="22"/>
      <c r="EQ45" s="22"/>
      <c r="ER45" s="22"/>
      <c r="EU45" s="344"/>
      <c r="EV45" s="22"/>
      <c r="EW45" s="22"/>
      <c r="EX45" s="22"/>
      <c r="EY45" s="22"/>
      <c r="EZ45" s="22"/>
      <c r="FA45" s="22"/>
      <c r="FB45" s="22"/>
      <c r="FC45" s="22"/>
      <c r="FD45" s="22"/>
      <c r="FE45" s="22"/>
    </row>
    <row r="46" spans="7:161" x14ac:dyDescent="0.2">
      <c r="X46" s="49" t="s">
        <v>335</v>
      </c>
      <c r="AA46" s="8" t="s">
        <v>22</v>
      </c>
      <c r="AB46" s="437">
        <v>4</v>
      </c>
      <c r="AC46" s="8" t="s">
        <v>150</v>
      </c>
      <c r="AD46" s="11" t="s">
        <v>140</v>
      </c>
      <c r="AE46" s="8" t="s">
        <v>21</v>
      </c>
      <c r="AF46" s="107">
        <v>20</v>
      </c>
      <c r="AG46" s="232" t="s">
        <v>21</v>
      </c>
      <c r="AH46" s="259">
        <v>13</v>
      </c>
      <c r="AI46" s="102"/>
      <c r="AJ46" s="102" t="str">
        <f t="shared" si="1"/>
        <v>iC60L</v>
      </c>
      <c r="AK46" s="201" t="s">
        <v>21</v>
      </c>
      <c r="AL46" s="240"/>
      <c r="AM46" s="240">
        <v>10</v>
      </c>
      <c r="AN46" s="102"/>
      <c r="AO46" s="102" t="str">
        <f t="shared" si="2"/>
        <v>iC60N40</v>
      </c>
      <c r="AP46" s="222" t="s">
        <v>19</v>
      </c>
      <c r="AQ46" s="222"/>
      <c r="AR46" s="256">
        <v>40</v>
      </c>
      <c r="AS46" s="222" t="s">
        <v>58</v>
      </c>
      <c r="AT46" s="102"/>
      <c r="AU46" s="255" t="s">
        <v>335</v>
      </c>
      <c r="AV46" s="254" t="s">
        <v>30</v>
      </c>
      <c r="AW46" s="206">
        <v>400</v>
      </c>
      <c r="AX46" s="204" t="s">
        <v>559</v>
      </c>
      <c r="AY46" s="110"/>
      <c r="AZ46" s="32">
        <f>Бланк!D16*7</f>
        <v>0</v>
      </c>
      <c r="BA46" s="11">
        <f>Бланк!F16*3</f>
        <v>0</v>
      </c>
      <c r="BB46" t="s">
        <v>68</v>
      </c>
      <c r="BC46" s="11">
        <f>0.8*BC48</f>
        <v>128</v>
      </c>
      <c r="BD46" s="231">
        <v>63</v>
      </c>
      <c r="BE46" s="232" t="s">
        <v>290</v>
      </c>
      <c r="BF46" s="7"/>
      <c r="BG46" s="7"/>
      <c r="BH46" s="878"/>
      <c r="BI46" s="1073" t="s">
        <v>559</v>
      </c>
      <c r="BJ46" s="1074"/>
      <c r="BK46" s="878"/>
      <c r="BL46" s="7"/>
      <c r="BO46" s="7"/>
      <c r="BP46" s="7"/>
      <c r="BQ46" s="213" t="s">
        <v>1305</v>
      </c>
      <c r="BR46" s="213" t="str">
        <f>Проверки!S20</f>
        <v/>
      </c>
      <c r="BS46" s="213" t="str">
        <f>IF(Проверки!M20,MID(Проверки!C20,1,1),"")</f>
        <v/>
      </c>
      <c r="BT46" s="213" t="str">
        <f>IF(Проверки!M20,IF(Проверки!D20&lt;=63,63,125),IF(Проверки!G20+Проверки!I20+Проверки!K20,Проверки!D20,""))</f>
        <v/>
      </c>
      <c r="BU46" s="213"/>
      <c r="BV46" s="213" t="str">
        <f t="shared" ref="BV46:BV50" si="24">$BR46&amp;$BS46&amp;$BT46</f>
        <v/>
      </c>
      <c r="BW46" s="213">
        <f t="shared" ref="BW46:BW50" si="25">IF(ISNA(MATCH($BV46,$AO$3:$AO$1000,0)),1,MATCH($BV46,$AO$3:$AO$1000,0))</f>
        <v>1</v>
      </c>
      <c r="BX46" s="213" t="str">
        <f t="shared" ref="BX46:BX50" ca="1" si="26">OFFSET($AS$3,$BW46-1,0,1)</f>
        <v>B</v>
      </c>
      <c r="BY46" s="213">
        <f t="shared" ref="BY46:BY50" ca="1" si="27">IF(COUNTIF(OFFSET($AO$3,$BW46-1,0,20),$BV46),COUNTIF(OFFSET($AO$3,$BW46-1,0,20),$BV46),1)</f>
        <v>1</v>
      </c>
      <c r="BZ46" s="213"/>
      <c r="CB46" s="41" t="str">
        <f t="shared" si="3"/>
        <v>iC60425</v>
      </c>
      <c r="CC46" s="213" t="s">
        <v>105</v>
      </c>
      <c r="CD46" s="213">
        <v>4</v>
      </c>
      <c r="CE46" s="214">
        <v>25</v>
      </c>
      <c r="CF46" s="214"/>
      <c r="CG46" s="201" t="s">
        <v>598</v>
      </c>
      <c r="CH46" s="7"/>
      <c r="CI46" s="7"/>
      <c r="DG46" s="400"/>
      <c r="DH46" s="22"/>
      <c r="DI46" s="22"/>
      <c r="DJ46" s="22"/>
      <c r="DK46" s="344"/>
      <c r="DL46" s="375" t="str">
        <f t="shared" si="23"/>
        <v>TN-C-S220</v>
      </c>
      <c r="DM46" s="376" t="s">
        <v>7</v>
      </c>
      <c r="DN46" s="376">
        <v>2</v>
      </c>
      <c r="DO46" s="376">
        <v>20</v>
      </c>
      <c r="DP46" s="376">
        <v>1</v>
      </c>
      <c r="DQ46" s="377" t="s">
        <v>384</v>
      </c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22"/>
      <c r="EG46" s="22"/>
      <c r="EH46" s="22"/>
      <c r="EI46" s="22"/>
      <c r="EJ46" s="22"/>
      <c r="EK46" s="22"/>
      <c r="EL46" s="22"/>
      <c r="EM46" s="22"/>
      <c r="EN46" s="344"/>
      <c r="EO46" s="344"/>
      <c r="EP46" s="22"/>
      <c r="EQ46" s="22"/>
      <c r="ER46" s="22"/>
      <c r="EU46" s="344"/>
      <c r="EV46" s="22"/>
      <c r="EW46" s="22"/>
      <c r="EX46" s="22"/>
      <c r="EY46" s="22"/>
      <c r="EZ46" s="22"/>
      <c r="FA46" s="22"/>
      <c r="FB46" s="22"/>
      <c r="FC46" s="22"/>
      <c r="FD46" s="22"/>
      <c r="FE46" s="22"/>
    </row>
    <row r="47" spans="7:161" x14ac:dyDescent="0.2">
      <c r="X47" s="49" t="s">
        <v>336</v>
      </c>
      <c r="AA47" s="8" t="s">
        <v>23</v>
      </c>
      <c r="AB47" s="437">
        <v>3</v>
      </c>
      <c r="AC47" s="8" t="s">
        <v>150</v>
      </c>
      <c r="AD47" s="11" t="s">
        <v>141</v>
      </c>
      <c r="AE47" s="8" t="s">
        <v>21</v>
      </c>
      <c r="AF47" s="107">
        <v>25</v>
      </c>
      <c r="AG47" s="232" t="s">
        <v>21</v>
      </c>
      <c r="AH47" s="259">
        <v>15</v>
      </c>
      <c r="AI47" s="102"/>
      <c r="AJ47" s="102" t="str">
        <f t="shared" si="1"/>
        <v>iC60L</v>
      </c>
      <c r="AK47" s="201" t="s">
        <v>21</v>
      </c>
      <c r="AL47" s="240"/>
      <c r="AM47" s="240">
        <v>13</v>
      </c>
      <c r="AN47" s="102"/>
      <c r="AO47" s="102" t="str">
        <f t="shared" si="2"/>
        <v>iC60N40</v>
      </c>
      <c r="AP47" s="222" t="s">
        <v>19</v>
      </c>
      <c r="AQ47" s="222"/>
      <c r="AR47" s="256">
        <v>40</v>
      </c>
      <c r="AS47" s="222" t="s">
        <v>59</v>
      </c>
      <c r="AT47" s="102"/>
      <c r="AU47" s="255" t="s">
        <v>336</v>
      </c>
      <c r="AV47" s="254" t="s">
        <v>30</v>
      </c>
      <c r="AW47" s="206">
        <v>400</v>
      </c>
      <c r="AX47" s="204" t="s">
        <v>1257</v>
      </c>
      <c r="AY47" s="110"/>
      <c r="AZ47" s="32">
        <f>Бланк!D16*8</f>
        <v>0</v>
      </c>
      <c r="BA47" s="11">
        <f>Бланк!F16*4</f>
        <v>0</v>
      </c>
      <c r="BB47" t="s">
        <v>68</v>
      </c>
      <c r="BC47" s="11">
        <f>0.9*BC48</f>
        <v>144</v>
      </c>
      <c r="BD47" s="231">
        <v>63</v>
      </c>
      <c r="BE47" s="232" t="s">
        <v>287</v>
      </c>
      <c r="BF47" s="7"/>
      <c r="BG47" s="7"/>
      <c r="BH47" s="878"/>
      <c r="BI47" s="1073" t="s">
        <v>1257</v>
      </c>
      <c r="BJ47" s="1074"/>
      <c r="BK47" s="878"/>
      <c r="BL47" s="7"/>
      <c r="BQ47" s="213" t="s">
        <v>1306</v>
      </c>
      <c r="BR47" s="213" t="str">
        <f>Проверки!S21</f>
        <v/>
      </c>
      <c r="BS47" s="213" t="str">
        <f>IF(Проверки!M21,MID(Проверки!C21,1,1),"")</f>
        <v/>
      </c>
      <c r="BT47" s="213" t="str">
        <f>IF(Проверки!M21,IF(Проверки!D21&lt;=63,63,125),IF(Проверки!G21+Проверки!I21+Проверки!K21,Проверки!D21,""))</f>
        <v/>
      </c>
      <c r="BU47" s="213"/>
      <c r="BV47" s="213" t="str">
        <f t="shared" si="24"/>
        <v/>
      </c>
      <c r="BW47" s="213">
        <f t="shared" si="25"/>
        <v>1</v>
      </c>
      <c r="BX47" s="213" t="str">
        <f t="shared" ca="1" si="26"/>
        <v>B</v>
      </c>
      <c r="BY47" s="213">
        <f t="shared" ca="1" si="27"/>
        <v>1</v>
      </c>
      <c r="BZ47" s="213"/>
      <c r="CB47" s="41" t="str">
        <f t="shared" si="3"/>
        <v>iC60425</v>
      </c>
      <c r="CC47" s="213" t="s">
        <v>105</v>
      </c>
      <c r="CD47" s="213">
        <v>4</v>
      </c>
      <c r="CE47" s="214">
        <v>25</v>
      </c>
      <c r="CF47" s="214"/>
      <c r="CG47" s="201" t="s">
        <v>600</v>
      </c>
      <c r="CH47" s="7"/>
      <c r="CI47" s="7"/>
      <c r="DG47" s="400"/>
      <c r="DH47" s="22"/>
      <c r="DI47" s="22"/>
      <c r="DJ47" s="22"/>
      <c r="DK47" s="344"/>
      <c r="DL47" s="375" t="str">
        <f t="shared" si="23"/>
        <v>TN-C-S225</v>
      </c>
      <c r="DM47" s="376" t="s">
        <v>7</v>
      </c>
      <c r="DN47" s="376">
        <v>2</v>
      </c>
      <c r="DO47" s="376">
        <v>25</v>
      </c>
      <c r="DP47" s="376">
        <v>1</v>
      </c>
      <c r="DQ47" s="377" t="s">
        <v>385</v>
      </c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22"/>
      <c r="EG47" s="22"/>
      <c r="EH47" s="22"/>
      <c r="EI47" s="22"/>
      <c r="EJ47" s="22"/>
      <c r="EK47" s="22"/>
      <c r="EL47" s="22"/>
      <c r="EM47" s="22"/>
      <c r="EN47" s="344"/>
      <c r="EO47" s="344"/>
      <c r="EP47" s="22"/>
      <c r="EQ47" s="22"/>
      <c r="ER47" s="22"/>
      <c r="EU47" s="344"/>
      <c r="EV47" s="22"/>
      <c r="EW47" s="22"/>
      <c r="EX47" s="22"/>
      <c r="EY47" s="22"/>
      <c r="EZ47" s="22"/>
      <c r="FA47" s="22"/>
      <c r="FB47" s="22"/>
      <c r="FC47" s="22"/>
      <c r="FD47" s="22"/>
      <c r="FE47" s="22"/>
    </row>
    <row r="48" spans="7:161" x14ac:dyDescent="0.2">
      <c r="X48" s="155" t="s">
        <v>493</v>
      </c>
      <c r="AA48" s="8" t="s">
        <v>23</v>
      </c>
      <c r="AB48" s="437">
        <v>4</v>
      </c>
      <c r="AC48" s="8" t="s">
        <v>150</v>
      </c>
      <c r="AD48" s="11" t="s">
        <v>312</v>
      </c>
      <c r="AE48" s="8" t="s">
        <v>21</v>
      </c>
      <c r="AF48" s="107">
        <v>32</v>
      </c>
      <c r="AG48" s="232" t="s">
        <v>21</v>
      </c>
      <c r="AH48" s="259">
        <v>16</v>
      </c>
      <c r="AI48" s="102"/>
      <c r="AJ48" s="102" t="str">
        <f t="shared" si="1"/>
        <v>iC60L</v>
      </c>
      <c r="AK48" s="201" t="s">
        <v>21</v>
      </c>
      <c r="AL48" s="240"/>
      <c r="AM48" s="240">
        <v>15</v>
      </c>
      <c r="AN48" s="102"/>
      <c r="AO48" s="102" t="str">
        <f t="shared" si="2"/>
        <v>iC60N50</v>
      </c>
      <c r="AP48" s="222" t="s">
        <v>19</v>
      </c>
      <c r="AQ48" s="222"/>
      <c r="AR48" s="256">
        <v>50</v>
      </c>
      <c r="AS48" s="222" t="s">
        <v>57</v>
      </c>
      <c r="AT48" s="102"/>
      <c r="AU48" s="255" t="s">
        <v>318</v>
      </c>
      <c r="AV48" s="254" t="s">
        <v>30</v>
      </c>
      <c r="AW48" s="206">
        <v>400</v>
      </c>
      <c r="AX48" s="204" t="s">
        <v>1258</v>
      </c>
      <c r="AY48" s="110"/>
      <c r="AZ48" s="32">
        <f>Бланк!D16*9</f>
        <v>0</v>
      </c>
      <c r="BA48" s="11">
        <f>Бланк!F16*5</f>
        <v>0</v>
      </c>
      <c r="BB48" t="s">
        <v>68</v>
      </c>
      <c r="BC48" s="11">
        <v>160</v>
      </c>
      <c r="BD48" s="231">
        <v>63</v>
      </c>
      <c r="BE48" s="232" t="s">
        <v>291</v>
      </c>
      <c r="BF48" s="7"/>
      <c r="BG48" s="7"/>
      <c r="BH48" s="878"/>
      <c r="BI48" s="1073" t="s">
        <v>1258</v>
      </c>
      <c r="BJ48" s="1074"/>
      <c r="BK48" s="878"/>
      <c r="BL48" s="7"/>
      <c r="BQ48" s="213" t="s">
        <v>1307</v>
      </c>
      <c r="BR48" s="213" t="str">
        <f>Проверки!S22</f>
        <v/>
      </c>
      <c r="BS48" s="213" t="str">
        <f>IF(Проверки!M22,MID(Проверки!C22,1,1),"")</f>
        <v/>
      </c>
      <c r="BT48" s="213" t="str">
        <f>IF(Проверки!M22,IF(Проверки!D22&lt;=63,63,125),IF(Проверки!G22+Проверки!I22+Проверки!K22,Проверки!D22,""))</f>
        <v/>
      </c>
      <c r="BU48" s="213"/>
      <c r="BV48" s="213" t="str">
        <f t="shared" si="24"/>
        <v/>
      </c>
      <c r="BW48" s="213">
        <f t="shared" si="25"/>
        <v>1</v>
      </c>
      <c r="BX48" s="213" t="str">
        <f t="shared" ca="1" si="26"/>
        <v>B</v>
      </c>
      <c r="BY48" s="213">
        <f t="shared" ca="1" si="27"/>
        <v>1</v>
      </c>
      <c r="BZ48" s="213"/>
      <c r="CB48" s="41" t="str">
        <f t="shared" si="3"/>
        <v>iC60425</v>
      </c>
      <c r="CC48" s="213" t="s">
        <v>105</v>
      </c>
      <c r="CD48" s="213">
        <v>4</v>
      </c>
      <c r="CE48" s="214">
        <v>25</v>
      </c>
      <c r="CF48" s="214"/>
      <c r="CG48" s="201" t="s">
        <v>601</v>
      </c>
      <c r="CH48" s="7"/>
      <c r="CI48" s="7"/>
      <c r="DG48" s="400"/>
      <c r="DH48" s="22"/>
      <c r="DI48" s="22"/>
      <c r="DJ48" s="22"/>
      <c r="DK48" s="344"/>
      <c r="DL48" s="375" t="str">
        <f t="shared" si="23"/>
        <v>TN-C-S232</v>
      </c>
      <c r="DM48" s="376" t="s">
        <v>7</v>
      </c>
      <c r="DN48" s="376">
        <v>2</v>
      </c>
      <c r="DO48" s="376">
        <v>32</v>
      </c>
      <c r="DP48" s="376">
        <v>1</v>
      </c>
      <c r="DQ48" s="377" t="s">
        <v>386</v>
      </c>
      <c r="DR48" s="358"/>
      <c r="DS48" s="358"/>
      <c r="DT48" s="358"/>
      <c r="DU48" s="358"/>
      <c r="DV48" s="358"/>
      <c r="DW48" s="358"/>
      <c r="DX48" s="358"/>
      <c r="DY48" s="358"/>
      <c r="DZ48" s="358"/>
      <c r="EA48" s="358"/>
      <c r="EB48" s="358"/>
      <c r="EC48" s="358"/>
      <c r="ED48" s="358"/>
      <c r="EE48" s="358"/>
      <c r="EF48" s="22"/>
      <c r="EG48" s="22"/>
      <c r="EH48" s="22"/>
      <c r="EI48" s="22"/>
      <c r="EJ48" s="22"/>
      <c r="EK48" s="22"/>
      <c r="EL48" s="22"/>
      <c r="EM48" s="22"/>
      <c r="EN48" s="344"/>
      <c r="EO48" s="344"/>
      <c r="EP48" s="22"/>
      <c r="EQ48" s="22"/>
      <c r="ER48" s="22"/>
      <c r="EU48" s="344"/>
      <c r="EV48" s="22"/>
      <c r="EW48" s="22"/>
      <c r="EX48" s="22"/>
      <c r="EY48" s="22"/>
      <c r="EZ48" s="22"/>
      <c r="FA48" s="22"/>
      <c r="FB48" s="22"/>
      <c r="FC48" s="22"/>
      <c r="FD48" s="22"/>
      <c r="FE48" s="22"/>
    </row>
    <row r="49" spans="24:161" x14ac:dyDescent="0.2">
      <c r="X49" s="155" t="s">
        <v>494</v>
      </c>
      <c r="AA49" s="8" t="s">
        <v>486</v>
      </c>
      <c r="AB49" s="437">
        <v>3</v>
      </c>
      <c r="AC49" s="8" t="s">
        <v>150</v>
      </c>
      <c r="AD49" s="11">
        <v>4</v>
      </c>
      <c r="AE49" s="8" t="s">
        <v>21</v>
      </c>
      <c r="AF49" s="107">
        <v>40</v>
      </c>
      <c r="AG49" s="232" t="s">
        <v>21</v>
      </c>
      <c r="AH49" s="259">
        <v>20</v>
      </c>
      <c r="AI49" s="102"/>
      <c r="AJ49" s="102" t="str">
        <f t="shared" si="1"/>
        <v>iC60L</v>
      </c>
      <c r="AK49" s="201" t="s">
        <v>21</v>
      </c>
      <c r="AL49" s="240"/>
      <c r="AM49" s="240">
        <v>16</v>
      </c>
      <c r="AN49" s="102"/>
      <c r="AO49" s="102" t="str">
        <f t="shared" si="2"/>
        <v>iC60N50</v>
      </c>
      <c r="AP49" s="222" t="s">
        <v>19</v>
      </c>
      <c r="AQ49" s="222"/>
      <c r="AR49" s="256">
        <v>50</v>
      </c>
      <c r="AS49" s="222" t="s">
        <v>58</v>
      </c>
      <c r="AT49" s="102"/>
      <c r="AU49" s="255" t="s">
        <v>317</v>
      </c>
      <c r="AV49" s="254" t="s">
        <v>30</v>
      </c>
      <c r="AW49" s="206">
        <v>400</v>
      </c>
      <c r="AX49" s="204" t="s">
        <v>1259</v>
      </c>
      <c r="AY49" s="110"/>
      <c r="AZ49" s="32">
        <f>Бланк!D16*10</f>
        <v>0</v>
      </c>
      <c r="BA49" s="11">
        <f>Бланк!F16*6</f>
        <v>0</v>
      </c>
      <c r="BB49" t="s">
        <v>69</v>
      </c>
      <c r="BC49" s="11">
        <f>0.7*BC52</f>
        <v>140</v>
      </c>
      <c r="BD49" s="231">
        <v>63</v>
      </c>
      <c r="BE49" s="232" t="s">
        <v>292</v>
      </c>
      <c r="BF49" s="7"/>
      <c r="BG49" s="7"/>
      <c r="BH49" s="878"/>
      <c r="BI49" s="1073" t="s">
        <v>1259</v>
      </c>
      <c r="BJ49" s="1074"/>
      <c r="BK49" s="878"/>
      <c r="BL49" s="7"/>
      <c r="BQ49" s="213" t="s">
        <v>1308</v>
      </c>
      <c r="BR49" s="213" t="str">
        <f>Проверки!S23</f>
        <v/>
      </c>
      <c r="BS49" s="213" t="str">
        <f>IF(Проверки!M23,MID(Проверки!C23,1,1),"")</f>
        <v/>
      </c>
      <c r="BT49" s="213" t="str">
        <f>IF(Проверки!M23,IF(Проверки!D23&lt;=63,63,125),IF(Проверки!G23+Проверки!I23+Проверки!K23,Проверки!D23,""))</f>
        <v/>
      </c>
      <c r="BU49" s="213"/>
      <c r="BV49" s="213" t="str">
        <f t="shared" si="24"/>
        <v/>
      </c>
      <c r="BW49" s="213">
        <f t="shared" si="25"/>
        <v>1</v>
      </c>
      <c r="BX49" s="213" t="str">
        <f t="shared" ca="1" si="26"/>
        <v>B</v>
      </c>
      <c r="BY49" s="213">
        <f t="shared" ca="1" si="27"/>
        <v>1</v>
      </c>
      <c r="BZ49" s="213"/>
      <c r="CB49" s="41" t="str">
        <f t="shared" si="3"/>
        <v>iC60425</v>
      </c>
      <c r="CC49" s="213" t="s">
        <v>105</v>
      </c>
      <c r="CD49" s="213">
        <v>4</v>
      </c>
      <c r="CE49" s="214">
        <v>25</v>
      </c>
      <c r="CF49" s="214"/>
      <c r="CG49" s="201" t="s">
        <v>602</v>
      </c>
      <c r="CH49" s="7"/>
      <c r="CI49" s="7"/>
      <c r="DG49" s="400"/>
      <c r="DH49" s="22"/>
      <c r="DI49" s="22"/>
      <c r="DJ49" s="22"/>
      <c r="DK49" s="344"/>
      <c r="DL49" s="375" t="str">
        <f t="shared" si="23"/>
        <v>TN-C-S250</v>
      </c>
      <c r="DM49" s="376" t="s">
        <v>7</v>
      </c>
      <c r="DN49" s="376">
        <v>2</v>
      </c>
      <c r="DO49" s="376">
        <v>50</v>
      </c>
      <c r="DP49" s="376">
        <v>1</v>
      </c>
      <c r="DQ49" s="377" t="s">
        <v>387</v>
      </c>
      <c r="DR49" s="358"/>
      <c r="DS49" s="358"/>
      <c r="DT49" s="358"/>
      <c r="DU49" s="358"/>
      <c r="DV49" s="358"/>
      <c r="DW49" s="358"/>
      <c r="DX49" s="358"/>
      <c r="DY49" s="358"/>
      <c r="DZ49" s="358"/>
      <c r="EA49" s="358"/>
      <c r="EB49" s="358"/>
      <c r="EC49" s="358"/>
      <c r="ED49" s="358"/>
      <c r="EE49" s="358"/>
      <c r="EF49" s="22"/>
      <c r="EG49" s="22"/>
      <c r="EH49" s="22"/>
      <c r="EI49" s="22"/>
      <c r="EJ49" s="22"/>
      <c r="EK49" s="22"/>
      <c r="EL49" s="22"/>
      <c r="EM49" s="22"/>
      <c r="EN49" s="344"/>
      <c r="EO49" s="344"/>
      <c r="EP49" s="22"/>
      <c r="EQ49" s="22"/>
      <c r="ER49" s="22"/>
      <c r="EU49" s="344"/>
      <c r="EV49" s="22"/>
      <c r="EW49" s="22"/>
      <c r="EX49" s="22"/>
      <c r="EY49" s="22"/>
      <c r="EZ49" s="22"/>
      <c r="FA49" s="22"/>
      <c r="FB49" s="22"/>
      <c r="FC49" s="22"/>
      <c r="FD49" s="22"/>
      <c r="FE49" s="22"/>
    </row>
    <row r="50" spans="24:161" x14ac:dyDescent="0.2">
      <c r="X50" s="155" t="s">
        <v>495</v>
      </c>
      <c r="AA50" s="8" t="s">
        <v>486</v>
      </c>
      <c r="AB50" s="437">
        <v>4</v>
      </c>
      <c r="AC50" s="116" t="s">
        <v>362</v>
      </c>
      <c r="AD50" s="117">
        <v>4</v>
      </c>
      <c r="AE50" s="8" t="s">
        <v>21</v>
      </c>
      <c r="AF50" s="107">
        <v>50</v>
      </c>
      <c r="AG50" s="232" t="s">
        <v>21</v>
      </c>
      <c r="AH50" s="259">
        <v>25</v>
      </c>
      <c r="AI50" s="102"/>
      <c r="AJ50" s="102" t="str">
        <f t="shared" si="1"/>
        <v>iC60L</v>
      </c>
      <c r="AK50" s="201" t="s">
        <v>21</v>
      </c>
      <c r="AL50" s="240"/>
      <c r="AM50" s="240">
        <v>20</v>
      </c>
      <c r="AN50" s="102"/>
      <c r="AO50" s="102" t="str">
        <f t="shared" si="2"/>
        <v>iC60N50</v>
      </c>
      <c r="AP50" s="222" t="s">
        <v>19</v>
      </c>
      <c r="AQ50" s="222"/>
      <c r="AR50" s="256">
        <v>50</v>
      </c>
      <c r="AS50" s="222" t="s">
        <v>59</v>
      </c>
      <c r="AT50" s="102"/>
      <c r="AU50" s="255" t="s">
        <v>315</v>
      </c>
      <c r="AV50" s="254" t="s">
        <v>30</v>
      </c>
      <c r="AW50" s="206">
        <v>630</v>
      </c>
      <c r="AX50" s="204" t="s">
        <v>76</v>
      </c>
      <c r="AY50" s="110"/>
      <c r="AZ50" s="32"/>
      <c r="BA50" s="11">
        <f>Бланк!F16*7</f>
        <v>0</v>
      </c>
      <c r="BB50" t="s">
        <v>69</v>
      </c>
      <c r="BC50" s="11">
        <f>0.8*BC52</f>
        <v>160</v>
      </c>
      <c r="BD50" s="231">
        <v>63</v>
      </c>
      <c r="BE50" s="232" t="s">
        <v>293</v>
      </c>
      <c r="BF50" s="7"/>
      <c r="BG50" s="7"/>
      <c r="BH50" s="878"/>
      <c r="BI50" s="1073" t="s">
        <v>76</v>
      </c>
      <c r="BJ50" s="1074"/>
      <c r="BK50" s="878"/>
      <c r="BL50" s="7"/>
      <c r="BQ50" s="213" t="s">
        <v>1309</v>
      </c>
      <c r="BR50" s="213" t="str">
        <f>Проверки!S24</f>
        <v/>
      </c>
      <c r="BS50" s="213" t="str">
        <f>IF(Проверки!M24,MID(Проверки!C24,1,1),"")</f>
        <v/>
      </c>
      <c r="BT50" s="213" t="str">
        <f>IF(Проверки!M24,IF(Проверки!D24&lt;=63,63,125),IF(Проверки!G24+Проверки!I24+Проверки!K24,Проверки!D24,""))</f>
        <v/>
      </c>
      <c r="BU50" s="213"/>
      <c r="BV50" s="213" t="str">
        <f t="shared" si="24"/>
        <v/>
      </c>
      <c r="BW50" s="213">
        <f t="shared" si="25"/>
        <v>1</v>
      </c>
      <c r="BX50" s="213" t="str">
        <f t="shared" ca="1" si="26"/>
        <v>B</v>
      </c>
      <c r="BY50" s="213">
        <f t="shared" ca="1" si="27"/>
        <v>1</v>
      </c>
      <c r="BZ50" s="213"/>
      <c r="CB50" s="41" t="str">
        <f t="shared" si="3"/>
        <v>iC60425</v>
      </c>
      <c r="CC50" s="213" t="s">
        <v>105</v>
      </c>
      <c r="CD50" s="213">
        <v>4</v>
      </c>
      <c r="CE50" s="214">
        <v>25</v>
      </c>
      <c r="CF50" s="214"/>
      <c r="CG50" s="201" t="s">
        <v>603</v>
      </c>
      <c r="CH50" s="7"/>
      <c r="CI50" s="7"/>
      <c r="DG50" s="400"/>
      <c r="DH50" s="22"/>
      <c r="DI50" s="22"/>
      <c r="DJ50" s="22"/>
      <c r="DK50" s="344"/>
      <c r="DL50" s="375" t="str">
        <f t="shared" si="23"/>
        <v>TN-C-S263</v>
      </c>
      <c r="DM50" s="376" t="s">
        <v>7</v>
      </c>
      <c r="DN50" s="376">
        <v>2</v>
      </c>
      <c r="DO50" s="376">
        <v>63</v>
      </c>
      <c r="DP50" s="376">
        <v>1</v>
      </c>
      <c r="DQ50" s="377" t="s">
        <v>388</v>
      </c>
      <c r="DR50" s="358"/>
      <c r="DS50" s="358"/>
      <c r="DT50" s="358"/>
      <c r="DU50" s="358"/>
      <c r="DV50" s="358"/>
      <c r="DW50" s="358"/>
      <c r="DX50" s="358"/>
      <c r="DY50" s="358"/>
      <c r="DZ50" s="358"/>
      <c r="EA50" s="358"/>
      <c r="EB50" s="358"/>
      <c r="EC50" s="358"/>
      <c r="ED50" s="358"/>
      <c r="EE50" s="358"/>
      <c r="EF50" s="22"/>
      <c r="EG50" s="22"/>
      <c r="EH50" s="22"/>
      <c r="EI50" s="22"/>
      <c r="EJ50" s="22"/>
      <c r="EK50" s="22"/>
      <c r="EL50" s="22"/>
      <c r="EM50" s="22"/>
      <c r="EN50" s="344"/>
      <c r="EO50" s="344"/>
      <c r="EP50" s="22"/>
      <c r="EQ50" s="22"/>
      <c r="ER50" s="22"/>
      <c r="EU50" s="344"/>
      <c r="EV50" s="22"/>
      <c r="EW50" s="22"/>
      <c r="EX50" s="22"/>
      <c r="EY50" s="22"/>
      <c r="EZ50" s="22"/>
      <c r="FA50" s="22"/>
      <c r="FB50" s="22"/>
      <c r="FC50" s="22"/>
      <c r="FD50" s="22"/>
      <c r="FE50" s="22"/>
    </row>
    <row r="51" spans="24:161" x14ac:dyDescent="0.2">
      <c r="X51" s="155" t="s">
        <v>496</v>
      </c>
      <c r="AA51" s="8" t="s">
        <v>24</v>
      </c>
      <c r="AB51" s="437">
        <v>3</v>
      </c>
      <c r="AC51" s="116" t="s">
        <v>430</v>
      </c>
      <c r="AD51" s="117" t="s">
        <v>139</v>
      </c>
      <c r="AE51" s="8" t="s">
        <v>21</v>
      </c>
      <c r="AF51" s="107">
        <v>63</v>
      </c>
      <c r="AG51" s="232" t="s">
        <v>21</v>
      </c>
      <c r="AH51" s="259">
        <v>32</v>
      </c>
      <c r="AI51" s="102"/>
      <c r="AJ51" s="102" t="str">
        <f t="shared" si="1"/>
        <v>iC60L</v>
      </c>
      <c r="AK51" s="201" t="s">
        <v>21</v>
      </c>
      <c r="AL51" s="240"/>
      <c r="AM51" s="240">
        <v>25</v>
      </c>
      <c r="AN51" s="102"/>
      <c r="AO51" s="102" t="str">
        <f t="shared" si="2"/>
        <v>iC60N63</v>
      </c>
      <c r="AP51" s="222" t="s">
        <v>19</v>
      </c>
      <c r="AQ51" s="222"/>
      <c r="AR51" s="256">
        <v>63</v>
      </c>
      <c r="AS51" s="222" t="s">
        <v>57</v>
      </c>
      <c r="AT51" s="102"/>
      <c r="AU51" s="255" t="s">
        <v>316</v>
      </c>
      <c r="AV51" s="254" t="s">
        <v>30</v>
      </c>
      <c r="AW51" s="206">
        <v>630</v>
      </c>
      <c r="AX51" s="204" t="s">
        <v>560</v>
      </c>
      <c r="AY51" s="110"/>
      <c r="AZ51" s="32"/>
      <c r="BA51" s="11">
        <f>Бланк!F16*8</f>
        <v>0</v>
      </c>
      <c r="BB51" t="s">
        <v>69</v>
      </c>
      <c r="BC51" s="11">
        <f>0.9*BC52</f>
        <v>180</v>
      </c>
      <c r="BD51" s="231">
        <v>80</v>
      </c>
      <c r="BE51" s="232" t="s">
        <v>595</v>
      </c>
      <c r="BF51" s="7"/>
      <c r="BG51" s="7"/>
      <c r="BH51" s="878"/>
      <c r="BI51" s="1073" t="s">
        <v>560</v>
      </c>
      <c r="BJ51" s="1074"/>
      <c r="BK51" s="878"/>
      <c r="BL51" s="7"/>
      <c r="CB51" s="41" t="str">
        <f t="shared" si="3"/>
        <v>iC60425</v>
      </c>
      <c r="CC51" s="213" t="s">
        <v>105</v>
      </c>
      <c r="CD51" s="213">
        <v>4</v>
      </c>
      <c r="CE51" s="214">
        <v>25</v>
      </c>
      <c r="CF51" s="214"/>
      <c r="CG51" s="201" t="s">
        <v>604</v>
      </c>
      <c r="CH51" s="7"/>
      <c r="CI51" s="7"/>
      <c r="DG51" s="400"/>
      <c r="DH51" s="22"/>
      <c r="DI51" s="22"/>
      <c r="DJ51" s="22"/>
      <c r="DK51" s="344"/>
      <c r="DL51" s="375" t="str">
        <f t="shared" si="23"/>
        <v>TN-C-S280</v>
      </c>
      <c r="DM51" s="376" t="s">
        <v>7</v>
      </c>
      <c r="DN51" s="376">
        <v>2</v>
      </c>
      <c r="DO51" s="376">
        <v>80</v>
      </c>
      <c r="DP51" s="376">
        <v>1</v>
      </c>
      <c r="DQ51" s="377" t="s">
        <v>389</v>
      </c>
      <c r="DR51" s="358"/>
      <c r="DS51" s="358"/>
      <c r="DT51" s="358"/>
      <c r="DU51" s="358"/>
      <c r="DV51" s="358"/>
      <c r="DW51" s="358"/>
      <c r="DX51" s="358"/>
      <c r="DY51" s="358"/>
      <c r="DZ51" s="358"/>
      <c r="EA51" s="358"/>
      <c r="EB51" s="358"/>
      <c r="EC51" s="358"/>
      <c r="ED51" s="358"/>
      <c r="EE51" s="358"/>
      <c r="EF51" s="22"/>
      <c r="EG51" s="22"/>
      <c r="EH51" s="22"/>
      <c r="EI51" s="22"/>
      <c r="EJ51" s="22"/>
      <c r="EK51" s="22"/>
      <c r="EL51" s="22"/>
      <c r="EM51" s="22"/>
      <c r="EN51" s="344"/>
      <c r="EO51" s="344"/>
      <c r="EP51" s="22"/>
      <c r="EQ51" s="22"/>
      <c r="ER51" s="22"/>
      <c r="EU51" s="344"/>
      <c r="EV51" s="22"/>
      <c r="EW51" s="22"/>
      <c r="EX51" s="22"/>
      <c r="EY51" s="22"/>
      <c r="EZ51" s="22"/>
      <c r="FA51" s="22"/>
      <c r="FB51" s="22"/>
      <c r="FC51" s="22"/>
      <c r="FD51" s="22"/>
      <c r="FE51" s="22"/>
    </row>
    <row r="52" spans="24:161" x14ac:dyDescent="0.2">
      <c r="X52" s="155" t="s">
        <v>497</v>
      </c>
      <c r="AA52" s="8" t="s">
        <v>24</v>
      </c>
      <c r="AB52" s="437">
        <v>4</v>
      </c>
      <c r="AC52" s="116" t="s">
        <v>430</v>
      </c>
      <c r="AD52" s="117" t="s">
        <v>140</v>
      </c>
      <c r="AE52" s="8" t="s">
        <v>148</v>
      </c>
      <c r="AF52" s="736">
        <v>1</v>
      </c>
      <c r="AG52" s="232" t="s">
        <v>21</v>
      </c>
      <c r="AH52" s="259">
        <v>40</v>
      </c>
      <c r="AI52" s="102"/>
      <c r="AJ52" s="102" t="str">
        <f t="shared" si="1"/>
        <v>iC60L</v>
      </c>
      <c r="AK52" s="201" t="s">
        <v>21</v>
      </c>
      <c r="AL52" s="240"/>
      <c r="AM52" s="240">
        <v>32</v>
      </c>
      <c r="AN52" s="102"/>
      <c r="AO52" s="102" t="str">
        <f t="shared" si="2"/>
        <v>iC60N63</v>
      </c>
      <c r="AP52" s="222" t="s">
        <v>19</v>
      </c>
      <c r="AQ52" s="222"/>
      <c r="AR52" s="256">
        <v>63</v>
      </c>
      <c r="AS52" s="222" t="s">
        <v>58</v>
      </c>
      <c r="AT52" s="102"/>
      <c r="AU52" s="232" t="s">
        <v>149</v>
      </c>
      <c r="AV52" s="254" t="s">
        <v>30</v>
      </c>
      <c r="AW52" s="206">
        <v>630</v>
      </c>
      <c r="AX52" s="204" t="s">
        <v>1260</v>
      </c>
      <c r="AY52" s="110"/>
      <c r="AZ52" s="32"/>
      <c r="BA52" s="11">
        <f>Бланк!F16*10</f>
        <v>0</v>
      </c>
      <c r="BB52" t="s">
        <v>69</v>
      </c>
      <c r="BC52" s="11">
        <v>200</v>
      </c>
      <c r="BD52" s="231">
        <v>80</v>
      </c>
      <c r="BE52" s="232" t="s">
        <v>596</v>
      </c>
      <c r="BF52" s="7"/>
      <c r="BG52" s="7"/>
      <c r="BH52" s="878"/>
      <c r="BI52" s="1073" t="s">
        <v>1260</v>
      </c>
      <c r="BJ52" s="1074"/>
      <c r="BK52" s="878"/>
      <c r="BL52" s="7"/>
      <c r="CB52" s="41" t="str">
        <f t="shared" si="3"/>
        <v>iC60463</v>
      </c>
      <c r="CC52" s="213" t="s">
        <v>105</v>
      </c>
      <c r="CD52" s="213">
        <v>4</v>
      </c>
      <c r="CE52" s="214">
        <v>63</v>
      </c>
      <c r="CF52" s="214"/>
      <c r="CG52" s="201" t="s">
        <v>30</v>
      </c>
      <c r="CH52" s="7"/>
      <c r="CI52" s="7"/>
      <c r="DG52" s="400"/>
      <c r="DH52" s="22"/>
      <c r="DI52" s="22"/>
      <c r="DJ52" s="22"/>
      <c r="DK52" s="344"/>
      <c r="DL52" s="375" t="str">
        <f t="shared" si="23"/>
        <v>TN-C-S2100</v>
      </c>
      <c r="DM52" s="376" t="s">
        <v>7</v>
      </c>
      <c r="DN52" s="376">
        <v>2</v>
      </c>
      <c r="DO52" s="376">
        <v>100</v>
      </c>
      <c r="DP52" s="376">
        <v>1</v>
      </c>
      <c r="DQ52" s="377" t="s">
        <v>390</v>
      </c>
      <c r="DR52" s="358"/>
      <c r="DS52" s="358"/>
      <c r="DT52" s="358"/>
      <c r="DU52" s="358"/>
      <c r="DV52" s="358"/>
      <c r="DW52" s="358"/>
      <c r="DX52" s="358"/>
      <c r="DY52" s="358"/>
      <c r="DZ52" s="358"/>
      <c r="EA52" s="358"/>
      <c r="EB52" s="358"/>
      <c r="EC52" s="358"/>
      <c r="ED52" s="358"/>
      <c r="EE52" s="358"/>
      <c r="EF52" s="22"/>
      <c r="EG52" s="22"/>
      <c r="EH52" s="22"/>
      <c r="EI52" s="22"/>
      <c r="EJ52" s="22"/>
      <c r="EK52" s="22"/>
      <c r="EL52" s="22"/>
      <c r="EM52" s="22"/>
      <c r="EN52" s="344"/>
      <c r="EO52" s="344"/>
      <c r="EP52" s="22"/>
      <c r="EQ52" s="22"/>
      <c r="ER52" s="22"/>
      <c r="EU52" s="344"/>
      <c r="EV52" s="22"/>
      <c r="EW52" s="22"/>
      <c r="EX52" s="22"/>
      <c r="EY52" s="22"/>
      <c r="EZ52" s="22"/>
      <c r="FA52" s="22"/>
      <c r="FB52" s="22"/>
      <c r="FC52" s="22"/>
      <c r="FD52" s="22"/>
      <c r="FE52" s="22"/>
    </row>
    <row r="53" spans="24:161" x14ac:dyDescent="0.2">
      <c r="X53" s="155" t="s">
        <v>498</v>
      </c>
      <c r="AA53" s="8" t="s">
        <v>25</v>
      </c>
      <c r="AB53" s="437">
        <v>3</v>
      </c>
      <c r="AC53" s="116" t="s">
        <v>430</v>
      </c>
      <c r="AD53" s="117" t="s">
        <v>141</v>
      </c>
      <c r="AE53" s="8" t="s">
        <v>148</v>
      </c>
      <c r="AF53" s="736">
        <v>2</v>
      </c>
      <c r="AG53" s="232" t="s">
        <v>21</v>
      </c>
      <c r="AH53" s="259">
        <v>50</v>
      </c>
      <c r="AI53" s="102"/>
      <c r="AJ53" s="102" t="str">
        <f t="shared" si="1"/>
        <v>iC60L</v>
      </c>
      <c r="AK53" s="201" t="s">
        <v>21</v>
      </c>
      <c r="AL53" s="240"/>
      <c r="AM53" s="240">
        <v>40</v>
      </c>
      <c r="AN53" s="102"/>
      <c r="AO53" s="102" t="str">
        <f t="shared" si="2"/>
        <v>iC60N63</v>
      </c>
      <c r="AP53" s="222" t="s">
        <v>19</v>
      </c>
      <c r="AQ53" s="222"/>
      <c r="AR53" s="256">
        <v>63</v>
      </c>
      <c r="AS53" s="222" t="s">
        <v>59</v>
      </c>
      <c r="AT53" s="102"/>
      <c r="AU53" s="232" t="s">
        <v>150</v>
      </c>
      <c r="AV53" s="254" t="s">
        <v>30</v>
      </c>
      <c r="AW53" s="206">
        <v>630</v>
      </c>
      <c r="AX53" s="204" t="s">
        <v>1261</v>
      </c>
      <c r="AY53" s="110"/>
      <c r="AZ53" s="1430" t="s">
        <v>89</v>
      </c>
      <c r="BA53" s="1431"/>
      <c r="BB53" t="s">
        <v>70</v>
      </c>
      <c r="BC53" s="11">
        <f>0.7*BC56</f>
        <v>175</v>
      </c>
      <c r="BD53" s="231">
        <v>80</v>
      </c>
      <c r="BE53" s="232" t="s">
        <v>597</v>
      </c>
      <c r="BF53" s="7"/>
      <c r="BG53" s="7"/>
      <c r="BH53" s="878"/>
      <c r="BI53" s="1073" t="s">
        <v>1261</v>
      </c>
      <c r="BJ53" s="1074"/>
      <c r="BK53" s="878"/>
      <c r="BL53" s="7"/>
      <c r="CB53" s="41" t="str">
        <f t="shared" si="3"/>
        <v>iC60463</v>
      </c>
      <c r="CC53" s="213" t="s">
        <v>105</v>
      </c>
      <c r="CD53" s="213">
        <v>4</v>
      </c>
      <c r="CE53" s="214">
        <v>63</v>
      </c>
      <c r="CF53" s="214"/>
      <c r="CG53" s="201" t="s">
        <v>595</v>
      </c>
      <c r="CH53" s="7"/>
      <c r="CI53" s="7"/>
      <c r="DG53" s="400"/>
      <c r="DH53" s="22"/>
      <c r="DI53" s="22"/>
      <c r="DJ53" s="22"/>
      <c r="DK53" s="344"/>
      <c r="DL53" s="375" t="str">
        <f t="shared" si="23"/>
        <v>TN-C-S2125</v>
      </c>
      <c r="DM53" s="376" t="s">
        <v>7</v>
      </c>
      <c r="DN53" s="376">
        <v>2</v>
      </c>
      <c r="DO53" s="376">
        <v>125</v>
      </c>
      <c r="DP53" s="376">
        <v>1</v>
      </c>
      <c r="DQ53" s="377" t="s">
        <v>391</v>
      </c>
      <c r="DR53" s="358"/>
      <c r="DS53" s="358"/>
      <c r="DT53" s="358"/>
      <c r="DU53" s="358"/>
      <c r="DV53" s="358"/>
      <c r="DW53" s="358"/>
      <c r="DX53" s="358"/>
      <c r="DY53" s="358"/>
      <c r="DZ53" s="358"/>
      <c r="EA53" s="358"/>
      <c r="EB53" s="358"/>
      <c r="EC53" s="358"/>
      <c r="ED53" s="358"/>
      <c r="EE53" s="358"/>
      <c r="EF53" s="22"/>
      <c r="EG53" s="22"/>
      <c r="EH53" s="22"/>
      <c r="EI53" s="22"/>
      <c r="EJ53" s="22"/>
      <c r="EK53" s="22"/>
      <c r="EL53" s="22"/>
      <c r="EM53" s="22"/>
      <c r="EN53" s="344"/>
      <c r="EO53" s="344"/>
      <c r="EP53" s="22"/>
      <c r="EQ53" s="22"/>
      <c r="ER53" s="22"/>
      <c r="EU53" s="344"/>
      <c r="EV53" s="22"/>
      <c r="EW53" s="22"/>
      <c r="EX53" s="22"/>
      <c r="EY53" s="22"/>
      <c r="EZ53" s="22"/>
      <c r="FA53" s="22"/>
      <c r="FB53" s="22"/>
      <c r="FC53" s="22"/>
      <c r="FD53" s="22"/>
      <c r="FE53" s="22"/>
    </row>
    <row r="54" spans="24:161" x14ac:dyDescent="0.2">
      <c r="X54" s="155" t="s">
        <v>499</v>
      </c>
      <c r="AA54" s="8" t="s">
        <v>25</v>
      </c>
      <c r="AB54" s="437">
        <v>4</v>
      </c>
      <c r="AC54" s="116" t="s">
        <v>430</v>
      </c>
      <c r="AD54" s="117" t="s">
        <v>312</v>
      </c>
      <c r="AE54" s="8" t="s">
        <v>148</v>
      </c>
      <c r="AF54" s="736">
        <v>3</v>
      </c>
      <c r="AG54" s="232" t="s">
        <v>21</v>
      </c>
      <c r="AH54" s="259">
        <v>63</v>
      </c>
      <c r="AI54" s="102"/>
      <c r="AJ54" s="102" t="str">
        <f t="shared" si="1"/>
        <v>iC60L</v>
      </c>
      <c r="AK54" s="201" t="s">
        <v>21</v>
      </c>
      <c r="AL54" s="240"/>
      <c r="AM54" s="240">
        <v>50</v>
      </c>
      <c r="AN54" s="102"/>
      <c r="AO54" s="102" t="str">
        <f t="shared" si="2"/>
        <v>iC60H0,5</v>
      </c>
      <c r="AP54" s="222" t="s">
        <v>20</v>
      </c>
      <c r="AQ54" s="221"/>
      <c r="AR54" s="256">
        <v>0.5</v>
      </c>
      <c r="AS54" s="222" t="s">
        <v>57</v>
      </c>
      <c r="AT54" s="102"/>
      <c r="AU54" s="232" t="s">
        <v>143</v>
      </c>
      <c r="AV54" s="254" t="s">
        <v>30</v>
      </c>
      <c r="AW54" s="206">
        <v>630</v>
      </c>
      <c r="AX54" s="204" t="s">
        <v>1262</v>
      </c>
      <c r="AY54" s="110"/>
      <c r="AZ54" s="32">
        <f>Бланк!D17*5</f>
        <v>0</v>
      </c>
      <c r="BA54" s="11">
        <f>Бланк!F17*1.5</f>
        <v>0</v>
      </c>
      <c r="BB54" t="s">
        <v>70</v>
      </c>
      <c r="BC54" s="11">
        <f>0.8*BC56</f>
        <v>200</v>
      </c>
      <c r="BD54" s="231">
        <v>80</v>
      </c>
      <c r="BE54" s="232" t="s">
        <v>290</v>
      </c>
      <c r="BF54" s="7"/>
      <c r="BG54" s="7"/>
      <c r="BH54" s="878"/>
      <c r="BI54" s="1073" t="s">
        <v>1262</v>
      </c>
      <c r="BJ54" s="1074"/>
      <c r="BK54" s="878"/>
      <c r="BL54" s="7"/>
      <c r="BO54" s="7"/>
      <c r="BP54" s="7"/>
      <c r="BQ54" s="1392" t="s">
        <v>591</v>
      </c>
      <c r="BR54" s="1393"/>
      <c r="BS54" s="1393"/>
      <c r="BT54" s="1393"/>
      <c r="BU54" s="1393"/>
      <c r="BV54" s="1393"/>
      <c r="BW54" s="1393"/>
      <c r="BX54" s="1393"/>
      <c r="BY54" s="1393"/>
      <c r="BZ54" s="1394"/>
      <c r="CA54" s="3"/>
      <c r="CB54" s="41" t="str">
        <f t="shared" si="3"/>
        <v>iC60463</v>
      </c>
      <c r="CC54" s="213" t="s">
        <v>105</v>
      </c>
      <c r="CD54" s="213">
        <v>4</v>
      </c>
      <c r="CE54" s="214">
        <v>63</v>
      </c>
      <c r="CF54" s="214"/>
      <c r="CG54" s="201" t="s">
        <v>596</v>
      </c>
      <c r="CH54" s="7"/>
      <c r="CI54" s="7"/>
      <c r="DG54" s="400"/>
      <c r="DH54" s="22"/>
      <c r="DI54" s="22"/>
      <c r="DJ54" s="22"/>
      <c r="DK54" s="344"/>
      <c r="DL54" s="375" t="str">
        <f t="shared" si="23"/>
        <v>TN-C-S2160</v>
      </c>
      <c r="DM54" s="376" t="s">
        <v>7</v>
      </c>
      <c r="DN54" s="376">
        <v>2</v>
      </c>
      <c r="DO54" s="376">
        <v>160</v>
      </c>
      <c r="DP54" s="376">
        <v>1</v>
      </c>
      <c r="DQ54" s="377" t="s">
        <v>392</v>
      </c>
      <c r="DR54" s="358"/>
      <c r="DS54" s="358"/>
      <c r="DT54" s="358"/>
      <c r="DU54" s="358"/>
      <c r="DV54" s="358"/>
      <c r="DW54" s="358"/>
      <c r="DX54" s="358"/>
      <c r="DY54" s="358"/>
      <c r="DZ54" s="358"/>
      <c r="EA54" s="358"/>
      <c r="EB54" s="358"/>
      <c r="EC54" s="358"/>
      <c r="ED54" s="358"/>
      <c r="EE54" s="358"/>
      <c r="EF54" s="22"/>
      <c r="EG54" s="22"/>
      <c r="EH54" s="22"/>
      <c r="EI54" s="22"/>
      <c r="EJ54" s="22"/>
      <c r="EK54" s="22"/>
      <c r="EL54" s="22"/>
      <c r="EM54" s="22"/>
      <c r="EN54" s="344"/>
      <c r="EO54" s="344"/>
      <c r="EP54" s="22"/>
      <c r="EQ54" s="22"/>
      <c r="ER54" s="22"/>
      <c r="EU54" s="344"/>
      <c r="EV54" s="22"/>
      <c r="EW54" s="22"/>
      <c r="EX54" s="22"/>
      <c r="EY54" s="22"/>
      <c r="EZ54" s="22"/>
      <c r="FA54" s="22"/>
      <c r="FB54" s="22"/>
      <c r="FC54" s="22"/>
      <c r="FD54" s="22"/>
      <c r="FE54" s="22"/>
    </row>
    <row r="55" spans="24:161" ht="13.5" thickBot="1" x14ac:dyDescent="0.25">
      <c r="X55" s="155" t="s">
        <v>500</v>
      </c>
      <c r="AA55" s="8" t="s">
        <v>485</v>
      </c>
      <c r="AB55" s="437">
        <v>3</v>
      </c>
      <c r="AC55" s="116" t="s">
        <v>433</v>
      </c>
      <c r="AD55" s="117" t="s">
        <v>139</v>
      </c>
      <c r="AE55" s="8" t="s">
        <v>148</v>
      </c>
      <c r="AF55" s="736">
        <v>4</v>
      </c>
      <c r="AG55" s="232" t="s">
        <v>148</v>
      </c>
      <c r="AH55" s="259">
        <v>0.5</v>
      </c>
      <c r="AI55" s="102"/>
      <c r="AJ55" s="102" t="str">
        <f t="shared" si="1"/>
        <v>iC60L</v>
      </c>
      <c r="AK55" s="217" t="s">
        <v>21</v>
      </c>
      <c r="AL55" s="241"/>
      <c r="AM55" s="241">
        <v>63</v>
      </c>
      <c r="AN55" s="102"/>
      <c r="AO55" s="102" t="str">
        <f t="shared" si="2"/>
        <v>iC60H0,5</v>
      </c>
      <c r="AP55" s="222" t="s">
        <v>20</v>
      </c>
      <c r="AQ55" s="221"/>
      <c r="AR55" s="256">
        <v>0.5</v>
      </c>
      <c r="AS55" s="222" t="s">
        <v>58</v>
      </c>
      <c r="AT55" s="102"/>
      <c r="AU55" s="232" t="s">
        <v>144</v>
      </c>
      <c r="AV55" s="254" t="s">
        <v>30</v>
      </c>
      <c r="AZ55" s="32">
        <f>Бланк!D17*6</f>
        <v>0</v>
      </c>
      <c r="BA55" s="11">
        <f>Бланк!F17*2</f>
        <v>0</v>
      </c>
      <c r="BB55" t="s">
        <v>70</v>
      </c>
      <c r="BC55" s="11">
        <f>0.9*BC56</f>
        <v>225</v>
      </c>
      <c r="BD55" s="231">
        <v>80</v>
      </c>
      <c r="BE55" s="232" t="s">
        <v>291</v>
      </c>
      <c r="BF55" s="7"/>
      <c r="BG55" s="7"/>
      <c r="BH55" s="878"/>
      <c r="BI55" s="878"/>
      <c r="BJ55" s="878"/>
      <c r="BK55" s="878"/>
      <c r="BL55" s="7"/>
      <c r="BO55" s="7"/>
      <c r="BP55" s="7"/>
      <c r="BQ55" s="302" t="s">
        <v>482</v>
      </c>
      <c r="BR55" s="302" t="s">
        <v>507</v>
      </c>
      <c r="BS55" s="302" t="s">
        <v>577</v>
      </c>
      <c r="BT55" s="302" t="s">
        <v>578</v>
      </c>
      <c r="BU55" s="302" t="s">
        <v>170</v>
      </c>
      <c r="BV55" s="213" t="s">
        <v>587</v>
      </c>
      <c r="BW55" s="302" t="s">
        <v>588</v>
      </c>
      <c r="BX55" s="213" t="s">
        <v>590</v>
      </c>
      <c r="BY55" s="302" t="s">
        <v>589</v>
      </c>
      <c r="BZ55" s="302" t="s">
        <v>608</v>
      </c>
      <c r="CA55" s="3"/>
      <c r="CB55" s="41" t="str">
        <f t="shared" si="3"/>
        <v>iC60463</v>
      </c>
      <c r="CC55" s="213" t="s">
        <v>105</v>
      </c>
      <c r="CD55" s="213">
        <v>4</v>
      </c>
      <c r="CE55" s="214">
        <v>63</v>
      </c>
      <c r="CF55" s="214"/>
      <c r="CG55" s="201" t="s">
        <v>597</v>
      </c>
      <c r="CH55" s="7"/>
      <c r="CI55" s="7"/>
      <c r="DG55" s="400"/>
      <c r="DH55" s="22"/>
      <c r="DI55" s="22"/>
      <c r="DJ55" s="22"/>
      <c r="DK55" s="344"/>
      <c r="DL55" s="375" t="str">
        <f t="shared" si="23"/>
        <v>TN-C-S2200</v>
      </c>
      <c r="DM55" s="376" t="s">
        <v>7</v>
      </c>
      <c r="DN55" s="376">
        <v>2</v>
      </c>
      <c r="DO55" s="376">
        <v>200</v>
      </c>
      <c r="DP55" s="376">
        <v>1</v>
      </c>
      <c r="DQ55" s="377" t="s">
        <v>393</v>
      </c>
      <c r="DR55" s="358"/>
      <c r="DS55" s="358"/>
      <c r="DT55" s="358"/>
      <c r="DU55" s="358"/>
      <c r="DV55" s="358"/>
      <c r="DW55" s="358"/>
      <c r="DX55" s="358"/>
      <c r="DY55" s="358"/>
      <c r="DZ55" s="358"/>
      <c r="EA55" s="358"/>
      <c r="EB55" s="358"/>
      <c r="EC55" s="358"/>
      <c r="ED55" s="358"/>
      <c r="EE55" s="358"/>
      <c r="EF55" s="22"/>
      <c r="EG55" s="22"/>
      <c r="EH55" s="22"/>
      <c r="EI55" s="22"/>
      <c r="EJ55" s="22"/>
      <c r="EK55" s="22"/>
      <c r="EL55" s="22"/>
      <c r="EM55" s="22"/>
      <c r="EN55" s="344"/>
      <c r="EO55" s="344"/>
      <c r="EP55" s="22"/>
      <c r="EQ55" s="22"/>
      <c r="ER55" s="22"/>
      <c r="EU55" s="344"/>
      <c r="EV55" s="22"/>
      <c r="EW55" s="22"/>
      <c r="EX55" s="22"/>
      <c r="EY55" s="22"/>
      <c r="EZ55" s="22"/>
      <c r="FA55" s="22"/>
      <c r="FB55" s="22"/>
      <c r="FC55" s="22"/>
      <c r="FD55" s="22"/>
      <c r="FE55" s="22"/>
    </row>
    <row r="56" spans="24:161" ht="13.5" thickTop="1" x14ac:dyDescent="0.2">
      <c r="X56" s="49" t="s">
        <v>128</v>
      </c>
      <c r="AA56" s="8" t="s">
        <v>485</v>
      </c>
      <c r="AB56" s="437">
        <v>4</v>
      </c>
      <c r="AC56" s="116" t="s">
        <v>433</v>
      </c>
      <c r="AD56" s="117" t="s">
        <v>140</v>
      </c>
      <c r="AE56" s="8" t="s">
        <v>148</v>
      </c>
      <c r="AF56" s="736">
        <v>5</v>
      </c>
      <c r="AG56" s="232" t="s">
        <v>148</v>
      </c>
      <c r="AH56" s="259">
        <v>1</v>
      </c>
      <c r="AI56" s="102"/>
      <c r="AJ56" s="102" t="str">
        <f t="shared" si="1"/>
        <v>C60H-DC</v>
      </c>
      <c r="AK56" s="190" t="s">
        <v>148</v>
      </c>
      <c r="AL56" s="242"/>
      <c r="AM56" s="242">
        <v>0.5</v>
      </c>
      <c r="AN56" s="102"/>
      <c r="AO56" s="102" t="str">
        <f t="shared" si="2"/>
        <v>iC60H0,5</v>
      </c>
      <c r="AP56" s="222" t="s">
        <v>20</v>
      </c>
      <c r="AQ56" s="221"/>
      <c r="AR56" s="256">
        <v>0.5</v>
      </c>
      <c r="AS56" s="222" t="s">
        <v>59</v>
      </c>
      <c r="AT56" s="102"/>
      <c r="AU56" s="232" t="s">
        <v>145</v>
      </c>
      <c r="AV56" s="254" t="s">
        <v>30</v>
      </c>
      <c r="AZ56" s="32">
        <f>Бланк!D17*7</f>
        <v>0</v>
      </c>
      <c r="BA56" s="11">
        <f>Бланк!F17*3</f>
        <v>0</v>
      </c>
      <c r="BB56" t="s">
        <v>70</v>
      </c>
      <c r="BC56" s="11">
        <v>250</v>
      </c>
      <c r="BD56" s="231">
        <v>80</v>
      </c>
      <c r="BE56" s="232" t="s">
        <v>292</v>
      </c>
      <c r="BF56" s="7"/>
      <c r="BG56" s="7"/>
      <c r="BH56" s="878"/>
      <c r="BI56" s="878"/>
      <c r="BJ56" s="878"/>
      <c r="BK56" s="878"/>
      <c r="BL56" s="7"/>
      <c r="BO56" s="7"/>
      <c r="BP56" s="7"/>
      <c r="BQ56" s="213" t="s">
        <v>116</v>
      </c>
      <c r="BR56" s="213" t="str">
        <f>Проверки!U4</f>
        <v>NSX250</v>
      </c>
      <c r="BS56" s="693" t="str">
        <f>MID(Проверки!C4,1,1)</f>
        <v>3</v>
      </c>
      <c r="BT56" s="693" t="str">
        <f>IF(Проверки!G4+Проверки!H4,MID(Проверки!B4,4,3),IF(Проверки!I4,IF(Проверки!D4&lt;=25,25,63),IF(Проверки!L4,"",IF(Проверки!M4,IF(Проверки!D4&lt;=63,63,125),Проверки!D4))))</f>
        <v>250</v>
      </c>
      <c r="BU56" s="213" t="str">
        <f>IF(Проверки!K4,Проверки!E4,"")</f>
        <v/>
      </c>
      <c r="BV56" s="213" t="str">
        <f t="shared" ref="BV56:BV71" si="28">BR56&amp;BS56&amp;BT56&amp;BU56</f>
        <v>NSX2503250</v>
      </c>
      <c r="BW56" s="213">
        <f t="shared" ref="BW56:BW71" si="29">IF(ISNA(MATCH($BV56,$CB$3:$CB$1000,0)),1,MATCH($BV56,$CB$3:$CB$1000,0))</f>
        <v>1</v>
      </c>
      <c r="BX56" s="213" t="str">
        <f t="shared" ref="BX56:BX71" ca="1" si="30">OFFSET($CG$3,$BW56-1,0,1)</f>
        <v>-</v>
      </c>
      <c r="BY56" s="213">
        <f t="shared" ref="BY56:BY71" ca="1" si="31">IF(COUNTIF(OFFSET($CB$3,$BW56-1,0,20),$BV56),COUNTIF(OFFSET($CB$3,$BW56-1,0,20),$BV56),1)</f>
        <v>1</v>
      </c>
      <c r="BZ56" s="213" t="s">
        <v>294</v>
      </c>
      <c r="CA56" s="41"/>
      <c r="CB56" s="41" t="str">
        <f t="shared" si="3"/>
        <v>iC60463</v>
      </c>
      <c r="CC56" s="213" t="s">
        <v>105</v>
      </c>
      <c r="CD56" s="213">
        <v>4</v>
      </c>
      <c r="CE56" s="214">
        <v>63</v>
      </c>
      <c r="CF56" s="214"/>
      <c r="CG56" s="201" t="s">
        <v>598</v>
      </c>
      <c r="CH56" s="7"/>
      <c r="CI56" s="7"/>
      <c r="DG56" s="400"/>
      <c r="DH56" s="22"/>
      <c r="DI56" s="22"/>
      <c r="DJ56" s="22"/>
      <c r="DK56" s="344"/>
      <c r="DL56" s="375" t="str">
        <f t="shared" si="23"/>
        <v>TN-C-S2250</v>
      </c>
      <c r="DM56" s="376" t="s">
        <v>7</v>
      </c>
      <c r="DN56" s="376">
        <v>2</v>
      </c>
      <c r="DO56" s="376">
        <v>250</v>
      </c>
      <c r="DP56" s="376">
        <v>1</v>
      </c>
      <c r="DQ56" s="377" t="s">
        <v>394</v>
      </c>
      <c r="DR56" s="358"/>
      <c r="DS56" s="358"/>
      <c r="DT56" s="358"/>
      <c r="DU56" s="358"/>
      <c r="DV56" s="358"/>
      <c r="DW56" s="358"/>
      <c r="DX56" s="358"/>
      <c r="DY56" s="358"/>
      <c r="DZ56" s="358"/>
      <c r="EA56" s="358"/>
      <c r="EB56" s="358"/>
      <c r="EC56" s="358"/>
      <c r="ED56" s="358"/>
      <c r="EE56" s="358"/>
      <c r="EF56" s="22"/>
      <c r="EG56" s="22"/>
      <c r="EH56" s="22"/>
      <c r="EI56" s="22"/>
      <c r="EJ56" s="22"/>
      <c r="EK56" s="22"/>
      <c r="EL56" s="22"/>
      <c r="EM56" s="22"/>
      <c r="EN56" s="344"/>
      <c r="EO56" s="344"/>
      <c r="EP56" s="22"/>
      <c r="EQ56" s="22"/>
      <c r="ER56" s="22"/>
      <c r="EU56" s="344"/>
      <c r="EV56" s="22"/>
      <c r="EW56" s="22"/>
      <c r="EX56" s="22"/>
      <c r="EY56" s="22"/>
      <c r="EZ56" s="22"/>
      <c r="FA56" s="22"/>
      <c r="FB56" s="22"/>
      <c r="FC56" s="22"/>
      <c r="FD56" s="22"/>
      <c r="FE56" s="22"/>
    </row>
    <row r="57" spans="24:161" x14ac:dyDescent="0.2">
      <c r="X57" s="49" t="s">
        <v>129</v>
      </c>
      <c r="AA57" s="8" t="s">
        <v>26</v>
      </c>
      <c r="AB57" s="437">
        <v>3</v>
      </c>
      <c r="AC57" s="116" t="s">
        <v>433</v>
      </c>
      <c r="AD57" s="117" t="s">
        <v>141</v>
      </c>
      <c r="AE57" s="8" t="s">
        <v>148</v>
      </c>
      <c r="AF57" s="736">
        <v>6</v>
      </c>
      <c r="AG57" s="232" t="s">
        <v>148</v>
      </c>
      <c r="AH57" s="259">
        <v>2</v>
      </c>
      <c r="AI57" s="102"/>
      <c r="AJ57" s="102" t="str">
        <f t="shared" si="1"/>
        <v>C60H-DC</v>
      </c>
      <c r="AK57" s="201" t="s">
        <v>148</v>
      </c>
      <c r="AL57" s="240"/>
      <c r="AM57" s="240">
        <v>1</v>
      </c>
      <c r="AN57" s="102"/>
      <c r="AO57" s="102" t="str">
        <f t="shared" si="2"/>
        <v>iC60H1</v>
      </c>
      <c r="AP57" s="222" t="s">
        <v>20</v>
      </c>
      <c r="AQ57" s="221"/>
      <c r="AR57" s="256">
        <v>1</v>
      </c>
      <c r="AS57" s="222" t="s">
        <v>57</v>
      </c>
      <c r="AT57" s="102"/>
      <c r="AU57" s="232" t="s">
        <v>146</v>
      </c>
      <c r="AV57" s="254" t="s">
        <v>30</v>
      </c>
      <c r="AZ57" s="32">
        <f>Бланк!D17*8</f>
        <v>0</v>
      </c>
      <c r="BA57" s="11">
        <f>Бланк!F17*4</f>
        <v>0</v>
      </c>
      <c r="BB57" s="9" t="s">
        <v>562</v>
      </c>
      <c r="BC57" s="11">
        <f>0.7*16</f>
        <v>11.2</v>
      </c>
      <c r="BD57" s="231">
        <v>100</v>
      </c>
      <c r="BE57" s="232" t="s">
        <v>595</v>
      </c>
      <c r="BF57" s="7"/>
      <c r="BG57" s="7"/>
      <c r="BH57" s="878"/>
      <c r="BI57" s="878"/>
      <c r="BJ57" s="878"/>
      <c r="BK57" s="878"/>
      <c r="BL57" s="7"/>
      <c r="BO57" s="7"/>
      <c r="BP57" s="7"/>
      <c r="BQ57" s="213" t="s">
        <v>85</v>
      </c>
      <c r="BR57" s="213" t="str">
        <f>Проверки!U5</f>
        <v>iC60</v>
      </c>
      <c r="BS57" s="693" t="str">
        <f>MID(Проверки!C5,1,1)</f>
        <v>1</v>
      </c>
      <c r="BT57" s="693">
        <f>IF(Проверки!G5+Проверки!H5,MID(Проверки!B5,4,3),IF(Проверки!I5,IF(Проверки!D5&lt;=25,25,63),IF(Проверки!L5,"",IF(Проверки!M5,IF(Проверки!D5&lt;=63,63,125),Проверки!D5))))</f>
        <v>63</v>
      </c>
      <c r="BU57" s="213" t="str">
        <f>IF(Проверки!K5,Проверки!E5,"")</f>
        <v/>
      </c>
      <c r="BV57" s="213" t="str">
        <f t="shared" si="28"/>
        <v>iC60163</v>
      </c>
      <c r="BW57" s="213">
        <f t="shared" si="29"/>
        <v>1</v>
      </c>
      <c r="BX57" s="213" t="str">
        <f t="shared" ca="1" si="30"/>
        <v>-</v>
      </c>
      <c r="BY57" s="213">
        <f t="shared" ca="1" si="31"/>
        <v>1</v>
      </c>
      <c r="BZ57" s="213" t="s">
        <v>30</v>
      </c>
      <c r="CA57" s="41"/>
      <c r="CB57" s="41" t="str">
        <f t="shared" si="3"/>
        <v>iC60463</v>
      </c>
      <c r="CC57" s="213" t="s">
        <v>105</v>
      </c>
      <c r="CD57" s="213">
        <v>4</v>
      </c>
      <c r="CE57" s="214">
        <v>63</v>
      </c>
      <c r="CF57" s="214"/>
      <c r="CG57" s="201" t="s">
        <v>600</v>
      </c>
      <c r="CH57" s="7"/>
      <c r="CI57" s="7"/>
      <c r="DG57" s="400"/>
      <c r="DH57" s="22"/>
      <c r="DI57" s="22"/>
      <c r="DJ57" s="22"/>
      <c r="DK57" s="344"/>
      <c r="DL57" s="375" t="str">
        <f t="shared" si="23"/>
        <v>TN-C-S2400</v>
      </c>
      <c r="DM57" s="376" t="s">
        <v>7</v>
      </c>
      <c r="DN57" s="376">
        <v>2</v>
      </c>
      <c r="DO57" s="376">
        <v>400</v>
      </c>
      <c r="DP57" s="376">
        <v>2</v>
      </c>
      <c r="DQ57" s="377" t="s">
        <v>393</v>
      </c>
      <c r="DR57" s="358"/>
      <c r="DS57" s="358"/>
      <c r="DT57" s="358"/>
      <c r="DU57" s="358"/>
      <c r="DV57" s="358"/>
      <c r="DW57" s="358"/>
      <c r="DX57" s="358"/>
      <c r="DY57" s="358"/>
      <c r="DZ57" s="358"/>
      <c r="EA57" s="358"/>
      <c r="EB57" s="358"/>
      <c r="EC57" s="358"/>
      <c r="ED57" s="358"/>
      <c r="EE57" s="358"/>
      <c r="EF57" s="22"/>
      <c r="EG57" s="22"/>
      <c r="EH57" s="22"/>
      <c r="EI57" s="22"/>
      <c r="EJ57" s="22"/>
      <c r="EK57" s="22"/>
      <c r="EL57" s="22"/>
      <c r="EM57" s="22"/>
      <c r="EN57" s="344"/>
      <c r="EO57" s="344"/>
      <c r="EP57" s="22"/>
      <c r="EQ57" s="22"/>
      <c r="ER57" s="22"/>
      <c r="EU57" s="344"/>
      <c r="EV57" s="22"/>
      <c r="EW57" s="22"/>
      <c r="EX57" s="22"/>
      <c r="EY57" s="22"/>
      <c r="EZ57" s="22"/>
      <c r="FA57" s="22"/>
      <c r="FB57" s="22"/>
      <c r="FC57" s="22"/>
      <c r="FD57" s="22"/>
      <c r="FE57" s="22"/>
    </row>
    <row r="58" spans="24:161" x14ac:dyDescent="0.2">
      <c r="X58" s="49" t="s">
        <v>489</v>
      </c>
      <c r="AA58" s="8" t="s">
        <v>26</v>
      </c>
      <c r="AB58" s="437">
        <v>4</v>
      </c>
      <c r="AC58" s="116" t="s">
        <v>433</v>
      </c>
      <c r="AD58" s="117" t="s">
        <v>312</v>
      </c>
      <c r="AE58" s="8" t="s">
        <v>148</v>
      </c>
      <c r="AF58" s="736">
        <v>10</v>
      </c>
      <c r="AG58" s="232" t="s">
        <v>148</v>
      </c>
      <c r="AH58" s="259">
        <v>3</v>
      </c>
      <c r="AI58" s="102"/>
      <c r="AJ58" s="102" t="str">
        <f t="shared" si="1"/>
        <v>C60H-DC</v>
      </c>
      <c r="AK58" s="201" t="s">
        <v>148</v>
      </c>
      <c r="AL58" s="240"/>
      <c r="AM58" s="240">
        <v>2</v>
      </c>
      <c r="AN58" s="102"/>
      <c r="AO58" s="102" t="str">
        <f t="shared" si="2"/>
        <v>iC60H1</v>
      </c>
      <c r="AP58" s="222" t="s">
        <v>20</v>
      </c>
      <c r="AQ58" s="221"/>
      <c r="AR58" s="256">
        <v>1</v>
      </c>
      <c r="AS58" s="222" t="s">
        <v>58</v>
      </c>
      <c r="AT58" s="102"/>
      <c r="AU58" s="232" t="s">
        <v>147</v>
      </c>
      <c r="AV58" s="254" t="s">
        <v>30</v>
      </c>
      <c r="AZ58" s="32">
        <f>Бланк!D17*9</f>
        <v>0</v>
      </c>
      <c r="BA58" s="11">
        <f>Бланк!F17*5</f>
        <v>0</v>
      </c>
      <c r="BB58" s="9" t="s">
        <v>562</v>
      </c>
      <c r="BC58" s="11">
        <f>0.8*16</f>
        <v>12.8</v>
      </c>
      <c r="BD58" s="231">
        <v>100</v>
      </c>
      <c r="BE58" s="232" t="s">
        <v>596</v>
      </c>
      <c r="BF58" s="7"/>
      <c r="BG58" s="7"/>
      <c r="BH58" s="878"/>
      <c r="BI58" s="878"/>
      <c r="BJ58" s="878"/>
      <c r="BK58" s="878"/>
      <c r="BL58" s="7"/>
      <c r="BO58" s="7"/>
      <c r="BP58" s="7"/>
      <c r="BQ58" s="213" t="s">
        <v>86</v>
      </c>
      <c r="BR58" s="213" t="str">
        <f>Проверки!U6</f>
        <v>iC60</v>
      </c>
      <c r="BS58" s="693" t="str">
        <f>MID(Проверки!C6,1,1)</f>
        <v>1</v>
      </c>
      <c r="BT58" s="693">
        <f>IF(Проверки!G6+Проверки!H6,MID(Проверки!B6,4,3),IF(Проверки!I6,IF(Проверки!D6&lt;=25,25,63),IF(Проверки!L6,"",IF(Проверки!M6,IF(Проверки!D6&lt;=63,63,125),Проверки!D6))))</f>
        <v>25</v>
      </c>
      <c r="BU58" s="213" t="str">
        <f>IF(Проверки!K6,Проверки!E6,"")</f>
        <v/>
      </c>
      <c r="BV58" s="213" t="str">
        <f t="shared" si="28"/>
        <v>iC60125</v>
      </c>
      <c r="BW58" s="213">
        <f t="shared" si="29"/>
        <v>1</v>
      </c>
      <c r="BX58" s="213" t="str">
        <f t="shared" ca="1" si="30"/>
        <v>-</v>
      </c>
      <c r="BY58" s="213">
        <f t="shared" ca="1" si="31"/>
        <v>1</v>
      </c>
      <c r="BZ58" s="213" t="s">
        <v>296</v>
      </c>
      <c r="CA58" s="41"/>
      <c r="CB58" s="41" t="str">
        <f t="shared" si="3"/>
        <v>iC60463</v>
      </c>
      <c r="CC58" s="213" t="s">
        <v>105</v>
      </c>
      <c r="CD58" s="213">
        <v>4</v>
      </c>
      <c r="CE58" s="214">
        <v>63</v>
      </c>
      <c r="CF58" s="214"/>
      <c r="CG58" s="201" t="s">
        <v>601</v>
      </c>
      <c r="CH58" s="7"/>
      <c r="CI58" s="7"/>
      <c r="DG58" s="400"/>
      <c r="DH58" s="22"/>
      <c r="DI58" s="22"/>
      <c r="DJ58" s="22"/>
      <c r="DK58" s="344"/>
      <c r="DL58" s="375" t="str">
        <f t="shared" si="23"/>
        <v>TN-C-S2630</v>
      </c>
      <c r="DM58" s="376" t="s">
        <v>7</v>
      </c>
      <c r="DN58" s="376">
        <v>2</v>
      </c>
      <c r="DO58" s="376">
        <v>630</v>
      </c>
      <c r="DP58" s="376">
        <v>2</v>
      </c>
      <c r="DQ58" s="377" t="s">
        <v>396</v>
      </c>
      <c r="DR58" s="358"/>
      <c r="DS58" s="358"/>
      <c r="DT58" s="358"/>
      <c r="DU58" s="358"/>
      <c r="DV58" s="358"/>
      <c r="DW58" s="358"/>
      <c r="DX58" s="358"/>
      <c r="DY58" s="358"/>
      <c r="DZ58" s="358"/>
      <c r="EA58" s="358"/>
      <c r="EB58" s="358"/>
      <c r="EC58" s="358"/>
      <c r="ED58" s="358"/>
      <c r="EE58" s="358"/>
      <c r="EF58" s="22"/>
      <c r="EG58" s="22"/>
      <c r="EH58" s="22"/>
      <c r="EI58" s="22"/>
      <c r="EJ58" s="22"/>
      <c r="EK58" s="22"/>
      <c r="EL58" s="22"/>
      <c r="EM58" s="22"/>
      <c r="EN58" s="344"/>
      <c r="EO58" s="344"/>
      <c r="EP58" s="22"/>
      <c r="EQ58" s="22"/>
      <c r="ER58" s="22"/>
      <c r="EU58" s="344"/>
      <c r="EV58" s="22"/>
      <c r="EW58" s="22"/>
      <c r="EX58" s="22"/>
      <c r="EY58" s="22"/>
      <c r="EZ58" s="22"/>
      <c r="FA58" s="22"/>
      <c r="FB58" s="22"/>
      <c r="FC58" s="22"/>
      <c r="FD58" s="22"/>
      <c r="FE58" s="22"/>
    </row>
    <row r="59" spans="24:161" x14ac:dyDescent="0.2">
      <c r="X59" s="49" t="s">
        <v>130</v>
      </c>
      <c r="AA59" s="8" t="s">
        <v>27</v>
      </c>
      <c r="AB59" s="437">
        <v>3</v>
      </c>
      <c r="AC59" s="116" t="s">
        <v>344</v>
      </c>
      <c r="AD59" s="117" t="s">
        <v>136</v>
      </c>
      <c r="AE59" s="8" t="s">
        <v>148</v>
      </c>
      <c r="AF59" s="736">
        <v>13</v>
      </c>
      <c r="AG59" s="232" t="s">
        <v>148</v>
      </c>
      <c r="AH59" s="259">
        <v>4</v>
      </c>
      <c r="AI59" s="102"/>
      <c r="AJ59" s="102" t="str">
        <f t="shared" si="1"/>
        <v>C60H-DC</v>
      </c>
      <c r="AK59" s="201" t="s">
        <v>148</v>
      </c>
      <c r="AL59" s="240"/>
      <c r="AM59" s="240">
        <v>3</v>
      </c>
      <c r="AN59" s="102"/>
      <c r="AO59" s="102" t="str">
        <f t="shared" si="2"/>
        <v>iC60H1</v>
      </c>
      <c r="AP59" s="222" t="s">
        <v>20</v>
      </c>
      <c r="AQ59" s="221"/>
      <c r="AR59" s="256">
        <v>1</v>
      </c>
      <c r="AS59" s="222" t="s">
        <v>59</v>
      </c>
      <c r="AT59" s="102"/>
      <c r="AU59" s="232" t="s">
        <v>344</v>
      </c>
      <c r="AV59" s="254" t="s">
        <v>57</v>
      </c>
      <c r="AZ59" s="32">
        <f>Бланк!D17*10</f>
        <v>0</v>
      </c>
      <c r="BA59" s="11">
        <f>Бланк!F17*6</f>
        <v>0</v>
      </c>
      <c r="BB59" s="9" t="s">
        <v>562</v>
      </c>
      <c r="BC59" s="11">
        <f>0.9*16</f>
        <v>14.4</v>
      </c>
      <c r="BD59" s="231">
        <v>100</v>
      </c>
      <c r="BE59" s="232" t="s">
        <v>597</v>
      </c>
      <c r="BF59" s="41"/>
      <c r="BG59" s="41"/>
      <c r="BH59" s="41"/>
      <c r="BI59" s="41"/>
      <c r="BJ59" s="41"/>
      <c r="BK59" s="41"/>
      <c r="BL59" s="41"/>
      <c r="BO59" s="7"/>
      <c r="BP59" s="7"/>
      <c r="BQ59" s="213" t="s">
        <v>87</v>
      </c>
      <c r="BR59" s="213" t="str">
        <f>Проверки!U7</f>
        <v/>
      </c>
      <c r="BS59" s="693" t="str">
        <f>MID(Проверки!C7,1,1)</f>
        <v/>
      </c>
      <c r="BT59" s="693" t="str">
        <f>IF(Проверки!G7+Проверки!H7,MID(Проверки!B7,4,3),IF(Проверки!I7,IF(Проверки!D7&lt;=25,25,63),IF(Проверки!L7,"",IF(Проверки!M7,IF(Проверки!D7&lt;=63,63,125),Проверки!D7))))</f>
        <v/>
      </c>
      <c r="BU59" s="213" t="str">
        <f>IF(Проверки!K7,Проверки!E7,"")</f>
        <v/>
      </c>
      <c r="BV59" s="213" t="str">
        <f t="shared" si="28"/>
        <v/>
      </c>
      <c r="BW59" s="213">
        <f t="shared" si="29"/>
        <v>1</v>
      </c>
      <c r="BX59" s="213" t="str">
        <f t="shared" ca="1" si="30"/>
        <v>-</v>
      </c>
      <c r="BY59" s="213">
        <f t="shared" ca="1" si="31"/>
        <v>1</v>
      </c>
      <c r="BZ59" s="213" t="s">
        <v>602</v>
      </c>
      <c r="CA59" s="41"/>
      <c r="CB59" s="41" t="str">
        <f t="shared" si="3"/>
        <v>iC60463</v>
      </c>
      <c r="CC59" s="213" t="s">
        <v>105</v>
      </c>
      <c r="CD59" s="213">
        <v>4</v>
      </c>
      <c r="CE59" s="214">
        <v>63</v>
      </c>
      <c r="CF59" s="214"/>
      <c r="CG59" s="201" t="s">
        <v>602</v>
      </c>
      <c r="CH59" s="41"/>
      <c r="CI59" s="41"/>
      <c r="CJ59" s="6"/>
      <c r="CK59" s="6"/>
      <c r="CL59" s="6"/>
      <c r="CM59" s="6"/>
      <c r="CN59" s="6"/>
      <c r="DG59" s="400"/>
      <c r="DH59" s="22"/>
      <c r="DI59" s="22"/>
      <c r="DJ59" s="22"/>
      <c r="DK59" s="344"/>
      <c r="DL59" s="375" t="str">
        <f t="shared" si="23"/>
        <v>TN-C-S310</v>
      </c>
      <c r="DM59" s="376" t="s">
        <v>7</v>
      </c>
      <c r="DN59" s="376">
        <v>3</v>
      </c>
      <c r="DO59" s="376">
        <v>10</v>
      </c>
      <c r="DP59" s="376">
        <v>1</v>
      </c>
      <c r="DQ59" s="377" t="s">
        <v>412</v>
      </c>
      <c r="DR59" s="358"/>
      <c r="DS59" s="358"/>
      <c r="DT59" s="358"/>
      <c r="DU59" s="358"/>
      <c r="DV59" s="358"/>
      <c r="DW59" s="358"/>
      <c r="DX59" s="358"/>
      <c r="DY59" s="358"/>
      <c r="DZ59" s="358"/>
      <c r="EA59" s="358"/>
      <c r="EB59" s="358"/>
      <c r="EC59" s="358"/>
      <c r="ED59" s="358"/>
      <c r="EE59" s="358"/>
      <c r="EF59" s="22"/>
      <c r="EG59" s="22"/>
      <c r="EH59" s="22"/>
      <c r="EI59" s="22"/>
      <c r="EJ59" s="22"/>
      <c r="EK59" s="22"/>
      <c r="EL59" s="22"/>
      <c r="EM59" s="22"/>
      <c r="EN59" s="344"/>
      <c r="EO59" s="344"/>
      <c r="EP59" s="22"/>
      <c r="EQ59" s="22"/>
      <c r="ER59" s="22"/>
      <c r="EU59" s="344"/>
      <c r="EV59" s="22"/>
      <c r="EW59" s="22"/>
      <c r="EX59" s="22"/>
      <c r="EY59" s="22"/>
      <c r="EZ59" s="22"/>
      <c r="FA59" s="22"/>
      <c r="FB59" s="22"/>
      <c r="FC59" s="22"/>
      <c r="FD59" s="22"/>
      <c r="FE59" s="22"/>
    </row>
    <row r="60" spans="24:161" ht="12.75" customHeight="1" x14ac:dyDescent="0.2">
      <c r="X60" s="49" t="s">
        <v>131</v>
      </c>
      <c r="AA60" s="8" t="s">
        <v>27</v>
      </c>
      <c r="AB60" s="437">
        <v>4</v>
      </c>
      <c r="AC60" s="116" t="s">
        <v>344</v>
      </c>
      <c r="AD60" s="117" t="s">
        <v>137</v>
      </c>
      <c r="AE60" s="8" t="s">
        <v>148</v>
      </c>
      <c r="AF60" s="736">
        <v>15</v>
      </c>
      <c r="AG60" s="232" t="s">
        <v>148</v>
      </c>
      <c r="AH60" s="259">
        <v>5</v>
      </c>
      <c r="AI60" s="102"/>
      <c r="AJ60" s="102" t="str">
        <f t="shared" si="1"/>
        <v>C60H-DC</v>
      </c>
      <c r="AK60" s="201" t="s">
        <v>148</v>
      </c>
      <c r="AL60" s="240"/>
      <c r="AM60" s="240">
        <v>4</v>
      </c>
      <c r="AN60" s="102"/>
      <c r="AO60" s="102" t="str">
        <f t="shared" si="2"/>
        <v>iC60H2</v>
      </c>
      <c r="AP60" s="222" t="s">
        <v>20</v>
      </c>
      <c r="AQ60" s="221"/>
      <c r="AR60" s="256">
        <v>2</v>
      </c>
      <c r="AS60" s="222" t="s">
        <v>57</v>
      </c>
      <c r="AT60" s="102"/>
      <c r="AU60" s="232" t="s">
        <v>344</v>
      </c>
      <c r="AV60" s="254" t="s">
        <v>58</v>
      </c>
      <c r="AZ60" s="32"/>
      <c r="BA60" s="11">
        <f>Бланк!F17*7</f>
        <v>0</v>
      </c>
      <c r="BB60" s="9" t="s">
        <v>562</v>
      </c>
      <c r="BC60" s="11">
        <v>16</v>
      </c>
      <c r="BD60" s="231">
        <v>100</v>
      </c>
      <c r="BE60" s="232" t="s">
        <v>290</v>
      </c>
      <c r="BO60" s="7"/>
      <c r="BP60" s="7"/>
      <c r="BQ60" s="213" t="s">
        <v>88</v>
      </c>
      <c r="BR60" s="213" t="str">
        <f>Проверки!U8</f>
        <v/>
      </c>
      <c r="BS60" s="693" t="str">
        <f>MID(Проверки!C8,1,1)</f>
        <v/>
      </c>
      <c r="BT60" s="693" t="str">
        <f>IF(Проверки!G8+Проверки!H8,MID(Проверки!B8,4,3),IF(Проверки!I8,IF(Проверки!D8&lt;=25,25,63),IF(Проверки!L8,"",IF(Проверки!M8,IF(Проверки!D8&lt;=63,63,125),Проверки!D8))))</f>
        <v/>
      </c>
      <c r="BU60" s="213" t="str">
        <f>IF(Проверки!K8,Проверки!E8,"")</f>
        <v/>
      </c>
      <c r="BV60" s="213" t="str">
        <f t="shared" si="28"/>
        <v/>
      </c>
      <c r="BW60" s="213">
        <f t="shared" si="29"/>
        <v>1</v>
      </c>
      <c r="BX60" s="213" t="str">
        <f t="shared" ca="1" si="30"/>
        <v>-</v>
      </c>
      <c r="BY60" s="213">
        <f t="shared" ca="1" si="31"/>
        <v>1</v>
      </c>
      <c r="BZ60" s="213" t="s">
        <v>295</v>
      </c>
      <c r="CA60" s="41"/>
      <c r="CB60" s="41" t="str">
        <f t="shared" si="3"/>
        <v>iC60463</v>
      </c>
      <c r="CC60" s="213" t="s">
        <v>105</v>
      </c>
      <c r="CD60" s="213">
        <v>4</v>
      </c>
      <c r="CE60" s="214">
        <v>63</v>
      </c>
      <c r="CF60" s="214"/>
      <c r="CG60" s="201" t="s">
        <v>603</v>
      </c>
      <c r="CH60" s="41"/>
      <c r="CI60" s="41"/>
      <c r="CJ60" s="6"/>
      <c r="CK60" s="6"/>
      <c r="CL60" s="6"/>
      <c r="CM60" s="6"/>
      <c r="CN60" s="6"/>
      <c r="DG60" s="400"/>
      <c r="DH60" s="22"/>
      <c r="DI60" s="22"/>
      <c r="DJ60" s="22"/>
      <c r="DK60" s="344"/>
      <c r="DL60" s="375" t="str">
        <f t="shared" si="23"/>
        <v>TN-C-S320</v>
      </c>
      <c r="DM60" s="376" t="s">
        <v>7</v>
      </c>
      <c r="DN60" s="376">
        <v>3</v>
      </c>
      <c r="DO60" s="376">
        <v>20</v>
      </c>
      <c r="DP60" s="376">
        <v>1</v>
      </c>
      <c r="DQ60" s="377" t="s">
        <v>350</v>
      </c>
      <c r="DR60" s="358"/>
      <c r="DS60" s="358"/>
      <c r="DT60" s="358"/>
      <c r="DU60" s="358"/>
      <c r="DV60" s="358"/>
      <c r="DW60" s="358"/>
      <c r="DX60" s="358"/>
      <c r="DY60" s="358"/>
      <c r="DZ60" s="358"/>
      <c r="EA60" s="358"/>
      <c r="EB60" s="358"/>
      <c r="EC60" s="358"/>
      <c r="ED60" s="358"/>
      <c r="EE60" s="358"/>
      <c r="EF60" s="22"/>
      <c r="EG60" s="22"/>
      <c r="EH60" s="22"/>
      <c r="EI60" s="22"/>
      <c r="EJ60" s="22"/>
      <c r="EK60" s="22"/>
      <c r="EL60" s="22"/>
      <c r="EM60" s="22"/>
      <c r="EN60" s="344"/>
      <c r="EO60" s="344"/>
      <c r="EP60" s="22"/>
      <c r="EQ60" s="22"/>
      <c r="ER60" s="22"/>
      <c r="EU60" s="344"/>
      <c r="EV60" s="22"/>
      <c r="EW60" s="22"/>
      <c r="EX60" s="22"/>
      <c r="EY60" s="22"/>
      <c r="EZ60" s="22"/>
      <c r="FA60" s="22"/>
      <c r="FB60" s="22"/>
      <c r="FC60" s="22"/>
      <c r="FD60" s="22"/>
      <c r="FE60" s="22"/>
    </row>
    <row r="61" spans="24:161" x14ac:dyDescent="0.2">
      <c r="X61" s="49" t="s">
        <v>490</v>
      </c>
      <c r="AA61" s="8" t="s">
        <v>484</v>
      </c>
      <c r="AB61" s="437">
        <v>3</v>
      </c>
      <c r="AC61" s="116" t="s">
        <v>344</v>
      </c>
      <c r="AD61" s="117" t="s">
        <v>138</v>
      </c>
      <c r="AE61" s="8" t="s">
        <v>148</v>
      </c>
      <c r="AF61" s="107">
        <v>16</v>
      </c>
      <c r="AG61" s="232" t="s">
        <v>148</v>
      </c>
      <c r="AH61" s="259">
        <v>6</v>
      </c>
      <c r="AI61" s="102"/>
      <c r="AJ61" s="102" t="str">
        <f t="shared" si="1"/>
        <v>C60H-DC</v>
      </c>
      <c r="AK61" s="201" t="s">
        <v>148</v>
      </c>
      <c r="AL61" s="240"/>
      <c r="AM61" s="240">
        <v>5</v>
      </c>
      <c r="AN61" s="102"/>
      <c r="AO61" s="102" t="str">
        <f t="shared" si="2"/>
        <v>iC60H2</v>
      </c>
      <c r="AP61" s="222" t="s">
        <v>20</v>
      </c>
      <c r="AQ61" s="222"/>
      <c r="AR61" s="256">
        <v>2</v>
      </c>
      <c r="AS61" s="222" t="s">
        <v>58</v>
      </c>
      <c r="AT61" s="102"/>
      <c r="AU61" s="232" t="s">
        <v>344</v>
      </c>
      <c r="AV61" s="254" t="s">
        <v>59</v>
      </c>
      <c r="AZ61" s="32"/>
      <c r="BA61" s="11">
        <f>Бланк!F17*8</f>
        <v>0</v>
      </c>
      <c r="BB61" s="9" t="s">
        <v>563</v>
      </c>
      <c r="BC61" s="11">
        <f>0.7*BC64</f>
        <v>17.5</v>
      </c>
      <c r="BD61" s="231">
        <v>100</v>
      </c>
      <c r="BE61" s="232" t="s">
        <v>291</v>
      </c>
      <c r="BO61" s="7"/>
      <c r="BP61" s="7"/>
      <c r="BQ61" s="213" t="s">
        <v>89</v>
      </c>
      <c r="BR61" s="213" t="str">
        <f>Проверки!U9</f>
        <v/>
      </c>
      <c r="BS61" s="693" t="str">
        <f>MID(Проверки!C9,1,1)</f>
        <v/>
      </c>
      <c r="BT61" s="693" t="str">
        <f>IF(Проверки!G9+Проверки!H9,MID(Проверки!B9,4,3),IF(Проверки!I9,IF(Проверки!D9&lt;=25,25,63),IF(Проверки!L9,"",IF(Проверки!M9,IF(Проверки!D9&lt;=63,63,125),Проверки!D9))))</f>
        <v/>
      </c>
      <c r="BU61" s="213" t="str">
        <f>IF(Проверки!K9,Проверки!E9,"")</f>
        <v/>
      </c>
      <c r="BV61" s="213" t="str">
        <f t="shared" si="28"/>
        <v/>
      </c>
      <c r="BW61" s="213">
        <f t="shared" si="29"/>
        <v>1</v>
      </c>
      <c r="BX61" s="213" t="str">
        <f t="shared" ca="1" si="30"/>
        <v>-</v>
      </c>
      <c r="BY61" s="213">
        <f t="shared" ca="1" si="31"/>
        <v>1</v>
      </c>
      <c r="BZ61" s="213"/>
      <c r="CA61" s="41"/>
      <c r="CB61" s="41" t="str">
        <f t="shared" si="3"/>
        <v>iC60463</v>
      </c>
      <c r="CC61" s="213" t="s">
        <v>105</v>
      </c>
      <c r="CD61" s="213">
        <v>4</v>
      </c>
      <c r="CE61" s="214">
        <v>63</v>
      </c>
      <c r="CF61" s="214"/>
      <c r="CG61" s="201" t="s">
        <v>604</v>
      </c>
      <c r="CH61" s="41"/>
      <c r="CI61" s="41"/>
      <c r="CJ61" s="6"/>
      <c r="CK61" s="6"/>
      <c r="CL61" s="6"/>
      <c r="CM61" s="6"/>
      <c r="CN61" s="6"/>
      <c r="DG61" s="400"/>
      <c r="DH61" s="22"/>
      <c r="DI61" s="22"/>
      <c r="DJ61" s="22"/>
      <c r="DK61" s="344"/>
      <c r="DL61" s="375" t="str">
        <f t="shared" si="23"/>
        <v>TN-C-S325</v>
      </c>
      <c r="DM61" s="376" t="s">
        <v>7</v>
      </c>
      <c r="DN61" s="376">
        <v>3</v>
      </c>
      <c r="DO61" s="376">
        <v>25</v>
      </c>
      <c r="DP61" s="376">
        <v>1</v>
      </c>
      <c r="DQ61" s="377" t="s">
        <v>413</v>
      </c>
      <c r="DR61" s="358"/>
      <c r="DS61" s="358"/>
      <c r="DT61" s="358"/>
      <c r="DU61" s="358"/>
      <c r="DV61" s="358"/>
      <c r="DW61" s="358"/>
      <c r="DX61" s="358"/>
      <c r="DY61" s="358"/>
      <c r="DZ61" s="358"/>
      <c r="EA61" s="358"/>
      <c r="EB61" s="358"/>
      <c r="EC61" s="358"/>
      <c r="ED61" s="358"/>
      <c r="EE61" s="358"/>
      <c r="EF61" s="22"/>
      <c r="EG61" s="22"/>
      <c r="EH61" s="22"/>
      <c r="EI61" s="22"/>
      <c r="EJ61" s="22"/>
      <c r="EK61" s="22"/>
      <c r="EL61" s="22"/>
      <c r="EM61" s="22"/>
      <c r="EN61" s="344"/>
      <c r="EO61" s="344"/>
      <c r="EP61" s="22"/>
      <c r="EQ61" s="22"/>
      <c r="ER61" s="22"/>
      <c r="EU61" s="344"/>
      <c r="EV61" s="22"/>
      <c r="EW61" s="22"/>
      <c r="EX61" s="22"/>
      <c r="EY61" s="22"/>
      <c r="EZ61" s="22"/>
      <c r="FA61" s="22"/>
      <c r="FB61" s="22"/>
      <c r="FC61" s="22"/>
      <c r="FD61" s="22"/>
      <c r="FE61" s="22"/>
    </row>
    <row r="62" spans="24:161" x14ac:dyDescent="0.2">
      <c r="X62" s="49" t="s">
        <v>132</v>
      </c>
      <c r="AA62" s="8" t="s">
        <v>484</v>
      </c>
      <c r="AB62" s="437">
        <v>4</v>
      </c>
      <c r="AC62" s="116" t="s">
        <v>344</v>
      </c>
      <c r="AD62" s="117" t="s">
        <v>326</v>
      </c>
      <c r="AE62" s="8" t="s">
        <v>148</v>
      </c>
      <c r="AF62" s="107">
        <v>20</v>
      </c>
      <c r="AG62" s="232" t="s">
        <v>148</v>
      </c>
      <c r="AH62" s="259">
        <v>10</v>
      </c>
      <c r="AI62" s="102"/>
      <c r="AJ62" s="102" t="str">
        <f t="shared" si="1"/>
        <v>C60H-DC</v>
      </c>
      <c r="AK62" s="201" t="s">
        <v>148</v>
      </c>
      <c r="AL62" s="240"/>
      <c r="AM62" s="240">
        <v>6</v>
      </c>
      <c r="AN62" s="102"/>
      <c r="AO62" s="102" t="str">
        <f t="shared" si="2"/>
        <v>iC60H2</v>
      </c>
      <c r="AP62" s="222" t="s">
        <v>20</v>
      </c>
      <c r="AQ62" s="221"/>
      <c r="AR62" s="256">
        <v>2</v>
      </c>
      <c r="AS62" s="222" t="s">
        <v>59</v>
      </c>
      <c r="AT62" s="102"/>
      <c r="AU62" s="232" t="s">
        <v>327</v>
      </c>
      <c r="AV62" s="254" t="s">
        <v>57</v>
      </c>
      <c r="AZ62" s="32"/>
      <c r="BA62" s="11">
        <f>Бланк!F17*10</f>
        <v>0</v>
      </c>
      <c r="BB62" s="9" t="s">
        <v>563</v>
      </c>
      <c r="BC62" s="11">
        <f>0.8*BC64</f>
        <v>20</v>
      </c>
      <c r="BD62" s="231">
        <v>100</v>
      </c>
      <c r="BE62" s="232" t="s">
        <v>292</v>
      </c>
      <c r="BO62" s="7"/>
      <c r="BP62" s="7"/>
      <c r="BQ62" s="213" t="s">
        <v>90</v>
      </c>
      <c r="BR62" s="213" t="str">
        <f>Проверки!U10</f>
        <v/>
      </c>
      <c r="BS62" s="693" t="str">
        <f>MID(Проверки!C10,1,1)</f>
        <v/>
      </c>
      <c r="BT62" s="693" t="str">
        <f>IF(Проверки!G10+Проверки!H10,MID(Проверки!B10,4,3),IF(Проверки!I10,IF(Проверки!D10&lt;=25,25,63),IF(Проверки!L10,"",IF(Проверки!M10,IF(Проверки!D10&lt;=63,63,125),Проверки!D10))))</f>
        <v/>
      </c>
      <c r="BU62" s="213" t="str">
        <f>IF(Проверки!K10,Проверки!E10,"")</f>
        <v/>
      </c>
      <c r="BV62" s="213" t="str">
        <f t="shared" si="28"/>
        <v/>
      </c>
      <c r="BW62" s="213">
        <f t="shared" si="29"/>
        <v>1</v>
      </c>
      <c r="BX62" s="213" t="str">
        <f t="shared" ca="1" si="30"/>
        <v>-</v>
      </c>
      <c r="BY62" s="213">
        <f t="shared" ca="1" si="31"/>
        <v>1</v>
      </c>
      <c r="BZ62" s="213"/>
      <c r="CA62" s="41"/>
      <c r="CB62" s="41" t="str">
        <f t="shared" si="3"/>
        <v>C1202</v>
      </c>
      <c r="CC62" s="213" t="s">
        <v>534</v>
      </c>
      <c r="CD62" s="213">
        <v>2</v>
      </c>
      <c r="CE62" s="214"/>
      <c r="CF62" s="214"/>
      <c r="CG62" s="201" t="s">
        <v>30</v>
      </c>
      <c r="CH62" s="41"/>
      <c r="CI62" s="41"/>
      <c r="CJ62" s="6"/>
      <c r="CK62" s="6"/>
      <c r="CL62" s="6"/>
      <c r="CM62" s="6"/>
      <c r="CN62" s="6"/>
      <c r="DH62" s="22"/>
      <c r="DI62" s="22"/>
      <c r="DJ62" s="22"/>
      <c r="DK62" s="344"/>
      <c r="DL62" s="375" t="str">
        <f t="shared" si="23"/>
        <v>TN-C-S332</v>
      </c>
      <c r="DM62" s="376" t="s">
        <v>7</v>
      </c>
      <c r="DN62" s="376">
        <v>3</v>
      </c>
      <c r="DO62" s="376">
        <v>32</v>
      </c>
      <c r="DP62" s="376">
        <v>1</v>
      </c>
      <c r="DQ62" s="377" t="s">
        <v>414</v>
      </c>
      <c r="DR62" s="358"/>
      <c r="DS62" s="358"/>
      <c r="DT62" s="358"/>
      <c r="DU62" s="358"/>
      <c r="DV62" s="358"/>
      <c r="DW62" s="358"/>
      <c r="DX62" s="358"/>
      <c r="DY62" s="358"/>
      <c r="DZ62" s="358"/>
      <c r="EA62" s="358"/>
      <c r="EB62" s="358"/>
      <c r="EC62" s="358"/>
      <c r="ED62" s="358"/>
      <c r="EE62" s="358"/>
      <c r="EF62" s="22"/>
      <c r="EG62" s="22"/>
      <c r="EH62" s="22"/>
      <c r="EI62" s="22"/>
      <c r="EJ62" s="22"/>
      <c r="EK62" s="22"/>
      <c r="EL62" s="22"/>
      <c r="EM62" s="22"/>
      <c r="EN62" s="344"/>
      <c r="EO62" s="344"/>
      <c r="EP62" s="22"/>
      <c r="EQ62" s="22"/>
      <c r="ER62" s="22"/>
      <c r="EU62" s="344"/>
      <c r="EV62" s="22"/>
      <c r="EW62" s="22"/>
      <c r="EX62" s="22"/>
      <c r="EY62" s="22"/>
      <c r="EZ62" s="22"/>
      <c r="FA62" s="22"/>
      <c r="FB62" s="22"/>
      <c r="FC62" s="22"/>
      <c r="FD62" s="22"/>
      <c r="FE62" s="22"/>
    </row>
    <row r="63" spans="24:161" ht="13.5" thickBot="1" x14ac:dyDescent="0.25">
      <c r="X63" s="49" t="s">
        <v>133</v>
      </c>
      <c r="AA63" s="8" t="s">
        <v>28</v>
      </c>
      <c r="AB63" s="437">
        <v>3</v>
      </c>
      <c r="AC63" s="116" t="s">
        <v>344</v>
      </c>
      <c r="AD63" s="117" t="s">
        <v>139</v>
      </c>
      <c r="AE63" s="8" t="s">
        <v>148</v>
      </c>
      <c r="AF63" s="107">
        <v>25</v>
      </c>
      <c r="AG63" s="232" t="s">
        <v>148</v>
      </c>
      <c r="AH63" s="259">
        <v>13</v>
      </c>
      <c r="AI63" s="102"/>
      <c r="AJ63" s="102" t="str">
        <f t="shared" si="1"/>
        <v>C60H-DC</v>
      </c>
      <c r="AK63" s="201" t="s">
        <v>148</v>
      </c>
      <c r="AL63" s="240"/>
      <c r="AM63" s="240">
        <v>10</v>
      </c>
      <c r="AN63" s="102"/>
      <c r="AO63" s="102" t="str">
        <f t="shared" si="2"/>
        <v>iC60H3</v>
      </c>
      <c r="AP63" s="222" t="s">
        <v>20</v>
      </c>
      <c r="AQ63" s="222"/>
      <c r="AR63" s="256">
        <v>3</v>
      </c>
      <c r="AS63" s="222" t="s">
        <v>57</v>
      </c>
      <c r="AT63" s="102"/>
      <c r="AU63" s="232" t="s">
        <v>327</v>
      </c>
      <c r="AV63" s="254" t="s">
        <v>58</v>
      </c>
      <c r="AZ63" s="1430" t="s">
        <v>90</v>
      </c>
      <c r="BA63" s="1431"/>
      <c r="BB63" s="9" t="s">
        <v>563</v>
      </c>
      <c r="BC63" s="11">
        <f>0.9*BC64</f>
        <v>22.5</v>
      </c>
      <c r="BD63" s="231">
        <v>100</v>
      </c>
      <c r="BE63" s="232" t="s">
        <v>293</v>
      </c>
      <c r="BO63" s="7"/>
      <c r="BP63" s="7"/>
      <c r="BQ63" s="213" t="s">
        <v>91</v>
      </c>
      <c r="BR63" s="213" t="str">
        <f>Проверки!U11</f>
        <v/>
      </c>
      <c r="BS63" s="693" t="str">
        <f>MID(Проверки!C11,1,1)</f>
        <v/>
      </c>
      <c r="BT63" s="693" t="str">
        <f>IF(Проверки!G11+Проверки!H11,MID(Проверки!B11,4,3),IF(Проверки!I11,IF(Проверки!D11&lt;=25,25,63),IF(Проверки!L11,"",IF(Проверки!M11,IF(Проверки!D11&lt;=63,63,125),Проверки!D11))))</f>
        <v/>
      </c>
      <c r="BU63" s="213" t="str">
        <f>IF(Проверки!K11,Проверки!E11,"")</f>
        <v/>
      </c>
      <c r="BV63" s="213" t="str">
        <f t="shared" si="28"/>
        <v/>
      </c>
      <c r="BW63" s="213">
        <f t="shared" si="29"/>
        <v>1</v>
      </c>
      <c r="BX63" s="213" t="str">
        <f t="shared" ca="1" si="30"/>
        <v>-</v>
      </c>
      <c r="BY63" s="213">
        <f t="shared" ca="1" si="31"/>
        <v>1</v>
      </c>
      <c r="BZ63" s="213"/>
      <c r="CA63" s="41"/>
      <c r="CB63" s="41" t="str">
        <f t="shared" si="3"/>
        <v>C1202</v>
      </c>
      <c r="CC63" s="213" t="s">
        <v>534</v>
      </c>
      <c r="CD63" s="213">
        <v>2</v>
      </c>
      <c r="CE63" s="214"/>
      <c r="CF63" s="214"/>
      <c r="CG63" s="201" t="s">
        <v>595</v>
      </c>
      <c r="CH63" s="41"/>
      <c r="CI63" s="41"/>
      <c r="CJ63" s="6"/>
      <c r="CK63" s="6"/>
      <c r="CL63" s="6"/>
      <c r="CM63" s="6"/>
      <c r="CN63" s="6"/>
      <c r="DH63" s="22"/>
      <c r="DI63" s="22"/>
      <c r="DJ63" s="22"/>
      <c r="DK63" s="344"/>
      <c r="DL63" s="375" t="str">
        <f t="shared" si="23"/>
        <v>TN-C-S350</v>
      </c>
      <c r="DM63" s="376" t="s">
        <v>7</v>
      </c>
      <c r="DN63" s="376">
        <v>3</v>
      </c>
      <c r="DO63" s="376">
        <v>50</v>
      </c>
      <c r="DP63" s="376">
        <v>1</v>
      </c>
      <c r="DQ63" s="377" t="s">
        <v>415</v>
      </c>
      <c r="DR63" s="358"/>
      <c r="DS63" s="358"/>
      <c r="DT63" s="358"/>
      <c r="DU63" s="358"/>
      <c r="DV63" s="358"/>
      <c r="DW63" s="358"/>
      <c r="DX63" s="358"/>
      <c r="DY63" s="358"/>
      <c r="DZ63" s="358"/>
      <c r="EA63" s="358"/>
      <c r="EB63" s="358"/>
      <c r="EC63" s="358"/>
      <c r="ED63" s="358"/>
      <c r="EE63" s="358"/>
      <c r="EF63" s="22"/>
      <c r="EG63" s="22"/>
      <c r="EH63" s="22"/>
      <c r="EI63" s="22"/>
      <c r="EJ63" s="22"/>
      <c r="EK63" s="22"/>
      <c r="EL63" s="22"/>
      <c r="EM63" s="22"/>
      <c r="EN63" s="344"/>
      <c r="EO63" s="344"/>
      <c r="EP63" s="22"/>
      <c r="EQ63" s="22"/>
      <c r="ER63" s="22"/>
      <c r="EU63" s="344"/>
      <c r="EV63" s="22"/>
      <c r="EW63" s="22"/>
      <c r="EX63" s="22"/>
      <c r="EY63" s="22"/>
      <c r="EZ63" s="22"/>
      <c r="FA63" s="22"/>
      <c r="FB63" s="22"/>
      <c r="FC63" s="22"/>
      <c r="FD63" s="22"/>
      <c r="FE63" s="22"/>
    </row>
    <row r="64" spans="24:161" ht="13.5" thickTop="1" x14ac:dyDescent="0.2">
      <c r="X64" s="49" t="s">
        <v>491</v>
      </c>
      <c r="AA64" s="8" t="s">
        <v>28</v>
      </c>
      <c r="AB64" s="437">
        <v>4</v>
      </c>
      <c r="AC64" s="116" t="s">
        <v>344</v>
      </c>
      <c r="AD64" s="117" t="s">
        <v>140</v>
      </c>
      <c r="AE64" s="8" t="s">
        <v>148</v>
      </c>
      <c r="AF64" s="107">
        <v>32</v>
      </c>
      <c r="AG64" s="232" t="s">
        <v>148</v>
      </c>
      <c r="AH64" s="259">
        <v>15</v>
      </c>
      <c r="AI64" s="102"/>
      <c r="AJ64" s="102" t="str">
        <f t="shared" si="1"/>
        <v>C60H-DC</v>
      </c>
      <c r="AK64" s="201" t="s">
        <v>148</v>
      </c>
      <c r="AL64" s="240"/>
      <c r="AM64" s="240">
        <v>13</v>
      </c>
      <c r="AN64" s="102"/>
      <c r="AO64" s="102" t="str">
        <f t="shared" si="2"/>
        <v>iC60H3</v>
      </c>
      <c r="AP64" s="222" t="s">
        <v>20</v>
      </c>
      <c r="AQ64" s="221"/>
      <c r="AR64" s="256">
        <v>3</v>
      </c>
      <c r="AS64" s="222" t="s">
        <v>58</v>
      </c>
      <c r="AT64" s="102"/>
      <c r="AU64" s="232" t="s">
        <v>327</v>
      </c>
      <c r="AV64" s="254" t="s">
        <v>59</v>
      </c>
      <c r="AZ64" s="32">
        <f>Бланк!D18*5</f>
        <v>0</v>
      </c>
      <c r="BA64" s="11">
        <f>Бланк!F18*1.5</f>
        <v>0</v>
      </c>
      <c r="BB64" s="9" t="s">
        <v>563</v>
      </c>
      <c r="BC64" s="11">
        <v>25</v>
      </c>
      <c r="BD64" s="1463" t="s">
        <v>182</v>
      </c>
      <c r="BE64" s="1464"/>
      <c r="BO64" s="7"/>
      <c r="BP64" s="7"/>
      <c r="BQ64" s="213" t="s">
        <v>92</v>
      </c>
      <c r="BR64" s="213" t="str">
        <f>Проверки!U12</f>
        <v/>
      </c>
      <c r="BS64" s="693" t="str">
        <f>MID(Проверки!C12,1,1)</f>
        <v/>
      </c>
      <c r="BT64" s="693" t="str">
        <f>IF(Проверки!G12+Проверки!H12,MID(Проверки!B12,4,3),IF(Проверки!I12,IF(Проверки!D12&lt;=25,25,63),IF(Проверки!L12,"",IF(Проверки!M12,IF(Проверки!D12&lt;=63,63,125),Проверки!D12))))</f>
        <v/>
      </c>
      <c r="BU64" s="213" t="str">
        <f>IF(Проверки!K12,Проверки!E12,"")</f>
        <v/>
      </c>
      <c r="BV64" s="213" t="str">
        <f t="shared" si="28"/>
        <v/>
      </c>
      <c r="BW64" s="213">
        <f t="shared" si="29"/>
        <v>1</v>
      </c>
      <c r="BX64" s="213" t="str">
        <f t="shared" ca="1" si="30"/>
        <v>-</v>
      </c>
      <c r="BY64" s="213">
        <f t="shared" ca="1" si="31"/>
        <v>1</v>
      </c>
      <c r="BZ64" s="213" t="s">
        <v>597</v>
      </c>
      <c r="CA64" s="41"/>
      <c r="CB64" s="41" t="str">
        <f t="shared" si="3"/>
        <v>C1202</v>
      </c>
      <c r="CC64" s="213" t="s">
        <v>534</v>
      </c>
      <c r="CD64" s="213">
        <v>2</v>
      </c>
      <c r="CE64" s="214"/>
      <c r="CF64" s="214"/>
      <c r="CG64" s="201" t="s">
        <v>597</v>
      </c>
      <c r="CH64" s="40"/>
      <c r="CI64" s="40"/>
      <c r="CJ64" s="40"/>
      <c r="CK64" s="40"/>
      <c r="CL64" s="40"/>
      <c r="CM64" s="40"/>
      <c r="CN64" s="40"/>
      <c r="DH64" s="22"/>
      <c r="DI64" s="22"/>
      <c r="DJ64" s="22"/>
      <c r="DK64" s="344"/>
      <c r="DL64" s="375" t="str">
        <f t="shared" si="23"/>
        <v>TN-C-S363</v>
      </c>
      <c r="DM64" s="376" t="s">
        <v>7</v>
      </c>
      <c r="DN64" s="376">
        <v>3</v>
      </c>
      <c r="DO64" s="376">
        <v>63</v>
      </c>
      <c r="DP64" s="376">
        <v>1</v>
      </c>
      <c r="DQ64" s="377" t="s">
        <v>349</v>
      </c>
      <c r="DR64" s="358"/>
      <c r="DS64" s="358"/>
      <c r="DT64" s="358"/>
      <c r="DU64" s="358"/>
      <c r="DV64" s="358"/>
      <c r="DW64" s="358"/>
      <c r="DX64" s="358"/>
      <c r="DY64" s="358"/>
      <c r="DZ64" s="358"/>
      <c r="EA64" s="358"/>
      <c r="EB64" s="358"/>
      <c r="EC64" s="358"/>
      <c r="ED64" s="358"/>
      <c r="EE64" s="358"/>
      <c r="EF64" s="22"/>
      <c r="EG64" s="22"/>
      <c r="EH64" s="22"/>
      <c r="EI64" s="22"/>
      <c r="EJ64" s="22"/>
      <c r="EK64" s="22"/>
      <c r="EL64" s="22"/>
      <c r="EM64" s="22"/>
      <c r="EN64" s="344"/>
      <c r="EO64" s="344"/>
      <c r="EP64" s="22"/>
      <c r="EQ64" s="22"/>
      <c r="ER64" s="22"/>
      <c r="EU64" s="344"/>
      <c r="EV64" s="22"/>
      <c r="EW64" s="22"/>
      <c r="EX64" s="22"/>
      <c r="EY64" s="22"/>
      <c r="EZ64" s="22"/>
      <c r="FA64" s="22"/>
      <c r="FB64" s="22"/>
      <c r="FC64" s="22"/>
      <c r="FD64" s="22"/>
      <c r="FE64" s="22"/>
    </row>
    <row r="65" spans="24:161" x14ac:dyDescent="0.2">
      <c r="X65" s="49" t="s">
        <v>127</v>
      </c>
      <c r="AA65" s="8" t="s">
        <v>487</v>
      </c>
      <c r="AB65" s="437">
        <v>3</v>
      </c>
      <c r="AC65" s="116" t="s">
        <v>344</v>
      </c>
      <c r="AD65" s="117" t="s">
        <v>141</v>
      </c>
      <c r="AE65" s="8" t="s">
        <v>148</v>
      </c>
      <c r="AF65" s="107">
        <v>40</v>
      </c>
      <c r="AG65" s="232" t="s">
        <v>148</v>
      </c>
      <c r="AH65" s="259">
        <v>16</v>
      </c>
      <c r="AI65" s="102"/>
      <c r="AJ65" s="102" t="str">
        <f t="shared" si="1"/>
        <v>C60H-DC</v>
      </c>
      <c r="AK65" s="201" t="s">
        <v>148</v>
      </c>
      <c r="AL65" s="240"/>
      <c r="AM65" s="240">
        <v>15</v>
      </c>
      <c r="AN65" s="102"/>
      <c r="AO65" s="102" t="str">
        <f t="shared" si="2"/>
        <v>iC60H3</v>
      </c>
      <c r="AP65" s="222" t="s">
        <v>20</v>
      </c>
      <c r="AQ65" s="222"/>
      <c r="AR65" s="256">
        <v>3</v>
      </c>
      <c r="AS65" s="222" t="s">
        <v>59</v>
      </c>
      <c r="AT65" s="102"/>
      <c r="AU65" s="232" t="s">
        <v>328</v>
      </c>
      <c r="AV65" s="254" t="s">
        <v>57</v>
      </c>
      <c r="AZ65" s="32">
        <f>Бланк!D18*6</f>
        <v>0</v>
      </c>
      <c r="BA65" s="11">
        <f>Бланк!F18*2</f>
        <v>0</v>
      </c>
      <c r="BB65" s="9" t="s">
        <v>564</v>
      </c>
      <c r="BC65" s="11">
        <f>0.7*BC68</f>
        <v>22.4</v>
      </c>
      <c r="BD65" s="1456" t="s">
        <v>180</v>
      </c>
      <c r="BE65" s="1457"/>
      <c r="BO65" s="7"/>
      <c r="BP65" s="7"/>
      <c r="BQ65" s="213" t="s">
        <v>93</v>
      </c>
      <c r="BR65" s="213" t="str">
        <f>Проверки!U13</f>
        <v/>
      </c>
      <c r="BS65" s="693" t="str">
        <f>MID(Проверки!C13,1,1)</f>
        <v/>
      </c>
      <c r="BT65" s="693" t="str">
        <f>IF(Проверки!G13+Проверки!H13,MID(Проверки!B13,4,3),IF(Проверки!I13,IF(Проверки!D13&lt;=25,25,63),IF(Проверки!L13,"",IF(Проверки!M13,IF(Проверки!D13&lt;=63,63,125),Проверки!D13))))</f>
        <v/>
      </c>
      <c r="BU65" s="213" t="str">
        <f>IF(Проверки!K13,Проверки!E13,"")</f>
        <v/>
      </c>
      <c r="BV65" s="213" t="str">
        <f t="shared" si="28"/>
        <v/>
      </c>
      <c r="BW65" s="213">
        <f t="shared" si="29"/>
        <v>1</v>
      </c>
      <c r="BX65" s="213" t="str">
        <f t="shared" ca="1" si="30"/>
        <v>-</v>
      </c>
      <c r="BY65" s="213">
        <f t="shared" ca="1" si="31"/>
        <v>1</v>
      </c>
      <c r="BZ65" s="213"/>
      <c r="CA65" s="41"/>
      <c r="CB65" s="41" t="str">
        <f t="shared" si="3"/>
        <v>C1202</v>
      </c>
      <c r="CC65" s="213" t="s">
        <v>534</v>
      </c>
      <c r="CD65" s="213">
        <v>2</v>
      </c>
      <c r="CE65" s="214"/>
      <c r="CF65" s="214"/>
      <c r="CG65" s="201" t="s">
        <v>598</v>
      </c>
      <c r="CH65" s="41"/>
      <c r="CI65" s="41"/>
      <c r="CJ65" s="42"/>
      <c r="CK65" s="42"/>
      <c r="CL65" s="42"/>
      <c r="CM65" s="42"/>
      <c r="CN65" s="42"/>
      <c r="DH65" s="22"/>
      <c r="DI65" s="22"/>
      <c r="DJ65" s="22"/>
      <c r="DK65" s="344"/>
      <c r="DL65" s="375" t="str">
        <f t="shared" si="23"/>
        <v>TN-C-S380</v>
      </c>
      <c r="DM65" s="376" t="s">
        <v>7</v>
      </c>
      <c r="DN65" s="376">
        <v>3</v>
      </c>
      <c r="DO65" s="376">
        <v>80</v>
      </c>
      <c r="DP65" s="376">
        <v>1</v>
      </c>
      <c r="DQ65" s="377" t="s">
        <v>416</v>
      </c>
      <c r="DR65" s="358"/>
      <c r="DS65" s="358"/>
      <c r="DT65" s="358"/>
      <c r="DU65" s="358"/>
      <c r="DV65" s="358"/>
      <c r="DW65" s="358"/>
      <c r="DX65" s="358"/>
      <c r="DY65" s="358"/>
      <c r="DZ65" s="358"/>
      <c r="EA65" s="358"/>
      <c r="EB65" s="358"/>
      <c r="EC65" s="358"/>
      <c r="ED65" s="358"/>
      <c r="EE65" s="358"/>
      <c r="EF65" s="22"/>
      <c r="EG65" s="22"/>
      <c r="EH65" s="22"/>
      <c r="EI65" s="22"/>
      <c r="EJ65" s="22"/>
      <c r="EK65" s="22"/>
      <c r="EL65" s="22"/>
      <c r="EM65" s="22"/>
      <c r="EN65" s="344"/>
      <c r="EO65" s="344"/>
      <c r="EP65" s="22"/>
      <c r="EQ65" s="22"/>
      <c r="ER65" s="22"/>
      <c r="EU65" s="344"/>
      <c r="EV65" s="22"/>
      <c r="EW65" s="22"/>
      <c r="EX65" s="22"/>
      <c r="EY65" s="22"/>
      <c r="EZ65" s="22"/>
      <c r="FA65" s="22"/>
      <c r="FB65" s="22"/>
      <c r="FC65" s="22"/>
      <c r="FD65" s="22"/>
      <c r="FE65" s="22"/>
    </row>
    <row r="66" spans="24:161" x14ac:dyDescent="0.2">
      <c r="X66" s="49" t="s">
        <v>492</v>
      </c>
      <c r="AA66" s="8" t="s">
        <v>487</v>
      </c>
      <c r="AB66" s="437">
        <v>4</v>
      </c>
      <c r="AC66" s="116" t="s">
        <v>344</v>
      </c>
      <c r="AD66" s="117" t="s">
        <v>312</v>
      </c>
      <c r="AE66" s="8" t="s">
        <v>148</v>
      </c>
      <c r="AF66" s="107">
        <v>50</v>
      </c>
      <c r="AG66" s="232" t="s">
        <v>148</v>
      </c>
      <c r="AH66" s="259">
        <v>20</v>
      </c>
      <c r="AI66" s="102"/>
      <c r="AJ66" s="102" t="str">
        <f t="shared" si="1"/>
        <v>C60H-DC</v>
      </c>
      <c r="AK66" s="201" t="s">
        <v>148</v>
      </c>
      <c r="AL66" s="240"/>
      <c r="AM66" s="240">
        <v>16</v>
      </c>
      <c r="AN66" s="102"/>
      <c r="AO66" s="102" t="str">
        <f t="shared" si="2"/>
        <v>iC60H4</v>
      </c>
      <c r="AP66" s="222" t="s">
        <v>20</v>
      </c>
      <c r="AQ66" s="221"/>
      <c r="AR66" s="256">
        <v>4</v>
      </c>
      <c r="AS66" s="222" t="s">
        <v>57</v>
      </c>
      <c r="AT66" s="102"/>
      <c r="AU66" s="232" t="s">
        <v>328</v>
      </c>
      <c r="AV66" s="254" t="s">
        <v>58</v>
      </c>
      <c r="AZ66" s="32">
        <f>Бланк!D18*7</f>
        <v>0</v>
      </c>
      <c r="BA66" s="11">
        <f>Бланк!F18*3</f>
        <v>0</v>
      </c>
      <c r="BB66" s="9" t="s">
        <v>564</v>
      </c>
      <c r="BC66" s="11">
        <f>0.8*BC68</f>
        <v>25.6</v>
      </c>
      <c r="BD66" s="231">
        <v>0.5</v>
      </c>
      <c r="BE66" s="233" t="s">
        <v>30</v>
      </c>
      <c r="BO66" s="7"/>
      <c r="BP66" s="7"/>
      <c r="BQ66" s="213" t="s">
        <v>94</v>
      </c>
      <c r="BR66" s="213" t="str">
        <f>Проверки!U14</f>
        <v/>
      </c>
      <c r="BS66" s="693" t="str">
        <f>MID(Проверки!C14,1,1)</f>
        <v/>
      </c>
      <c r="BT66" s="693" t="str">
        <f>IF(Проверки!G14+Проверки!H14,MID(Проверки!B14,4,3),IF(Проверки!I14,IF(Проверки!D14&lt;=25,25,63),IF(Проверки!L14,"",IF(Проверки!M14,IF(Проверки!D14&lt;=63,63,125),Проверки!D14))))</f>
        <v/>
      </c>
      <c r="BU66" s="213" t="str">
        <f>IF(Проверки!K14,Проверки!E14,"")</f>
        <v/>
      </c>
      <c r="BV66" s="213" t="str">
        <f t="shared" si="28"/>
        <v/>
      </c>
      <c r="BW66" s="213">
        <f t="shared" si="29"/>
        <v>1</v>
      </c>
      <c r="BX66" s="213" t="str">
        <f t="shared" ca="1" si="30"/>
        <v>-</v>
      </c>
      <c r="BY66" s="213">
        <f t="shared" ca="1" si="31"/>
        <v>1</v>
      </c>
      <c r="BZ66" s="213"/>
      <c r="CA66" s="41"/>
      <c r="CB66" s="41" t="str">
        <f t="shared" si="3"/>
        <v>C1202</v>
      </c>
      <c r="CC66" s="213" t="s">
        <v>534</v>
      </c>
      <c r="CD66" s="213">
        <v>2</v>
      </c>
      <c r="CE66" s="214"/>
      <c r="CF66" s="214"/>
      <c r="CG66" s="201" t="s">
        <v>600</v>
      </c>
      <c r="CH66" s="41"/>
      <c r="CI66" s="41"/>
      <c r="CJ66" s="6"/>
      <c r="CK66" s="6"/>
      <c r="CL66" s="6"/>
      <c r="CM66" s="6"/>
      <c r="CN66" s="6"/>
      <c r="DH66" s="22"/>
      <c r="DI66" s="22"/>
      <c r="DJ66" s="22"/>
      <c r="DK66" s="344"/>
      <c r="DL66" s="375" t="str">
        <f>$DM66&amp;$DN66&amp;$DO66</f>
        <v>TN-C-S3100</v>
      </c>
      <c r="DM66" s="376" t="s">
        <v>7</v>
      </c>
      <c r="DN66" s="376">
        <v>3</v>
      </c>
      <c r="DO66" s="376">
        <v>100</v>
      </c>
      <c r="DP66" s="376">
        <v>1</v>
      </c>
      <c r="DQ66" s="377" t="s">
        <v>417</v>
      </c>
      <c r="DR66" s="358"/>
      <c r="DS66" s="358"/>
      <c r="DT66" s="358"/>
      <c r="DU66" s="358"/>
      <c r="DV66" s="358"/>
      <c r="DW66" s="358"/>
      <c r="DX66" s="358"/>
      <c r="DY66" s="358"/>
      <c r="DZ66" s="358"/>
      <c r="EA66" s="358"/>
      <c r="EB66" s="358"/>
      <c r="EC66" s="358"/>
      <c r="ED66" s="358"/>
      <c r="EE66" s="358"/>
      <c r="EF66" s="22"/>
      <c r="EG66" s="22"/>
      <c r="EH66" s="22"/>
      <c r="EI66" s="22"/>
      <c r="EJ66" s="22"/>
      <c r="EK66" s="22"/>
      <c r="EL66" s="22"/>
      <c r="EM66" s="22"/>
      <c r="EN66" s="344"/>
      <c r="EO66" s="344"/>
      <c r="EP66" s="22"/>
      <c r="EQ66" s="22"/>
      <c r="ER66" s="22"/>
      <c r="EU66" s="344"/>
      <c r="EV66" s="22"/>
      <c r="EW66" s="22"/>
      <c r="EX66" s="22"/>
      <c r="EY66" s="22"/>
      <c r="EZ66" s="22"/>
      <c r="FA66" s="22"/>
      <c r="FB66" s="22"/>
      <c r="FC66" s="22"/>
      <c r="FD66" s="22"/>
      <c r="FE66" s="22"/>
    </row>
    <row r="67" spans="24:161" x14ac:dyDescent="0.2">
      <c r="X67" s="49" t="s">
        <v>318</v>
      </c>
      <c r="AA67" s="8" t="s">
        <v>29</v>
      </c>
      <c r="AB67" s="437">
        <v>3</v>
      </c>
      <c r="AC67" s="116" t="s">
        <v>344</v>
      </c>
      <c r="AD67" s="117">
        <v>3</v>
      </c>
      <c r="AE67" s="8" t="s">
        <v>148</v>
      </c>
      <c r="AF67" s="107">
        <v>63</v>
      </c>
      <c r="AG67" s="232" t="s">
        <v>148</v>
      </c>
      <c r="AH67" s="259">
        <v>25</v>
      </c>
      <c r="AI67" s="102"/>
      <c r="AJ67" s="102" t="str">
        <f t="shared" ref="AJ67:AJ130" si="32">AK67&amp;AL67</f>
        <v>C60H-DC</v>
      </c>
      <c r="AK67" s="201" t="s">
        <v>148</v>
      </c>
      <c r="AL67" s="240"/>
      <c r="AM67" s="240">
        <v>20</v>
      </c>
      <c r="AN67" s="102"/>
      <c r="AO67" s="102" t="str">
        <f t="shared" ref="AO67:AO130" si="33">AP67&amp;AQ67&amp;AR67</f>
        <v>iC60H4</v>
      </c>
      <c r="AP67" s="222" t="s">
        <v>20</v>
      </c>
      <c r="AQ67" s="221"/>
      <c r="AR67" s="256">
        <v>4</v>
      </c>
      <c r="AS67" s="222" t="s">
        <v>58</v>
      </c>
      <c r="AT67" s="102"/>
      <c r="AU67" s="232" t="s">
        <v>328</v>
      </c>
      <c r="AV67" s="254" t="s">
        <v>59</v>
      </c>
      <c r="AZ67" s="32">
        <f>Бланк!D18*8</f>
        <v>0</v>
      </c>
      <c r="BA67" s="11">
        <f>Бланк!F18*4</f>
        <v>0</v>
      </c>
      <c r="BB67" s="9" t="s">
        <v>564</v>
      </c>
      <c r="BC67" s="11">
        <f>0.9*BC68</f>
        <v>28.8</v>
      </c>
      <c r="BD67" s="231">
        <v>0.5</v>
      </c>
      <c r="BE67" s="232" t="s">
        <v>853</v>
      </c>
      <c r="BO67" s="7"/>
      <c r="BP67" s="7"/>
      <c r="BQ67" s="213" t="s">
        <v>162</v>
      </c>
      <c r="BR67" s="213" t="str">
        <f>Проверки!U15</f>
        <v/>
      </c>
      <c r="BS67" s="693" t="str">
        <f>MID(Проверки!C15,1,1)</f>
        <v/>
      </c>
      <c r="BT67" s="693" t="str">
        <f>IF(Проверки!G15+Проверки!H15,MID(Проверки!B15,4,3),IF(Проверки!I15,IF(Проверки!D15&lt;=25,25,63),IF(Проверки!L15,"",IF(Проверки!M15,IF(Проверки!D15&lt;=63,63,125),Проверки!D15))))</f>
        <v/>
      </c>
      <c r="BU67" s="213" t="str">
        <f>IF(Проверки!K15,Проверки!E15,"")</f>
        <v/>
      </c>
      <c r="BV67" s="213" t="str">
        <f t="shared" si="28"/>
        <v/>
      </c>
      <c r="BW67" s="213">
        <f t="shared" si="29"/>
        <v>1</v>
      </c>
      <c r="BX67" s="213" t="str">
        <f t="shared" ca="1" si="30"/>
        <v>-</v>
      </c>
      <c r="BY67" s="213">
        <f t="shared" ca="1" si="31"/>
        <v>1</v>
      </c>
      <c r="BZ67" s="213"/>
      <c r="CA67" s="41"/>
      <c r="CB67" s="41" t="str">
        <f t="shared" ref="CB67:CB130" si="34">CC67&amp;CD67&amp;CE67&amp;CF67</f>
        <v>C1202</v>
      </c>
      <c r="CC67" s="213" t="s">
        <v>534</v>
      </c>
      <c r="CD67" s="213">
        <v>2</v>
      </c>
      <c r="CE67" s="214"/>
      <c r="CF67" s="214"/>
      <c r="CG67" s="201" t="s">
        <v>602</v>
      </c>
      <c r="CH67" s="7"/>
      <c r="CI67" s="7"/>
      <c r="DH67" s="22"/>
      <c r="DI67" s="22"/>
      <c r="DJ67" s="22"/>
      <c r="DK67" s="344"/>
      <c r="DL67" s="375" t="str">
        <f>$DM67&amp;$DN67&amp;$DO67</f>
        <v>TN-C-S3125</v>
      </c>
      <c r="DM67" s="376" t="s">
        <v>7</v>
      </c>
      <c r="DN67" s="376">
        <v>3</v>
      </c>
      <c r="DO67" s="376">
        <v>125</v>
      </c>
      <c r="DP67" s="376">
        <v>1</v>
      </c>
      <c r="DQ67" s="377" t="s">
        <v>418</v>
      </c>
      <c r="DR67" s="358"/>
      <c r="DS67" s="358"/>
      <c r="DT67" s="358"/>
      <c r="DU67" s="358"/>
      <c r="DV67" s="358"/>
      <c r="DW67" s="358"/>
      <c r="DX67" s="358"/>
      <c r="DY67" s="358"/>
      <c r="DZ67" s="358"/>
      <c r="EA67" s="358"/>
      <c r="EB67" s="358"/>
      <c r="EC67" s="358"/>
      <c r="ED67" s="358"/>
      <c r="EE67" s="358"/>
      <c r="EF67" s="22"/>
      <c r="EG67" s="22"/>
      <c r="EH67" s="22"/>
      <c r="EI67" s="22"/>
      <c r="EJ67" s="22"/>
      <c r="EK67" s="22"/>
      <c r="EL67" s="22"/>
      <c r="EM67" s="22"/>
      <c r="EN67" s="344"/>
      <c r="EO67" s="344"/>
      <c r="EP67" s="22"/>
      <c r="EQ67" s="22"/>
      <c r="ER67" s="22"/>
      <c r="EU67" s="344"/>
      <c r="EV67" s="22"/>
      <c r="EW67" s="22"/>
      <c r="EX67" s="22"/>
      <c r="EY67" s="22"/>
      <c r="EZ67" s="22"/>
      <c r="FA67" s="22"/>
      <c r="FB67" s="22"/>
      <c r="FC67" s="22"/>
      <c r="FD67" s="22"/>
      <c r="FE67" s="22"/>
    </row>
    <row r="68" spans="24:161" x14ac:dyDescent="0.2">
      <c r="X68" s="49" t="s">
        <v>317</v>
      </c>
      <c r="AA68" s="8" t="s">
        <v>29</v>
      </c>
      <c r="AB68" s="437">
        <v>4</v>
      </c>
      <c r="AC68" s="116" t="s">
        <v>344</v>
      </c>
      <c r="AD68" s="117">
        <v>4</v>
      </c>
      <c r="AE68" s="8" t="s">
        <v>149</v>
      </c>
      <c r="AF68" s="107">
        <v>20</v>
      </c>
      <c r="AG68" s="232" t="s">
        <v>148</v>
      </c>
      <c r="AH68" s="259">
        <v>32</v>
      </c>
      <c r="AI68" s="102"/>
      <c r="AJ68" s="102" t="str">
        <f t="shared" si="32"/>
        <v>C60H-DC</v>
      </c>
      <c r="AK68" s="201" t="s">
        <v>148</v>
      </c>
      <c r="AL68" s="240"/>
      <c r="AM68" s="240">
        <v>25</v>
      </c>
      <c r="AN68" s="102"/>
      <c r="AO68" s="102" t="str">
        <f t="shared" si="33"/>
        <v>iC60H4</v>
      </c>
      <c r="AP68" s="222" t="s">
        <v>20</v>
      </c>
      <c r="AQ68" s="221"/>
      <c r="AR68" s="256">
        <v>4</v>
      </c>
      <c r="AS68" s="222" t="s">
        <v>59</v>
      </c>
      <c r="AT68" s="102"/>
      <c r="AU68" s="232" t="s">
        <v>329</v>
      </c>
      <c r="AV68" s="254" t="s">
        <v>57</v>
      </c>
      <c r="AZ68" s="32">
        <f>Бланк!D18*9</f>
        <v>0</v>
      </c>
      <c r="BA68" s="11">
        <f>Бланк!F18*5</f>
        <v>0</v>
      </c>
      <c r="BB68" s="9" t="s">
        <v>564</v>
      </c>
      <c r="BC68" s="11">
        <v>32</v>
      </c>
      <c r="BD68" s="231">
        <v>0.5</v>
      </c>
      <c r="BE68" s="232" t="s">
        <v>854</v>
      </c>
      <c r="BO68" s="7"/>
      <c r="BP68" s="7"/>
      <c r="BQ68" s="213" t="s">
        <v>163</v>
      </c>
      <c r="BR68" s="213" t="str">
        <f>Проверки!U16</f>
        <v/>
      </c>
      <c r="BS68" s="693" t="str">
        <f>MID(Проверки!C16,1,1)</f>
        <v/>
      </c>
      <c r="BT68" s="693" t="str">
        <f>IF(Проверки!G16+Проверки!H16,MID(Проверки!B16,4,3),IF(Проверки!I16,IF(Проверки!D16&lt;=25,25,63),IF(Проверки!L16,"",IF(Проверки!M16,IF(Проверки!D16&lt;=63,63,125),Проверки!D16))))</f>
        <v/>
      </c>
      <c r="BU68" s="213" t="str">
        <f>IF(Проверки!K16,Проверки!E16,"")</f>
        <v/>
      </c>
      <c r="BV68" s="213" t="str">
        <f t="shared" si="28"/>
        <v/>
      </c>
      <c r="BW68" s="213">
        <f t="shared" si="29"/>
        <v>1</v>
      </c>
      <c r="BX68" s="213" t="str">
        <f t="shared" ca="1" si="30"/>
        <v>-</v>
      </c>
      <c r="BY68" s="213">
        <f t="shared" ca="1" si="31"/>
        <v>1</v>
      </c>
      <c r="BZ68" s="213"/>
      <c r="CA68" s="41"/>
      <c r="CB68" s="41" t="str">
        <f t="shared" si="34"/>
        <v>C1202</v>
      </c>
      <c r="CC68" s="213" t="s">
        <v>534</v>
      </c>
      <c r="CD68" s="213">
        <v>2</v>
      </c>
      <c r="CE68" s="214"/>
      <c r="CF68" s="214"/>
      <c r="CG68" s="201" t="s">
        <v>603</v>
      </c>
      <c r="CH68" s="7"/>
      <c r="CI68" s="7"/>
      <c r="DH68" s="22"/>
      <c r="DI68" s="22"/>
      <c r="DJ68" s="22"/>
      <c r="DK68" s="344"/>
      <c r="DL68" s="375" t="str">
        <f t="shared" ref="DL68:DL131" si="35">$DM68&amp;$DN68&amp;$DO68</f>
        <v>TN-C-S3160</v>
      </c>
      <c r="DM68" s="376" t="s">
        <v>7</v>
      </c>
      <c r="DN68" s="376">
        <v>3</v>
      </c>
      <c r="DO68" s="376">
        <v>160</v>
      </c>
      <c r="DP68" s="376">
        <v>1</v>
      </c>
      <c r="DQ68" s="377" t="s">
        <v>419</v>
      </c>
      <c r="DR68" s="358"/>
      <c r="DS68" s="358"/>
      <c r="DT68" s="358"/>
      <c r="DU68" s="358"/>
      <c r="DV68" s="358"/>
      <c r="DW68" s="358"/>
      <c r="DX68" s="358"/>
      <c r="DY68" s="358"/>
      <c r="DZ68" s="358"/>
      <c r="EA68" s="358"/>
      <c r="EB68" s="358"/>
      <c r="EC68" s="358"/>
      <c r="ED68" s="358"/>
      <c r="EE68" s="358"/>
      <c r="EF68" s="22"/>
      <c r="EG68" s="22"/>
      <c r="EH68" s="22"/>
      <c r="EI68" s="22"/>
      <c r="EJ68" s="22"/>
      <c r="EK68" s="22"/>
      <c r="EL68" s="22"/>
      <c r="EM68" s="22"/>
      <c r="EN68" s="344"/>
      <c r="EO68" s="344"/>
      <c r="EP68" s="22"/>
      <c r="EQ68" s="22"/>
      <c r="ER68" s="22"/>
      <c r="EU68" s="344"/>
      <c r="EV68" s="22"/>
      <c r="EW68" s="22"/>
      <c r="EX68" s="22"/>
      <c r="EY68" s="22"/>
      <c r="EZ68" s="22"/>
      <c r="FA68" s="22"/>
      <c r="FB68" s="22"/>
      <c r="FC68" s="22"/>
      <c r="FD68" s="22"/>
      <c r="FE68" s="22"/>
    </row>
    <row r="69" spans="24:161" x14ac:dyDescent="0.2">
      <c r="X69" s="49" t="s">
        <v>315</v>
      </c>
      <c r="AA69" s="8" t="s">
        <v>488</v>
      </c>
      <c r="AB69" s="437">
        <v>3</v>
      </c>
      <c r="AC69" s="116" t="s">
        <v>327</v>
      </c>
      <c r="AD69" s="117" t="s">
        <v>136</v>
      </c>
      <c r="AE69" s="8" t="s">
        <v>149</v>
      </c>
      <c r="AF69" s="107">
        <v>32</v>
      </c>
      <c r="AG69" s="232" t="s">
        <v>148</v>
      </c>
      <c r="AH69" s="259">
        <v>40</v>
      </c>
      <c r="AI69" s="102"/>
      <c r="AJ69" s="102" t="str">
        <f t="shared" si="32"/>
        <v>C60H-DC</v>
      </c>
      <c r="AK69" s="201" t="s">
        <v>148</v>
      </c>
      <c r="AL69" s="240"/>
      <c r="AM69" s="240">
        <v>32</v>
      </c>
      <c r="AN69" s="102"/>
      <c r="AO69" s="102" t="str">
        <f t="shared" si="33"/>
        <v>iC60H5</v>
      </c>
      <c r="AP69" s="222" t="s">
        <v>20</v>
      </c>
      <c r="AQ69" s="256"/>
      <c r="AR69" s="256">
        <v>5</v>
      </c>
      <c r="AS69" s="222" t="s">
        <v>57</v>
      </c>
      <c r="AT69" s="102"/>
      <c r="AU69" s="232" t="s">
        <v>329</v>
      </c>
      <c r="AV69" s="254" t="s">
        <v>58</v>
      </c>
      <c r="AZ69" s="32">
        <f>Бланк!D18*10</f>
        <v>0</v>
      </c>
      <c r="BA69" s="11">
        <f>Бланк!F18*6</f>
        <v>0</v>
      </c>
      <c r="BB69" s="9" t="s">
        <v>565</v>
      </c>
      <c r="BC69" s="11">
        <f>0.7*BC72</f>
        <v>28</v>
      </c>
      <c r="BD69" s="231">
        <v>0.5</v>
      </c>
      <c r="BE69" s="232" t="s">
        <v>855</v>
      </c>
      <c r="BM69" s="7"/>
      <c r="BN69" s="7"/>
      <c r="BO69" s="7"/>
      <c r="BP69" s="7"/>
      <c r="BQ69" s="213" t="s">
        <v>164</v>
      </c>
      <c r="BR69" s="213" t="str">
        <f>Проверки!U17</f>
        <v/>
      </c>
      <c r="BS69" s="693" t="str">
        <f>MID(Проверки!C17,1,1)</f>
        <v/>
      </c>
      <c r="BT69" s="693" t="str">
        <f>IF(Проверки!G17+Проверки!H17,MID(Проверки!B17,4,3),IF(Проверки!I17,IF(Проверки!D17&lt;=25,25,63),IF(Проверки!L17,"",IF(Проверки!M17,IF(Проверки!D17&lt;=63,63,125),Проверки!D17))))</f>
        <v/>
      </c>
      <c r="BU69" s="213" t="str">
        <f>IF(Проверки!K17,Проверки!E17,"")</f>
        <v/>
      </c>
      <c r="BV69" s="213" t="str">
        <f t="shared" si="28"/>
        <v/>
      </c>
      <c r="BW69" s="213">
        <f t="shared" si="29"/>
        <v>1</v>
      </c>
      <c r="BX69" s="213" t="str">
        <f t="shared" ca="1" si="30"/>
        <v>-</v>
      </c>
      <c r="BY69" s="213">
        <f t="shared" ca="1" si="31"/>
        <v>1</v>
      </c>
      <c r="BZ69" s="213"/>
      <c r="CA69" s="41"/>
      <c r="CB69" s="41" t="str">
        <f t="shared" si="34"/>
        <v>C1202</v>
      </c>
      <c r="CC69" s="213" t="s">
        <v>534</v>
      </c>
      <c r="CD69" s="213">
        <v>2</v>
      </c>
      <c r="CE69" s="214"/>
      <c r="CF69" s="214"/>
      <c r="CG69" s="201" t="s">
        <v>604</v>
      </c>
      <c r="DH69" s="22"/>
      <c r="DI69" s="22"/>
      <c r="DJ69" s="22"/>
      <c r="DK69" s="344"/>
      <c r="DL69" s="375" t="str">
        <f t="shared" si="35"/>
        <v>TN-C-S3200</v>
      </c>
      <c r="DM69" s="376" t="s">
        <v>7</v>
      </c>
      <c r="DN69" s="376">
        <v>3</v>
      </c>
      <c r="DO69" s="376">
        <v>200</v>
      </c>
      <c r="DP69" s="376">
        <v>1</v>
      </c>
      <c r="DQ69" s="377" t="s">
        <v>420</v>
      </c>
      <c r="DR69" s="358"/>
      <c r="DS69" s="358"/>
      <c r="DT69" s="358"/>
      <c r="DU69" s="358"/>
      <c r="DV69" s="358"/>
      <c r="DW69" s="358"/>
      <c r="DX69" s="358"/>
      <c r="DY69" s="358"/>
      <c r="DZ69" s="358"/>
      <c r="EA69" s="358"/>
      <c r="EB69" s="358"/>
      <c r="EC69" s="358"/>
      <c r="ED69" s="358"/>
      <c r="EE69" s="358"/>
      <c r="EF69" s="22"/>
      <c r="EG69" s="22"/>
      <c r="EH69" s="22"/>
      <c r="EI69" s="22"/>
      <c r="EJ69" s="22"/>
      <c r="EK69" s="22"/>
      <c r="EL69" s="22"/>
      <c r="EM69" s="22"/>
      <c r="EN69" s="344"/>
      <c r="EO69" s="344"/>
      <c r="EP69" s="22"/>
      <c r="EQ69" s="22"/>
      <c r="ER69" s="22"/>
      <c r="EU69" s="344"/>
      <c r="EV69" s="22"/>
      <c r="EW69" s="22"/>
      <c r="EX69" s="22"/>
      <c r="EY69" s="22"/>
      <c r="EZ69" s="22"/>
      <c r="FA69" s="22"/>
      <c r="FB69" s="22"/>
      <c r="FC69" s="22"/>
      <c r="FD69" s="22"/>
      <c r="FE69" s="22"/>
    </row>
    <row r="70" spans="24:161" x14ac:dyDescent="0.2">
      <c r="X70" s="49" t="s">
        <v>316</v>
      </c>
      <c r="AA70" s="8" t="s">
        <v>488</v>
      </c>
      <c r="AB70" s="437">
        <v>4</v>
      </c>
      <c r="AC70" s="116" t="s">
        <v>327</v>
      </c>
      <c r="AD70" s="117" t="s">
        <v>137</v>
      </c>
      <c r="AE70" s="8" t="s">
        <v>149</v>
      </c>
      <c r="AF70" s="107">
        <v>40</v>
      </c>
      <c r="AG70" s="232" t="s">
        <v>148</v>
      </c>
      <c r="AH70" s="259">
        <v>50</v>
      </c>
      <c r="AI70" s="102"/>
      <c r="AJ70" s="102" t="str">
        <f t="shared" si="32"/>
        <v>C60H-DC</v>
      </c>
      <c r="AK70" s="201" t="s">
        <v>148</v>
      </c>
      <c r="AL70" s="240"/>
      <c r="AM70" s="240">
        <v>40</v>
      </c>
      <c r="AN70" s="102"/>
      <c r="AO70" s="102" t="str">
        <f t="shared" si="33"/>
        <v>iC60H5</v>
      </c>
      <c r="AP70" s="222" t="s">
        <v>20</v>
      </c>
      <c r="AQ70" s="256"/>
      <c r="AR70" s="256">
        <v>5</v>
      </c>
      <c r="AS70" s="222" t="s">
        <v>58</v>
      </c>
      <c r="AT70" s="102"/>
      <c r="AU70" s="232" t="s">
        <v>329</v>
      </c>
      <c r="AV70" s="254" t="s">
        <v>59</v>
      </c>
      <c r="AZ70" s="32"/>
      <c r="BA70" s="11">
        <f>Бланк!F18*7</f>
        <v>0</v>
      </c>
      <c r="BB70" s="9" t="s">
        <v>565</v>
      </c>
      <c r="BC70" s="11">
        <f>0.8*BC72</f>
        <v>32</v>
      </c>
      <c r="BD70" s="231">
        <v>0.5</v>
      </c>
      <c r="BE70" s="232" t="s">
        <v>856</v>
      </c>
      <c r="BM70" s="7"/>
      <c r="BN70" s="7"/>
      <c r="BO70" s="7"/>
      <c r="BP70" s="7"/>
      <c r="BQ70" s="213" t="s">
        <v>165</v>
      </c>
      <c r="BR70" s="213" t="str">
        <f>Проверки!U18</f>
        <v/>
      </c>
      <c r="BS70" s="693" t="str">
        <f>MID(Проверки!C18,1,1)</f>
        <v/>
      </c>
      <c r="BT70" s="693" t="str">
        <f>IF(Проверки!G18+Проверки!H18,MID(Проверки!B18,4,3),IF(Проверки!I18,IF(Проверки!D18&lt;=25,25,63),IF(Проверки!L18,"",IF(Проверки!M18,IF(Проверки!D18&lt;=63,63,125),Проверки!D18))))</f>
        <v/>
      </c>
      <c r="BU70" s="213" t="str">
        <f>IF(Проверки!K18,Проверки!E18,"")</f>
        <v/>
      </c>
      <c r="BV70" s="213" t="str">
        <f t="shared" si="28"/>
        <v/>
      </c>
      <c r="BW70" s="213">
        <f t="shared" si="29"/>
        <v>1</v>
      </c>
      <c r="BX70" s="213" t="str">
        <f t="shared" ca="1" si="30"/>
        <v>-</v>
      </c>
      <c r="BY70" s="213">
        <f t="shared" ca="1" si="31"/>
        <v>1</v>
      </c>
      <c r="BZ70" s="213"/>
      <c r="CA70" s="41"/>
      <c r="CB70" s="41" t="str">
        <f t="shared" si="34"/>
        <v>C1202</v>
      </c>
      <c r="CC70" s="213" t="s">
        <v>534</v>
      </c>
      <c r="CD70" s="213">
        <v>2</v>
      </c>
      <c r="CE70" s="214"/>
      <c r="CF70" s="214"/>
      <c r="CG70" s="201" t="s">
        <v>605</v>
      </c>
      <c r="DH70" s="22"/>
      <c r="DI70" s="22"/>
      <c r="DJ70" s="22"/>
      <c r="DK70" s="344"/>
      <c r="DL70" s="375" t="str">
        <f t="shared" si="35"/>
        <v>TN-C-S3250</v>
      </c>
      <c r="DM70" s="376" t="s">
        <v>7</v>
      </c>
      <c r="DN70" s="376">
        <v>3</v>
      </c>
      <c r="DO70" s="376">
        <v>250</v>
      </c>
      <c r="DP70" s="376">
        <v>1</v>
      </c>
      <c r="DQ70" s="377" t="s">
        <v>421</v>
      </c>
      <c r="DR70" s="358"/>
      <c r="DS70" s="358"/>
      <c r="DT70" s="358"/>
      <c r="DU70" s="358"/>
      <c r="DV70" s="358"/>
      <c r="DW70" s="358"/>
      <c r="DX70" s="358"/>
      <c r="DY70" s="358"/>
      <c r="DZ70" s="358"/>
      <c r="EA70" s="358"/>
      <c r="EB70" s="358"/>
      <c r="EC70" s="358"/>
      <c r="ED70" s="358"/>
      <c r="EE70" s="358"/>
      <c r="EF70" s="22"/>
      <c r="EG70" s="22"/>
      <c r="EH70" s="22"/>
      <c r="EI70" s="22"/>
      <c r="EJ70" s="22"/>
      <c r="EK70" s="22"/>
      <c r="EL70" s="22"/>
      <c r="EM70" s="22"/>
      <c r="EN70" s="344"/>
      <c r="EO70" s="344"/>
      <c r="EP70" s="22"/>
      <c r="EQ70" s="22"/>
      <c r="ER70" s="22"/>
      <c r="EU70" s="344"/>
      <c r="EV70" s="22"/>
      <c r="EW70" s="22"/>
      <c r="EX70" s="22"/>
      <c r="EY70" s="22"/>
      <c r="EZ70" s="22"/>
      <c r="FA70" s="22"/>
      <c r="FB70" s="22"/>
      <c r="FC70" s="22"/>
      <c r="FD70" s="22"/>
      <c r="FE70" s="22"/>
    </row>
    <row r="71" spans="24:161" x14ac:dyDescent="0.2">
      <c r="AA71" s="8" t="s">
        <v>143</v>
      </c>
      <c r="AB71" s="437">
        <v>3</v>
      </c>
      <c r="AC71" s="116" t="s">
        <v>327</v>
      </c>
      <c r="AD71" s="117" t="s">
        <v>138</v>
      </c>
      <c r="AE71" s="8" t="s">
        <v>149</v>
      </c>
      <c r="AF71" s="107">
        <v>63</v>
      </c>
      <c r="AG71" s="232" t="s">
        <v>148</v>
      </c>
      <c r="AH71" s="259">
        <v>63</v>
      </c>
      <c r="AI71" s="102"/>
      <c r="AJ71" s="102" t="str">
        <f t="shared" si="32"/>
        <v>C60H-DC</v>
      </c>
      <c r="AK71" s="201" t="s">
        <v>148</v>
      </c>
      <c r="AL71" s="240"/>
      <c r="AM71" s="240">
        <v>50</v>
      </c>
      <c r="AN71" s="102"/>
      <c r="AO71" s="102" t="str">
        <f t="shared" si="33"/>
        <v>iC60H5</v>
      </c>
      <c r="AP71" s="222" t="s">
        <v>20</v>
      </c>
      <c r="AQ71" s="256"/>
      <c r="AR71" s="256">
        <v>5</v>
      </c>
      <c r="AS71" s="222" t="s">
        <v>59</v>
      </c>
      <c r="AT71" s="102"/>
      <c r="AU71" s="232" t="s">
        <v>330</v>
      </c>
      <c r="AV71" s="254" t="s">
        <v>57</v>
      </c>
      <c r="AZ71" s="32"/>
      <c r="BA71" s="11">
        <f>Бланк!F18*8</f>
        <v>0</v>
      </c>
      <c r="BB71" s="9" t="s">
        <v>565</v>
      </c>
      <c r="BC71" s="11">
        <f>0.9*BC72</f>
        <v>36</v>
      </c>
      <c r="BD71" s="231">
        <v>0.5</v>
      </c>
      <c r="BE71" s="232" t="s">
        <v>353</v>
      </c>
      <c r="BM71" s="7"/>
      <c r="BN71" s="7"/>
      <c r="BO71" s="7"/>
      <c r="BP71" s="7"/>
      <c r="BQ71" s="213" t="s">
        <v>166</v>
      </c>
      <c r="BR71" s="213" t="str">
        <f>Проверки!U19</f>
        <v/>
      </c>
      <c r="BS71" s="693" t="str">
        <f>MID(Проверки!C19,1,1)</f>
        <v/>
      </c>
      <c r="BT71" s="693" t="str">
        <f>IF(Проверки!G19+Проверки!H19,MID(Проверки!B19,4,3),IF(Проверки!I19,IF(Проверки!D19&lt;=25,25,63),IF(Проверки!L19,"",IF(Проверки!M19,IF(Проверки!D19&lt;=63,63,125),Проверки!D19))))</f>
        <v/>
      </c>
      <c r="BU71" s="213" t="str">
        <f>IF(Проверки!K19,Проверки!E19,"")</f>
        <v/>
      </c>
      <c r="BV71" s="213" t="str">
        <f t="shared" si="28"/>
        <v/>
      </c>
      <c r="BW71" s="213">
        <f t="shared" si="29"/>
        <v>1</v>
      </c>
      <c r="BX71" s="213" t="str">
        <f t="shared" ca="1" si="30"/>
        <v>-</v>
      </c>
      <c r="BY71" s="213">
        <f t="shared" ca="1" si="31"/>
        <v>1</v>
      </c>
      <c r="BZ71" s="213"/>
      <c r="CA71" s="41"/>
      <c r="CB71" s="41" t="str">
        <f t="shared" si="34"/>
        <v>C1203</v>
      </c>
      <c r="CC71" s="213" t="s">
        <v>534</v>
      </c>
      <c r="CD71" s="213">
        <v>3</v>
      </c>
      <c r="CE71" s="214"/>
      <c r="CF71" s="214"/>
      <c r="CG71" s="201" t="s">
        <v>30</v>
      </c>
      <c r="DH71" s="22"/>
      <c r="DI71" s="22"/>
      <c r="DJ71" s="22"/>
      <c r="DK71" s="344"/>
      <c r="DL71" s="375" t="str">
        <f t="shared" si="35"/>
        <v>TN-C-S3400</v>
      </c>
      <c r="DM71" s="376" t="s">
        <v>7</v>
      </c>
      <c r="DN71" s="376">
        <v>3</v>
      </c>
      <c r="DO71" s="376">
        <v>400</v>
      </c>
      <c r="DP71" s="376">
        <v>2</v>
      </c>
      <c r="DQ71" s="377" t="s">
        <v>420</v>
      </c>
      <c r="DR71" s="358"/>
      <c r="DS71" s="358"/>
      <c r="DT71" s="358"/>
      <c r="DU71" s="358"/>
      <c r="DV71" s="358"/>
      <c r="DW71" s="358"/>
      <c r="DX71" s="358"/>
      <c r="DY71" s="358"/>
      <c r="DZ71" s="358"/>
      <c r="EA71" s="358"/>
      <c r="EB71" s="358"/>
      <c r="EC71" s="358"/>
      <c r="ED71" s="358"/>
      <c r="EE71" s="358"/>
      <c r="EF71" s="22"/>
      <c r="EG71" s="22"/>
      <c r="EH71" s="22"/>
      <c r="EI71" s="22"/>
      <c r="EJ71" s="22"/>
      <c r="EK71" s="22"/>
      <c r="EL71" s="22"/>
      <c r="EM71" s="22"/>
      <c r="EN71" s="344"/>
      <c r="EO71" s="344"/>
      <c r="EP71" s="22"/>
      <c r="EQ71" s="22"/>
      <c r="ER71" s="22"/>
      <c r="EU71" s="344"/>
      <c r="EV71" s="22"/>
      <c r="EW71" s="22"/>
      <c r="EX71" s="22"/>
      <c r="EY71" s="22"/>
      <c r="EZ71" s="22"/>
      <c r="FA71" s="22"/>
      <c r="FB71" s="22"/>
      <c r="FC71" s="22"/>
      <c r="FD71" s="22"/>
      <c r="FE71" s="22"/>
    </row>
    <row r="72" spans="24:161" ht="13.5" thickBot="1" x14ac:dyDescent="0.25">
      <c r="AA72" s="8" t="s">
        <v>143</v>
      </c>
      <c r="AB72" s="437">
        <v>4</v>
      </c>
      <c r="AC72" s="116" t="s">
        <v>327</v>
      </c>
      <c r="AD72" s="117" t="s">
        <v>326</v>
      </c>
      <c r="AE72" s="8" t="s">
        <v>149</v>
      </c>
      <c r="AF72" s="107">
        <v>100</v>
      </c>
      <c r="AG72" s="232" t="s">
        <v>149</v>
      </c>
      <c r="AH72" s="259">
        <v>20</v>
      </c>
      <c r="AI72" s="102"/>
      <c r="AJ72" s="102" t="str">
        <f t="shared" si="32"/>
        <v>C60H-DC</v>
      </c>
      <c r="AK72" s="217" t="s">
        <v>148</v>
      </c>
      <c r="AL72" s="241"/>
      <c r="AM72" s="241">
        <v>63</v>
      </c>
      <c r="AN72" s="102"/>
      <c r="AO72" s="102" t="str">
        <f t="shared" si="33"/>
        <v>iC60H6</v>
      </c>
      <c r="AP72" s="222" t="s">
        <v>20</v>
      </c>
      <c r="AQ72" s="256"/>
      <c r="AR72" s="256">
        <v>6</v>
      </c>
      <c r="AS72" s="222" t="s">
        <v>57</v>
      </c>
      <c r="AT72" s="102"/>
      <c r="AU72" s="232" t="s">
        <v>330</v>
      </c>
      <c r="AV72" s="254" t="s">
        <v>58</v>
      </c>
      <c r="AZ72" s="32"/>
      <c r="BA72" s="11">
        <f>Бланк!F18*10</f>
        <v>0</v>
      </c>
      <c r="BB72" s="9" t="s">
        <v>565</v>
      </c>
      <c r="BC72" s="11">
        <v>40</v>
      </c>
      <c r="BD72" s="231">
        <v>0.5</v>
      </c>
      <c r="BE72" s="232" t="s">
        <v>354</v>
      </c>
      <c r="BM72" s="7"/>
      <c r="BN72" s="7"/>
      <c r="BO72" s="7"/>
      <c r="BP72" s="7"/>
      <c r="BQ72" s="213" t="s">
        <v>1305</v>
      </c>
      <c r="BR72" s="213" t="str">
        <f>Проверки!U20</f>
        <v/>
      </c>
      <c r="BS72" s="693" t="str">
        <f>MID(Проверки!C20,1,1)</f>
        <v/>
      </c>
      <c r="BT72" s="693" t="str">
        <f>IF(Проверки!G20+Проверки!H20,MID(Проверки!B20,4,3),IF(Проверки!I20,IF(Проверки!D20&lt;=25,25,63),IF(Проверки!L20,"",IF(Проверки!M20,IF(Проверки!D20&lt;=63,63,125),Проверки!D20))))</f>
        <v/>
      </c>
      <c r="BU72" s="213" t="str">
        <f>IF(Проверки!K20,Проверки!E20,"")</f>
        <v/>
      </c>
      <c r="BV72" s="213" t="str">
        <f t="shared" ref="BV72:BV76" si="36">BR72&amp;BS72&amp;BT72&amp;BU72</f>
        <v/>
      </c>
      <c r="BW72" s="213">
        <f t="shared" ref="BW72:BW76" si="37">IF(ISNA(MATCH($BV72,$CB$3:$CB$1000,0)),1,MATCH($BV72,$CB$3:$CB$1000,0))</f>
        <v>1</v>
      </c>
      <c r="BX72" s="213" t="str">
        <f t="shared" ref="BX72:BX76" ca="1" si="38">OFFSET($CG$3,$BW72-1,0,1)</f>
        <v>-</v>
      </c>
      <c r="BY72" s="213">
        <f t="shared" ref="BY72:BY76" ca="1" si="39">IF(COUNTIF(OFFSET($CB$3,$BW72-1,0,20),$BV72),COUNTIF(OFFSET($CB$3,$BW72-1,0,20),$BV72),1)</f>
        <v>1</v>
      </c>
      <c r="BZ72" s="213"/>
      <c r="CA72" s="41"/>
      <c r="CB72" s="41" t="str">
        <f t="shared" si="34"/>
        <v>C1203</v>
      </c>
      <c r="CC72" s="213" t="s">
        <v>534</v>
      </c>
      <c r="CD72" s="213">
        <v>3</v>
      </c>
      <c r="CE72" s="214"/>
      <c r="CF72" s="214"/>
      <c r="CG72" s="201" t="s">
        <v>595</v>
      </c>
      <c r="DH72" s="22"/>
      <c r="DI72" s="22"/>
      <c r="DJ72" s="22"/>
      <c r="DK72" s="344"/>
      <c r="DL72" s="375" t="str">
        <f t="shared" si="35"/>
        <v>TN-C-S3630</v>
      </c>
      <c r="DM72" s="376" t="s">
        <v>7</v>
      </c>
      <c r="DN72" s="376">
        <v>3</v>
      </c>
      <c r="DO72" s="376">
        <v>630</v>
      </c>
      <c r="DP72" s="376">
        <v>2</v>
      </c>
      <c r="DQ72" s="377" t="s">
        <v>423</v>
      </c>
      <c r="DR72" s="358"/>
      <c r="DS72" s="358"/>
      <c r="DT72" s="358"/>
      <c r="DU72" s="358"/>
      <c r="DV72" s="358"/>
      <c r="DW72" s="358"/>
      <c r="DX72" s="358"/>
      <c r="DY72" s="358"/>
      <c r="DZ72" s="358"/>
      <c r="EA72" s="358"/>
      <c r="EB72" s="358"/>
      <c r="EC72" s="358"/>
      <c r="ED72" s="358"/>
      <c r="EE72" s="358"/>
      <c r="EF72" s="22"/>
      <c r="EG72" s="22"/>
      <c r="EH72" s="22"/>
      <c r="EI72" s="22"/>
      <c r="EJ72" s="22"/>
      <c r="EK72" s="22"/>
      <c r="EL72" s="22"/>
      <c r="EM72" s="22"/>
      <c r="EN72" s="344"/>
      <c r="EO72" s="344"/>
      <c r="EP72" s="22"/>
      <c r="EQ72" s="22"/>
      <c r="ER72" s="22"/>
      <c r="EU72" s="344"/>
      <c r="EV72" s="22"/>
      <c r="EW72" s="22"/>
      <c r="EX72" s="22"/>
      <c r="EY72" s="22"/>
      <c r="EZ72" s="22"/>
      <c r="FA72" s="22"/>
      <c r="FB72" s="22"/>
      <c r="FC72" s="22"/>
      <c r="FD72" s="22"/>
      <c r="FE72" s="22"/>
    </row>
    <row r="73" spans="24:161" ht="13.5" thickTop="1" x14ac:dyDescent="0.2">
      <c r="AA73" s="8" t="s">
        <v>144</v>
      </c>
      <c r="AB73" s="437">
        <v>3</v>
      </c>
      <c r="AC73" s="116" t="s">
        <v>327</v>
      </c>
      <c r="AD73" s="117" t="s">
        <v>139</v>
      </c>
      <c r="AE73" s="8" t="s">
        <v>149</v>
      </c>
      <c r="AF73" s="107">
        <v>125</v>
      </c>
      <c r="AG73" s="232" t="s">
        <v>149</v>
      </c>
      <c r="AH73" s="259">
        <v>32</v>
      </c>
      <c r="AI73" s="102"/>
      <c r="AJ73" s="102" t="str">
        <f t="shared" si="32"/>
        <v>iSW</v>
      </c>
      <c r="AK73" s="190" t="s">
        <v>149</v>
      </c>
      <c r="AL73" s="242"/>
      <c r="AM73" s="242">
        <v>20</v>
      </c>
      <c r="AN73" s="102"/>
      <c r="AO73" s="102" t="str">
        <f t="shared" si="33"/>
        <v>iC60H6</v>
      </c>
      <c r="AP73" s="222" t="s">
        <v>20</v>
      </c>
      <c r="AQ73" s="256"/>
      <c r="AR73" s="256">
        <v>6</v>
      </c>
      <c r="AS73" s="222" t="s">
        <v>58</v>
      </c>
      <c r="AT73" s="102"/>
      <c r="AU73" s="232" t="s">
        <v>330</v>
      </c>
      <c r="AV73" s="254" t="s">
        <v>59</v>
      </c>
      <c r="AZ73" s="1430" t="s">
        <v>91</v>
      </c>
      <c r="BA73" s="1431"/>
      <c r="BB73" s="18" t="s">
        <v>566</v>
      </c>
      <c r="BC73" s="11">
        <f>0.7*BC76</f>
        <v>35</v>
      </c>
      <c r="BD73" s="231">
        <v>0.5</v>
      </c>
      <c r="BE73" s="232" t="s">
        <v>351</v>
      </c>
      <c r="BQ73" s="213" t="s">
        <v>1306</v>
      </c>
      <c r="BR73" s="213" t="str">
        <f>Проверки!U21</f>
        <v/>
      </c>
      <c r="BS73" s="693" t="str">
        <f>MID(Проверки!C21,1,1)</f>
        <v/>
      </c>
      <c r="BT73" s="693" t="str">
        <f>IF(Проверки!G21+Проверки!H21,MID(Проверки!B21,4,3),IF(Проверки!I21,IF(Проверки!D21&lt;=25,25,63),IF(Проверки!L21,"",IF(Проверки!M21,IF(Проверки!D21&lt;=63,63,125),Проверки!D21))))</f>
        <v/>
      </c>
      <c r="BU73" s="213" t="str">
        <f>IF(Проверки!K21,Проверки!E21,"")</f>
        <v/>
      </c>
      <c r="BV73" s="213" t="str">
        <f t="shared" si="36"/>
        <v/>
      </c>
      <c r="BW73" s="213">
        <f t="shared" si="37"/>
        <v>1</v>
      </c>
      <c r="BX73" s="213" t="str">
        <f t="shared" ca="1" si="38"/>
        <v>-</v>
      </c>
      <c r="BY73" s="213">
        <f t="shared" ca="1" si="39"/>
        <v>1</v>
      </c>
      <c r="BZ73" s="213"/>
      <c r="CB73" s="41" t="str">
        <f t="shared" si="34"/>
        <v>C1203</v>
      </c>
      <c r="CC73" s="213" t="s">
        <v>534</v>
      </c>
      <c r="CD73" s="213">
        <v>3</v>
      </c>
      <c r="CE73" s="214"/>
      <c r="CF73" s="214"/>
      <c r="CG73" s="201" t="s">
        <v>597</v>
      </c>
      <c r="DH73" s="22"/>
      <c r="DI73" s="22"/>
      <c r="DJ73" s="22"/>
      <c r="DK73" s="344"/>
      <c r="DL73" s="375" t="str">
        <f t="shared" si="35"/>
        <v>TN-C-S410</v>
      </c>
      <c r="DM73" s="376" t="s">
        <v>7</v>
      </c>
      <c r="DN73" s="376">
        <v>4</v>
      </c>
      <c r="DO73" s="376">
        <v>10</v>
      </c>
      <c r="DP73" s="376">
        <v>1</v>
      </c>
      <c r="DQ73" s="377" t="s">
        <v>412</v>
      </c>
      <c r="DR73" s="358"/>
      <c r="DS73" s="358"/>
      <c r="DT73" s="358"/>
      <c r="DU73" s="358"/>
      <c r="DV73" s="358"/>
      <c r="DW73" s="358"/>
      <c r="DX73" s="358"/>
      <c r="DY73" s="358"/>
      <c r="DZ73" s="358"/>
      <c r="EA73" s="358"/>
      <c r="EB73" s="358"/>
      <c r="EC73" s="358"/>
      <c r="ED73" s="358"/>
      <c r="EE73" s="358"/>
      <c r="EF73" s="22"/>
      <c r="EG73" s="22"/>
      <c r="EH73" s="22"/>
      <c r="EI73" s="22"/>
      <c r="EJ73" s="22"/>
      <c r="EK73" s="22"/>
      <c r="EL73" s="22"/>
      <c r="EM73" s="22"/>
      <c r="EN73" s="344"/>
      <c r="EO73" s="344"/>
      <c r="EP73" s="22"/>
      <c r="EQ73" s="22"/>
      <c r="ER73" s="22"/>
      <c r="EU73" s="344"/>
      <c r="EV73" s="22"/>
      <c r="EW73" s="22"/>
      <c r="EX73" s="22"/>
      <c r="EY73" s="22"/>
      <c r="EZ73" s="22"/>
      <c r="FA73" s="22"/>
      <c r="FB73" s="22"/>
      <c r="FC73" s="22"/>
      <c r="FD73" s="22"/>
      <c r="FE73" s="22"/>
    </row>
    <row r="74" spans="24:161" x14ac:dyDescent="0.2">
      <c r="AA74" s="8" t="s">
        <v>144</v>
      </c>
      <c r="AB74" s="437">
        <v>4</v>
      </c>
      <c r="AC74" s="116" t="s">
        <v>327</v>
      </c>
      <c r="AD74" s="117" t="s">
        <v>140</v>
      </c>
      <c r="AE74" s="8" t="s">
        <v>150</v>
      </c>
      <c r="AF74" s="107">
        <v>25</v>
      </c>
      <c r="AG74" s="232" t="s">
        <v>149</v>
      </c>
      <c r="AH74" s="259">
        <v>40</v>
      </c>
      <c r="AI74" s="102"/>
      <c r="AJ74" s="102" t="str">
        <f t="shared" si="32"/>
        <v>iSW</v>
      </c>
      <c r="AK74" s="201" t="s">
        <v>149</v>
      </c>
      <c r="AL74" s="240"/>
      <c r="AM74" s="240">
        <v>32</v>
      </c>
      <c r="AN74" s="102"/>
      <c r="AO74" s="102" t="str">
        <f t="shared" si="33"/>
        <v>iC60H6</v>
      </c>
      <c r="AP74" s="222" t="s">
        <v>20</v>
      </c>
      <c r="AQ74" s="256"/>
      <c r="AR74" s="256">
        <v>6</v>
      </c>
      <c r="AS74" s="222" t="s">
        <v>59</v>
      </c>
      <c r="AT74" s="102"/>
      <c r="AU74" s="232" t="s">
        <v>362</v>
      </c>
      <c r="AV74" s="254" t="s">
        <v>57</v>
      </c>
      <c r="AZ74" s="32">
        <f>Бланк!D19*5</f>
        <v>0</v>
      </c>
      <c r="BA74" s="11">
        <f>Бланк!F19*1.5</f>
        <v>0</v>
      </c>
      <c r="BB74" s="18" t="s">
        <v>566</v>
      </c>
      <c r="BC74" s="11">
        <f>0.8*BC76</f>
        <v>40</v>
      </c>
      <c r="BD74" s="231">
        <v>0.5</v>
      </c>
      <c r="BE74" s="232" t="s">
        <v>355</v>
      </c>
      <c r="BQ74" s="213" t="s">
        <v>1307</v>
      </c>
      <c r="BR74" s="213" t="str">
        <f>Проверки!U22</f>
        <v/>
      </c>
      <c r="BS74" s="693" t="str">
        <f>MID(Проверки!C22,1,1)</f>
        <v/>
      </c>
      <c r="BT74" s="693" t="str">
        <f>IF(Проверки!G22+Проверки!H22,MID(Проверки!B22,4,3),IF(Проверки!I22,IF(Проверки!D22&lt;=25,25,63),IF(Проверки!L22,"",IF(Проверки!M22,IF(Проверки!D22&lt;=63,63,125),Проверки!D22))))</f>
        <v/>
      </c>
      <c r="BU74" s="213" t="str">
        <f>IF(Проверки!K22,Проверки!E22,"")</f>
        <v/>
      </c>
      <c r="BV74" s="213" t="str">
        <f t="shared" si="36"/>
        <v/>
      </c>
      <c r="BW74" s="213">
        <f t="shared" si="37"/>
        <v>1</v>
      </c>
      <c r="BX74" s="213" t="str">
        <f t="shared" ca="1" si="38"/>
        <v>-</v>
      </c>
      <c r="BY74" s="213">
        <f t="shared" ca="1" si="39"/>
        <v>1</v>
      </c>
      <c r="BZ74" s="213"/>
      <c r="CB74" s="41" t="str">
        <f t="shared" si="34"/>
        <v>C1203</v>
      </c>
      <c r="CC74" s="213" t="s">
        <v>534</v>
      </c>
      <c r="CD74" s="213">
        <v>3</v>
      </c>
      <c r="CE74" s="214"/>
      <c r="CF74" s="214"/>
      <c r="CG74" s="201" t="s">
        <v>598</v>
      </c>
      <c r="DH74" s="22"/>
      <c r="DI74" s="22"/>
      <c r="DJ74" s="22"/>
      <c r="DK74" s="344"/>
      <c r="DL74" s="375" t="str">
        <f t="shared" si="35"/>
        <v>TN-C-S420</v>
      </c>
      <c r="DM74" s="376" t="s">
        <v>7</v>
      </c>
      <c r="DN74" s="376">
        <v>4</v>
      </c>
      <c r="DO74" s="376">
        <v>20</v>
      </c>
      <c r="DP74" s="376">
        <v>1</v>
      </c>
      <c r="DQ74" s="377" t="s">
        <v>350</v>
      </c>
      <c r="DR74" s="358"/>
      <c r="DS74" s="358"/>
      <c r="DT74" s="358"/>
      <c r="DU74" s="358"/>
      <c r="DV74" s="358"/>
      <c r="DW74" s="358"/>
      <c r="DX74" s="358"/>
      <c r="DY74" s="358"/>
      <c r="DZ74" s="358"/>
      <c r="EA74" s="358"/>
      <c r="EB74" s="358"/>
      <c r="EC74" s="358"/>
      <c r="ED74" s="358"/>
      <c r="EE74" s="358"/>
      <c r="EF74" s="22"/>
      <c r="EG74" s="22"/>
      <c r="EH74" s="22"/>
      <c r="EI74" s="22"/>
      <c r="EJ74" s="22"/>
      <c r="EK74" s="22"/>
      <c r="EL74" s="22"/>
      <c r="EM74" s="22"/>
      <c r="EN74" s="344"/>
      <c r="EO74" s="344"/>
      <c r="EP74" s="22"/>
      <c r="EQ74" s="22"/>
      <c r="ER74" s="22"/>
      <c r="EU74" s="344"/>
      <c r="EV74" s="22"/>
      <c r="EW74" s="22"/>
      <c r="EX74" s="22"/>
      <c r="EY74" s="22"/>
      <c r="EZ74" s="22"/>
      <c r="FA74" s="22"/>
      <c r="FB74" s="22"/>
      <c r="FC74" s="22"/>
      <c r="FD74" s="22"/>
      <c r="FE74" s="22"/>
    </row>
    <row r="75" spans="24:161" x14ac:dyDescent="0.2">
      <c r="AA75" s="8" t="s">
        <v>145</v>
      </c>
      <c r="AB75" s="437">
        <v>3</v>
      </c>
      <c r="AC75" s="116" t="s">
        <v>327</v>
      </c>
      <c r="AD75" s="117" t="s">
        <v>141</v>
      </c>
      <c r="AE75" s="116" t="s">
        <v>150</v>
      </c>
      <c r="AF75" s="118">
        <v>40</v>
      </c>
      <c r="AG75" s="232" t="s">
        <v>149</v>
      </c>
      <c r="AH75" s="259">
        <v>63</v>
      </c>
      <c r="AI75" s="102"/>
      <c r="AJ75" s="102" t="str">
        <f t="shared" si="32"/>
        <v>iSW</v>
      </c>
      <c r="AK75" s="201" t="s">
        <v>149</v>
      </c>
      <c r="AL75" s="240"/>
      <c r="AM75" s="240">
        <v>40</v>
      </c>
      <c r="AN75" s="102"/>
      <c r="AO75" s="102" t="str">
        <f t="shared" si="33"/>
        <v>iC60H10</v>
      </c>
      <c r="AP75" s="222" t="s">
        <v>20</v>
      </c>
      <c r="AQ75" s="256"/>
      <c r="AR75" s="256">
        <v>10</v>
      </c>
      <c r="AS75" s="222" t="s">
        <v>57</v>
      </c>
      <c r="AT75" s="102"/>
      <c r="AU75" s="232" t="s">
        <v>362</v>
      </c>
      <c r="AV75" s="254" t="s">
        <v>58</v>
      </c>
      <c r="AZ75" s="32">
        <f>Бланк!D19*6</f>
        <v>0</v>
      </c>
      <c r="BA75" s="11">
        <f>Бланк!F19*2</f>
        <v>0</v>
      </c>
      <c r="BB75" s="18" t="s">
        <v>566</v>
      </c>
      <c r="BC75" s="11">
        <f>0.9*BC76</f>
        <v>45</v>
      </c>
      <c r="BD75" s="231">
        <v>0.5</v>
      </c>
      <c r="BE75" s="232" t="s">
        <v>352</v>
      </c>
      <c r="BQ75" s="213" t="s">
        <v>1308</v>
      </c>
      <c r="BR75" s="213" t="str">
        <f>Проверки!U23</f>
        <v/>
      </c>
      <c r="BS75" s="693" t="str">
        <f>MID(Проверки!C23,1,1)</f>
        <v/>
      </c>
      <c r="BT75" s="693" t="str">
        <f>IF(Проверки!G23+Проверки!H23,MID(Проверки!B23,4,3),IF(Проверки!I23,IF(Проверки!D23&lt;=25,25,63),IF(Проверки!L23,"",IF(Проверки!M23,IF(Проверки!D23&lt;=63,63,125),Проверки!D23))))</f>
        <v/>
      </c>
      <c r="BU75" s="213" t="str">
        <f>IF(Проверки!K23,Проверки!E23,"")</f>
        <v/>
      </c>
      <c r="BV75" s="213" t="str">
        <f t="shared" si="36"/>
        <v/>
      </c>
      <c r="BW75" s="213">
        <f t="shared" si="37"/>
        <v>1</v>
      </c>
      <c r="BX75" s="213" t="str">
        <f t="shared" ca="1" si="38"/>
        <v>-</v>
      </c>
      <c r="BY75" s="213">
        <f t="shared" ca="1" si="39"/>
        <v>1</v>
      </c>
      <c r="BZ75" s="213"/>
      <c r="CB75" s="41" t="str">
        <f t="shared" si="34"/>
        <v>C1203</v>
      </c>
      <c r="CC75" s="213" t="s">
        <v>534</v>
      </c>
      <c r="CD75" s="213">
        <v>3</v>
      </c>
      <c r="CE75" s="214"/>
      <c r="CF75" s="214"/>
      <c r="CG75" s="201" t="s">
        <v>600</v>
      </c>
      <c r="DH75" s="22"/>
      <c r="DI75" s="22"/>
      <c r="DJ75" s="22"/>
      <c r="DK75" s="344"/>
      <c r="DL75" s="375" t="str">
        <f t="shared" si="35"/>
        <v>TN-C-S425</v>
      </c>
      <c r="DM75" s="376" t="s">
        <v>7</v>
      </c>
      <c r="DN75" s="376">
        <v>4</v>
      </c>
      <c r="DO75" s="376">
        <v>25</v>
      </c>
      <c r="DP75" s="376">
        <v>1</v>
      </c>
      <c r="DQ75" s="377" t="s">
        <v>413</v>
      </c>
      <c r="DR75" s="358"/>
      <c r="DS75" s="358"/>
      <c r="DT75" s="358"/>
      <c r="DU75" s="358"/>
      <c r="DV75" s="358"/>
      <c r="DW75" s="358"/>
      <c r="DX75" s="358"/>
      <c r="DY75" s="358"/>
      <c r="DZ75" s="358"/>
      <c r="EA75" s="358"/>
      <c r="EB75" s="358"/>
      <c r="EC75" s="358"/>
      <c r="ED75" s="358"/>
      <c r="EE75" s="358"/>
      <c r="EF75" s="22"/>
      <c r="EG75" s="22"/>
      <c r="EH75" s="22"/>
      <c r="EI75" s="22"/>
      <c r="EJ75" s="22"/>
      <c r="EK75" s="22"/>
      <c r="EL75" s="22"/>
      <c r="EM75" s="22"/>
      <c r="EN75" s="344"/>
      <c r="EO75" s="344"/>
      <c r="EP75" s="22"/>
      <c r="EQ75" s="22"/>
      <c r="ER75" s="22"/>
      <c r="EU75" s="344"/>
      <c r="EV75" s="22"/>
      <c r="EW75" s="22"/>
      <c r="EX75" s="22"/>
      <c r="EY75" s="22"/>
      <c r="EZ75" s="22"/>
      <c r="FA75" s="22"/>
      <c r="FB75" s="22"/>
      <c r="FC75" s="22"/>
      <c r="FD75" s="22"/>
      <c r="FE75" s="22"/>
    </row>
    <row r="76" spans="24:161" x14ac:dyDescent="0.2">
      <c r="AA76" s="8" t="s">
        <v>145</v>
      </c>
      <c r="AB76" s="437">
        <v>4</v>
      </c>
      <c r="AC76" s="116" t="s">
        <v>327</v>
      </c>
      <c r="AD76" s="117" t="s">
        <v>312</v>
      </c>
      <c r="AE76" s="116" t="s">
        <v>150</v>
      </c>
      <c r="AF76" s="118">
        <v>63</v>
      </c>
      <c r="AG76" s="232" t="s">
        <v>149</v>
      </c>
      <c r="AH76" s="259">
        <v>100</v>
      </c>
      <c r="AI76" s="102"/>
      <c r="AJ76" s="102" t="str">
        <f t="shared" si="32"/>
        <v>iSW</v>
      </c>
      <c r="AK76" s="201" t="s">
        <v>149</v>
      </c>
      <c r="AL76" s="240"/>
      <c r="AM76" s="240">
        <v>63</v>
      </c>
      <c r="AN76" s="102"/>
      <c r="AO76" s="102" t="str">
        <f t="shared" si="33"/>
        <v>iC60H10</v>
      </c>
      <c r="AP76" s="222" t="s">
        <v>20</v>
      </c>
      <c r="AQ76" s="256"/>
      <c r="AR76" s="256">
        <v>10</v>
      </c>
      <c r="AS76" s="222" t="s">
        <v>58</v>
      </c>
      <c r="AT76" s="102"/>
      <c r="AU76" s="232" t="s">
        <v>430</v>
      </c>
      <c r="AV76" s="254" t="s">
        <v>57</v>
      </c>
      <c r="AZ76" s="32">
        <f>Бланк!D19*7</f>
        <v>0</v>
      </c>
      <c r="BA76" s="11">
        <f>Бланк!F19*3</f>
        <v>0</v>
      </c>
      <c r="BB76" s="18" t="s">
        <v>566</v>
      </c>
      <c r="BC76" s="11">
        <v>50</v>
      </c>
      <c r="BD76" s="231">
        <v>1</v>
      </c>
      <c r="BE76" s="233" t="s">
        <v>30</v>
      </c>
      <c r="BQ76" s="213" t="s">
        <v>1309</v>
      </c>
      <c r="BR76" s="213" t="str">
        <f>Проверки!U24</f>
        <v/>
      </c>
      <c r="BS76" s="693" t="str">
        <f>MID(Проверки!C24,1,1)</f>
        <v/>
      </c>
      <c r="BT76" s="693" t="str">
        <f>IF(Проверки!G24+Проверки!H24,MID(Проверки!B24,4,3),IF(Проверки!I24,IF(Проверки!D24&lt;=25,25,63),IF(Проверки!L24,"",IF(Проверки!M24,IF(Проверки!D24&lt;=63,63,125),Проверки!D24))))</f>
        <v/>
      </c>
      <c r="BU76" s="213" t="str">
        <f>IF(Проверки!K24,Проверки!E24,"")</f>
        <v/>
      </c>
      <c r="BV76" s="213" t="str">
        <f t="shared" si="36"/>
        <v/>
      </c>
      <c r="BW76" s="213">
        <f t="shared" si="37"/>
        <v>1</v>
      </c>
      <c r="BX76" s="213" t="str">
        <f t="shared" ca="1" si="38"/>
        <v>-</v>
      </c>
      <c r="BY76" s="213">
        <f t="shared" ca="1" si="39"/>
        <v>1</v>
      </c>
      <c r="BZ76" s="213"/>
      <c r="CB76" s="41" t="str">
        <f t="shared" si="34"/>
        <v>C1203</v>
      </c>
      <c r="CC76" s="213" t="s">
        <v>534</v>
      </c>
      <c r="CD76" s="213">
        <v>3</v>
      </c>
      <c r="CE76" s="214"/>
      <c r="CF76" s="214"/>
      <c r="CG76" s="201" t="s">
        <v>602</v>
      </c>
      <c r="CH76" s="18"/>
      <c r="CI76" s="18"/>
      <c r="CJ76" s="18"/>
      <c r="CK76" s="18"/>
      <c r="CL76" s="18"/>
      <c r="CM76" s="18"/>
      <c r="CN76" s="18"/>
      <c r="DH76" s="22"/>
      <c r="DI76" s="22"/>
      <c r="DJ76" s="22"/>
      <c r="DK76" s="344"/>
      <c r="DL76" s="375" t="str">
        <f t="shared" si="35"/>
        <v>TN-C-S432</v>
      </c>
      <c r="DM76" s="376" t="s">
        <v>7</v>
      </c>
      <c r="DN76" s="376">
        <v>4</v>
      </c>
      <c r="DO76" s="376">
        <v>32</v>
      </c>
      <c r="DP76" s="376">
        <v>1</v>
      </c>
      <c r="DQ76" s="377" t="s">
        <v>414</v>
      </c>
      <c r="DR76" s="358"/>
      <c r="DS76" s="358"/>
      <c r="DT76" s="358"/>
      <c r="DU76" s="358"/>
      <c r="DV76" s="358"/>
      <c r="DW76" s="358"/>
      <c r="DX76" s="358"/>
      <c r="DY76" s="358"/>
      <c r="DZ76" s="358"/>
      <c r="EA76" s="358"/>
      <c r="EB76" s="358"/>
      <c r="EC76" s="358"/>
      <c r="ED76" s="358"/>
      <c r="EE76" s="358"/>
      <c r="EF76" s="22"/>
      <c r="EG76" s="22"/>
      <c r="EH76" s="22"/>
      <c r="EI76" s="22"/>
      <c r="EJ76" s="22"/>
      <c r="EK76" s="22"/>
      <c r="EL76" s="22"/>
      <c r="EM76" s="22"/>
      <c r="EN76" s="344"/>
      <c r="EO76" s="344"/>
      <c r="EP76" s="22"/>
      <c r="EQ76" s="22"/>
      <c r="ER76" s="22"/>
      <c r="EU76" s="344"/>
      <c r="EV76" s="22"/>
      <c r="EW76" s="22"/>
      <c r="EX76" s="22"/>
      <c r="EY76" s="22"/>
      <c r="EZ76" s="22"/>
      <c r="FA76" s="22"/>
      <c r="FB76" s="22"/>
      <c r="FC76" s="22"/>
      <c r="FD76" s="22"/>
      <c r="FE76" s="22"/>
    </row>
    <row r="77" spans="24:161" x14ac:dyDescent="0.2">
      <c r="AA77" s="8" t="s">
        <v>146</v>
      </c>
      <c r="AB77" s="437">
        <v>3</v>
      </c>
      <c r="AC77" s="116" t="s">
        <v>327</v>
      </c>
      <c r="AD77" s="117">
        <v>3</v>
      </c>
      <c r="AE77" s="116" t="s">
        <v>150</v>
      </c>
      <c r="AF77" s="118">
        <v>80</v>
      </c>
      <c r="AG77" s="232" t="s">
        <v>149</v>
      </c>
      <c r="AH77" s="259">
        <v>125</v>
      </c>
      <c r="AI77" s="102"/>
      <c r="AJ77" s="102" t="str">
        <f t="shared" si="32"/>
        <v>iSW</v>
      </c>
      <c r="AK77" s="201" t="s">
        <v>149</v>
      </c>
      <c r="AL77" s="240"/>
      <c r="AM77" s="240">
        <v>100</v>
      </c>
      <c r="AN77" s="102"/>
      <c r="AO77" s="102" t="str">
        <f t="shared" si="33"/>
        <v>iC60H10</v>
      </c>
      <c r="AP77" s="222" t="s">
        <v>20</v>
      </c>
      <c r="AQ77" s="256"/>
      <c r="AR77" s="256">
        <v>10</v>
      </c>
      <c r="AS77" s="222" t="s">
        <v>59</v>
      </c>
      <c r="AT77" s="102"/>
      <c r="AU77" s="232" t="s">
        <v>430</v>
      </c>
      <c r="AV77" s="254" t="s">
        <v>58</v>
      </c>
      <c r="AZ77" s="32">
        <f>Бланк!D19*8</f>
        <v>0</v>
      </c>
      <c r="BA77" s="11">
        <f>Бланк!F19*4</f>
        <v>0</v>
      </c>
      <c r="BB77" s="18" t="s">
        <v>567</v>
      </c>
      <c r="BC77" s="11">
        <f>0.7*BC80</f>
        <v>44.099999999999994</v>
      </c>
      <c r="BD77" s="231">
        <v>1</v>
      </c>
      <c r="BE77" s="232" t="s">
        <v>853</v>
      </c>
      <c r="CB77" s="41" t="str">
        <f t="shared" si="34"/>
        <v>C1203</v>
      </c>
      <c r="CC77" s="213" t="s">
        <v>534</v>
      </c>
      <c r="CD77" s="213">
        <v>3</v>
      </c>
      <c r="CE77" s="214"/>
      <c r="CF77" s="214"/>
      <c r="CG77" s="201" t="s">
        <v>603</v>
      </c>
      <c r="DH77" s="22"/>
      <c r="DI77" s="22"/>
      <c r="DJ77" s="22"/>
      <c r="DK77" s="344"/>
      <c r="DL77" s="375" t="str">
        <f t="shared" si="35"/>
        <v>TN-C-S450</v>
      </c>
      <c r="DM77" s="376" t="s">
        <v>7</v>
      </c>
      <c r="DN77" s="376">
        <v>4</v>
      </c>
      <c r="DO77" s="376">
        <v>50</v>
      </c>
      <c r="DP77" s="376">
        <v>1</v>
      </c>
      <c r="DQ77" s="377" t="s">
        <v>415</v>
      </c>
      <c r="DR77" s="358"/>
      <c r="DS77" s="358"/>
      <c r="DT77" s="358"/>
      <c r="DU77" s="358"/>
      <c r="DV77" s="358"/>
      <c r="DW77" s="358"/>
      <c r="DX77" s="358"/>
      <c r="DY77" s="358"/>
      <c r="DZ77" s="358"/>
      <c r="EA77" s="358"/>
      <c r="EB77" s="358"/>
      <c r="EC77" s="358"/>
      <c r="ED77" s="358"/>
      <c r="EE77" s="358"/>
      <c r="EF77" s="22"/>
      <c r="EG77" s="22"/>
      <c r="EH77" s="22"/>
      <c r="EI77" s="22"/>
      <c r="EJ77" s="22"/>
      <c r="EK77" s="22"/>
      <c r="EL77" s="22"/>
      <c r="EM77" s="22"/>
      <c r="EN77" s="344"/>
      <c r="EO77" s="344"/>
      <c r="EP77" s="22"/>
      <c r="EQ77" s="22"/>
      <c r="ER77" s="22"/>
      <c r="EU77" s="344"/>
      <c r="EV77" s="22"/>
      <c r="EW77" s="22"/>
      <c r="EX77" s="22"/>
      <c r="EY77" s="22"/>
      <c r="EZ77" s="22"/>
      <c r="FA77" s="22"/>
      <c r="FB77" s="22"/>
      <c r="FC77" s="22"/>
      <c r="FD77" s="22"/>
      <c r="FE77" s="22"/>
    </row>
    <row r="78" spans="24:161" ht="13.5" thickBot="1" x14ac:dyDescent="0.25">
      <c r="AA78" s="8" t="s">
        <v>146</v>
      </c>
      <c r="AB78" s="437">
        <v>4</v>
      </c>
      <c r="AC78" s="116" t="s">
        <v>327</v>
      </c>
      <c r="AD78" s="117">
        <v>4</v>
      </c>
      <c r="AE78" s="116" t="s">
        <v>150</v>
      </c>
      <c r="AF78" s="118">
        <v>100</v>
      </c>
      <c r="AG78" s="232" t="s">
        <v>150</v>
      </c>
      <c r="AH78" s="259">
        <v>25</v>
      </c>
      <c r="AI78" s="102"/>
      <c r="AJ78" s="102" t="str">
        <f t="shared" si="32"/>
        <v>iSW</v>
      </c>
      <c r="AK78" s="217" t="s">
        <v>149</v>
      </c>
      <c r="AL78" s="241"/>
      <c r="AM78" s="241">
        <v>125</v>
      </c>
      <c r="AN78" s="102"/>
      <c r="AO78" s="102" t="str">
        <f t="shared" si="33"/>
        <v>iC60H13</v>
      </c>
      <c r="AP78" s="222" t="s">
        <v>20</v>
      </c>
      <c r="AQ78" s="256"/>
      <c r="AR78" s="256">
        <v>13</v>
      </c>
      <c r="AS78" s="222" t="s">
        <v>57</v>
      </c>
      <c r="AT78" s="102"/>
      <c r="AU78" s="232" t="s">
        <v>433</v>
      </c>
      <c r="AV78" s="254" t="s">
        <v>58</v>
      </c>
      <c r="AZ78" s="32">
        <f>Бланк!D19*9</f>
        <v>0</v>
      </c>
      <c r="BA78" s="11">
        <f>Бланк!F19*5</f>
        <v>0</v>
      </c>
      <c r="BB78" s="18" t="s">
        <v>567</v>
      </c>
      <c r="BC78" s="11">
        <f>0.8*BC80</f>
        <v>50.400000000000006</v>
      </c>
      <c r="BD78" s="231">
        <v>1</v>
      </c>
      <c r="BE78" s="232" t="s">
        <v>854</v>
      </c>
      <c r="CB78" s="41" t="str">
        <f t="shared" si="34"/>
        <v>C1203</v>
      </c>
      <c r="CC78" s="213" t="s">
        <v>534</v>
      </c>
      <c r="CD78" s="213">
        <v>3</v>
      </c>
      <c r="CE78" s="214"/>
      <c r="CF78" s="214"/>
      <c r="CG78" s="201" t="s">
        <v>604</v>
      </c>
      <c r="DH78" s="22"/>
      <c r="DI78" s="22"/>
      <c r="DJ78" s="22"/>
      <c r="DK78" s="344"/>
      <c r="DL78" s="375" t="str">
        <f t="shared" si="35"/>
        <v>TN-C-S463</v>
      </c>
      <c r="DM78" s="376" t="s">
        <v>7</v>
      </c>
      <c r="DN78" s="376">
        <v>4</v>
      </c>
      <c r="DO78" s="376">
        <v>63</v>
      </c>
      <c r="DP78" s="376">
        <v>1</v>
      </c>
      <c r="DQ78" s="377" t="s">
        <v>349</v>
      </c>
      <c r="DR78" s="358"/>
      <c r="DS78" s="358"/>
      <c r="DT78" s="358"/>
      <c r="DU78" s="358"/>
      <c r="DV78" s="358"/>
      <c r="DW78" s="358"/>
      <c r="DX78" s="358"/>
      <c r="DY78" s="358"/>
      <c r="DZ78" s="358"/>
      <c r="EA78" s="358"/>
      <c r="EB78" s="358"/>
      <c r="EC78" s="358"/>
      <c r="ED78" s="358"/>
      <c r="EE78" s="358"/>
      <c r="EF78" s="22"/>
      <c r="EG78" s="22"/>
      <c r="EH78" s="22"/>
      <c r="EI78" s="22"/>
      <c r="EJ78" s="22"/>
      <c r="EK78" s="22"/>
      <c r="EL78" s="22"/>
      <c r="EM78" s="22"/>
      <c r="EN78" s="344"/>
      <c r="EO78" s="344"/>
      <c r="EP78" s="22"/>
      <c r="EQ78" s="22"/>
      <c r="ER78" s="22"/>
      <c r="EU78" s="344"/>
      <c r="EV78" s="22"/>
      <c r="EW78" s="22"/>
      <c r="EX78" s="22"/>
      <c r="EY78" s="22"/>
      <c r="EZ78" s="22"/>
      <c r="FA78" s="22"/>
      <c r="FB78" s="22"/>
      <c r="FC78" s="22"/>
      <c r="FD78" s="22"/>
      <c r="FE78" s="22"/>
    </row>
    <row r="79" spans="24:161" ht="13.5" thickTop="1" x14ac:dyDescent="0.2">
      <c r="AA79" s="8" t="s">
        <v>147</v>
      </c>
      <c r="AB79" s="437">
        <v>3</v>
      </c>
      <c r="AC79" s="116" t="s">
        <v>328</v>
      </c>
      <c r="AD79" s="117" t="s">
        <v>136</v>
      </c>
      <c r="AE79" s="116" t="s">
        <v>362</v>
      </c>
      <c r="AF79" s="118">
        <v>6</v>
      </c>
      <c r="AG79" s="232" t="s">
        <v>150</v>
      </c>
      <c r="AH79" s="259">
        <v>40</v>
      </c>
      <c r="AI79" s="212"/>
      <c r="AJ79" s="102" t="str">
        <f t="shared" si="32"/>
        <v>iID2</v>
      </c>
      <c r="AK79" s="190" t="s">
        <v>150</v>
      </c>
      <c r="AL79" s="243">
        <v>2</v>
      </c>
      <c r="AM79" s="242">
        <v>16</v>
      </c>
      <c r="AN79" s="212"/>
      <c r="AO79" s="102" t="str">
        <f t="shared" si="33"/>
        <v>iC60H13</v>
      </c>
      <c r="AP79" s="222" t="s">
        <v>20</v>
      </c>
      <c r="AQ79" s="256"/>
      <c r="AR79" s="256">
        <v>13</v>
      </c>
      <c r="AS79" s="222" t="s">
        <v>58</v>
      </c>
      <c r="AT79" s="212"/>
      <c r="AZ79" s="32">
        <f>Бланк!D19*10</f>
        <v>0</v>
      </c>
      <c r="BA79" s="11">
        <f>Бланк!F19*6</f>
        <v>0</v>
      </c>
      <c r="BB79" s="18" t="s">
        <v>567</v>
      </c>
      <c r="BC79" s="11">
        <f>0.9*BC80</f>
        <v>56.7</v>
      </c>
      <c r="BD79" s="231">
        <v>1</v>
      </c>
      <c r="BE79" s="232" t="s">
        <v>855</v>
      </c>
      <c r="CB79" s="41" t="str">
        <f t="shared" si="34"/>
        <v>C1203</v>
      </c>
      <c r="CC79" s="213" t="s">
        <v>534</v>
      </c>
      <c r="CD79" s="213">
        <v>3</v>
      </c>
      <c r="CE79" s="214"/>
      <c r="CF79" s="214"/>
      <c r="CG79" s="201" t="s">
        <v>605</v>
      </c>
      <c r="DH79" s="22"/>
      <c r="DI79" s="22"/>
      <c r="DJ79" s="22"/>
      <c r="DK79" s="344"/>
      <c r="DL79" s="375" t="str">
        <f t="shared" si="35"/>
        <v>TN-C-S480</v>
      </c>
      <c r="DM79" s="376" t="s">
        <v>7</v>
      </c>
      <c r="DN79" s="376">
        <v>4</v>
      </c>
      <c r="DO79" s="376">
        <v>80</v>
      </c>
      <c r="DP79" s="376">
        <v>1</v>
      </c>
      <c r="DQ79" s="377" t="s">
        <v>416</v>
      </c>
      <c r="DR79" s="358"/>
      <c r="DS79" s="358"/>
      <c r="DT79" s="358"/>
      <c r="DU79" s="358"/>
      <c r="DV79" s="358"/>
      <c r="DW79" s="358"/>
      <c r="DX79" s="358"/>
      <c r="DY79" s="358"/>
      <c r="DZ79" s="358"/>
      <c r="EA79" s="358"/>
      <c r="EB79" s="358"/>
      <c r="EC79" s="358"/>
      <c r="ED79" s="358"/>
      <c r="EE79" s="358"/>
      <c r="EF79" s="22"/>
      <c r="EG79" s="22"/>
      <c r="EH79" s="22"/>
      <c r="EI79" s="22"/>
      <c r="EJ79" s="22"/>
      <c r="EK79" s="22"/>
      <c r="EL79" s="22"/>
      <c r="EM79" s="22"/>
      <c r="EN79" s="344"/>
      <c r="EO79" s="344"/>
      <c r="EP79" s="22"/>
      <c r="EQ79" s="22"/>
      <c r="ER79" s="22"/>
      <c r="EU79" s="344"/>
      <c r="EV79" s="22"/>
      <c r="EW79" s="22"/>
      <c r="EX79" s="22"/>
      <c r="EY79" s="22"/>
      <c r="EZ79" s="22"/>
      <c r="FA79" s="22"/>
      <c r="FB79" s="22"/>
      <c r="FC79" s="22"/>
      <c r="FD79" s="22"/>
      <c r="FE79" s="22"/>
    </row>
    <row r="80" spans="24:161" x14ac:dyDescent="0.2">
      <c r="AA80" s="116" t="s">
        <v>147</v>
      </c>
      <c r="AB80" s="117">
        <v>4</v>
      </c>
      <c r="AC80" s="116" t="s">
        <v>328</v>
      </c>
      <c r="AD80" s="117" t="s">
        <v>137</v>
      </c>
      <c r="AE80" s="116" t="s">
        <v>362</v>
      </c>
      <c r="AF80" s="118">
        <v>10</v>
      </c>
      <c r="AG80" s="232" t="s">
        <v>150</v>
      </c>
      <c r="AH80" s="259">
        <v>63</v>
      </c>
      <c r="AI80" s="212"/>
      <c r="AJ80" s="102" t="str">
        <f t="shared" si="32"/>
        <v>iID2</v>
      </c>
      <c r="AK80" s="190" t="s">
        <v>150</v>
      </c>
      <c r="AL80" s="243">
        <v>2</v>
      </c>
      <c r="AM80" s="242">
        <v>25</v>
      </c>
      <c r="AN80" s="212"/>
      <c r="AO80" s="102" t="str">
        <f t="shared" si="33"/>
        <v>iC60H13</v>
      </c>
      <c r="AP80" s="222" t="s">
        <v>20</v>
      </c>
      <c r="AQ80" s="256"/>
      <c r="AR80" s="256">
        <v>13</v>
      </c>
      <c r="AS80" s="222" t="s">
        <v>59</v>
      </c>
      <c r="AT80" s="212"/>
      <c r="AZ80" s="32"/>
      <c r="BA80" s="11">
        <f>Бланк!F19*7</f>
        <v>0</v>
      </c>
      <c r="BB80" s="18" t="s">
        <v>567</v>
      </c>
      <c r="BC80" s="11">
        <v>63</v>
      </c>
      <c r="BD80" s="231">
        <v>1</v>
      </c>
      <c r="BE80" s="232" t="s">
        <v>856</v>
      </c>
      <c r="CB80" s="41" t="str">
        <f t="shared" si="34"/>
        <v>C1204</v>
      </c>
      <c r="CC80" s="213" t="s">
        <v>534</v>
      </c>
      <c r="CD80" s="213">
        <v>4</v>
      </c>
      <c r="CE80" s="214"/>
      <c r="CF80" s="214"/>
      <c r="CG80" s="201" t="s">
        <v>30</v>
      </c>
      <c r="DH80" s="22"/>
      <c r="DI80" s="22"/>
      <c r="DJ80" s="22"/>
      <c r="DK80" s="344"/>
      <c r="DL80" s="375" t="str">
        <f t="shared" si="35"/>
        <v>TN-C-S4100</v>
      </c>
      <c r="DM80" s="376" t="s">
        <v>7</v>
      </c>
      <c r="DN80" s="376">
        <v>4</v>
      </c>
      <c r="DO80" s="376">
        <v>100</v>
      </c>
      <c r="DP80" s="376">
        <v>1</v>
      </c>
      <c r="DQ80" s="377" t="s">
        <v>417</v>
      </c>
      <c r="DR80" s="358"/>
      <c r="DS80" s="358"/>
      <c r="DT80" s="358"/>
      <c r="DU80" s="358"/>
      <c r="DV80" s="358"/>
      <c r="DW80" s="358"/>
      <c r="DX80" s="358"/>
      <c r="DY80" s="358"/>
      <c r="DZ80" s="358"/>
      <c r="EA80" s="358"/>
      <c r="EB80" s="358"/>
      <c r="EC80" s="358"/>
      <c r="ED80" s="358"/>
      <c r="EE80" s="358"/>
      <c r="EF80" s="22"/>
      <c r="EG80" s="22"/>
      <c r="EH80" s="22"/>
      <c r="EI80" s="22"/>
      <c r="EJ80" s="22"/>
      <c r="EK80" s="22"/>
      <c r="EL80" s="22"/>
      <c r="EM80" s="22"/>
      <c r="EN80" s="344"/>
      <c r="EO80" s="344"/>
      <c r="EP80" s="22"/>
      <c r="EQ80" s="22"/>
      <c r="ER80" s="22"/>
      <c r="EU80" s="344"/>
      <c r="EV80" s="22"/>
      <c r="EW80" s="22"/>
      <c r="EX80" s="22"/>
      <c r="EY80" s="22"/>
      <c r="EZ80" s="22"/>
      <c r="FA80" s="22"/>
      <c r="FB80" s="22"/>
      <c r="FC80" s="22"/>
      <c r="FD80" s="22"/>
      <c r="FE80" s="22"/>
    </row>
    <row r="81" spans="27:161" x14ac:dyDescent="0.2">
      <c r="AA81" s="8" t="s">
        <v>117</v>
      </c>
      <c r="AB81" s="437">
        <v>1</v>
      </c>
      <c r="AC81" s="116" t="s">
        <v>328</v>
      </c>
      <c r="AD81" s="117" t="s">
        <v>138</v>
      </c>
      <c r="AE81" s="116" t="s">
        <v>362</v>
      </c>
      <c r="AF81" s="118">
        <v>13</v>
      </c>
      <c r="AG81" s="232" t="s">
        <v>150</v>
      </c>
      <c r="AH81" s="259">
        <v>80</v>
      </c>
      <c r="AI81" s="212"/>
      <c r="AJ81" s="102" t="str">
        <f t="shared" si="32"/>
        <v>iID2</v>
      </c>
      <c r="AK81" s="201" t="s">
        <v>150</v>
      </c>
      <c r="AL81" s="243">
        <v>2</v>
      </c>
      <c r="AM81" s="244">
        <v>40</v>
      </c>
      <c r="AN81" s="212"/>
      <c r="AO81" s="102" t="str">
        <f t="shared" si="33"/>
        <v>iC60H15</v>
      </c>
      <c r="AP81" s="222" t="s">
        <v>20</v>
      </c>
      <c r="AQ81" s="256"/>
      <c r="AR81" s="256">
        <v>15</v>
      </c>
      <c r="AS81" s="222" t="s">
        <v>57</v>
      </c>
      <c r="AT81" s="212"/>
      <c r="AZ81" s="32"/>
      <c r="BA81" s="11">
        <f>Бланк!F19*8</f>
        <v>0</v>
      </c>
      <c r="BB81" t="s">
        <v>568</v>
      </c>
      <c r="BC81" s="11">
        <f>0.7*BC84</f>
        <v>56</v>
      </c>
      <c r="BD81" s="231">
        <v>1</v>
      </c>
      <c r="BE81" s="232" t="s">
        <v>353</v>
      </c>
      <c r="CB81" s="41" t="str">
        <f t="shared" si="34"/>
        <v>C1204</v>
      </c>
      <c r="CC81" s="213" t="s">
        <v>534</v>
      </c>
      <c r="CD81" s="213">
        <v>4</v>
      </c>
      <c r="CE81" s="214"/>
      <c r="CF81" s="214"/>
      <c r="CG81" s="201" t="s">
        <v>595</v>
      </c>
      <c r="DH81" s="22"/>
      <c r="DI81" s="22"/>
      <c r="DJ81" s="22"/>
      <c r="DK81" s="344"/>
      <c r="DL81" s="375" t="str">
        <f t="shared" si="35"/>
        <v>TN-C-S4125</v>
      </c>
      <c r="DM81" s="376" t="s">
        <v>7</v>
      </c>
      <c r="DN81" s="376">
        <v>4</v>
      </c>
      <c r="DO81" s="376">
        <v>125</v>
      </c>
      <c r="DP81" s="376">
        <v>1</v>
      </c>
      <c r="DQ81" s="377" t="s">
        <v>418</v>
      </c>
      <c r="DR81" s="358"/>
      <c r="DS81" s="358"/>
      <c r="DT81" s="358"/>
      <c r="DU81" s="358"/>
      <c r="DV81" s="358"/>
      <c r="DW81" s="358"/>
      <c r="DX81" s="358"/>
      <c r="DY81" s="358"/>
      <c r="DZ81" s="358"/>
      <c r="EA81" s="358"/>
      <c r="EB81" s="358"/>
      <c r="EC81" s="358"/>
      <c r="ED81" s="358"/>
      <c r="EE81" s="358"/>
      <c r="EF81" s="22"/>
      <c r="EG81" s="22"/>
      <c r="EH81" s="22"/>
      <c r="EI81" s="22"/>
      <c r="EJ81" s="22"/>
      <c r="EK81" s="22"/>
      <c r="EL81" s="22"/>
      <c r="EM81" s="22"/>
      <c r="EN81" s="344"/>
      <c r="EO81" s="344"/>
      <c r="EP81" s="22"/>
      <c r="EQ81" s="22"/>
      <c r="ER81" s="22"/>
      <c r="EU81" s="344"/>
      <c r="EV81" s="22"/>
      <c r="EW81" s="22"/>
      <c r="EX81" s="22"/>
      <c r="EY81" s="22"/>
      <c r="EZ81" s="22"/>
      <c r="FA81" s="22"/>
      <c r="FB81" s="22"/>
      <c r="FC81" s="22"/>
      <c r="FD81" s="22"/>
      <c r="FE81" s="22"/>
    </row>
    <row r="82" spans="27:161" ht="13.5" thickBot="1" x14ac:dyDescent="0.25">
      <c r="AA82" s="8" t="s">
        <v>117</v>
      </c>
      <c r="AB82" s="437">
        <v>2</v>
      </c>
      <c r="AC82" s="116" t="s">
        <v>328</v>
      </c>
      <c r="AD82" s="117" t="s">
        <v>326</v>
      </c>
      <c r="AE82" s="116" t="s">
        <v>362</v>
      </c>
      <c r="AF82" s="118">
        <v>16</v>
      </c>
      <c r="AG82" s="232" t="s">
        <v>150</v>
      </c>
      <c r="AH82" s="259">
        <v>100</v>
      </c>
      <c r="AI82" s="212"/>
      <c r="AJ82" s="102" t="str">
        <f t="shared" si="32"/>
        <v>iID2</v>
      </c>
      <c r="AK82" s="201" t="s">
        <v>150</v>
      </c>
      <c r="AL82" s="243">
        <v>2</v>
      </c>
      <c r="AM82" s="244">
        <v>63</v>
      </c>
      <c r="AN82" s="212"/>
      <c r="AO82" s="102" t="str">
        <f t="shared" si="33"/>
        <v>iC60H15</v>
      </c>
      <c r="AP82" s="222" t="s">
        <v>20</v>
      </c>
      <c r="AQ82" s="256"/>
      <c r="AR82" s="256">
        <v>15</v>
      </c>
      <c r="AS82" s="222" t="s">
        <v>58</v>
      </c>
      <c r="AT82" s="212"/>
      <c r="AZ82" s="32"/>
      <c r="BA82" s="11">
        <f>Бланк!F19*10</f>
        <v>0</v>
      </c>
      <c r="BB82" t="s">
        <v>568</v>
      </c>
      <c r="BC82" s="11">
        <f>0.8*BC84</f>
        <v>64</v>
      </c>
      <c r="BD82" s="231">
        <v>1</v>
      </c>
      <c r="BE82" s="232" t="s">
        <v>354</v>
      </c>
      <c r="BM82" s="41"/>
      <c r="BN82" s="41"/>
      <c r="BO82" s="41"/>
      <c r="BP82" s="41"/>
      <c r="BQ82" s="1422" t="s">
        <v>818</v>
      </c>
      <c r="BR82" s="1422"/>
      <c r="BS82" s="1423"/>
      <c r="BT82" s="1423"/>
      <c r="BU82" s="1423"/>
      <c r="BV82" s="1423"/>
      <c r="BW82" s="1423"/>
      <c r="BX82" s="1423"/>
      <c r="BY82" s="1423"/>
      <c r="BZ82" s="1423"/>
      <c r="CA82" s="1423"/>
      <c r="CB82" s="41" t="str">
        <f t="shared" si="34"/>
        <v>C1204</v>
      </c>
      <c r="CC82" s="213" t="s">
        <v>534</v>
      </c>
      <c r="CD82" s="213">
        <v>4</v>
      </c>
      <c r="CE82" s="214"/>
      <c r="CF82" s="214"/>
      <c r="CG82" s="201" t="s">
        <v>597</v>
      </c>
      <c r="DH82" s="22"/>
      <c r="DI82" s="22"/>
      <c r="DJ82" s="22"/>
      <c r="DK82" s="344"/>
      <c r="DL82" s="375" t="str">
        <f t="shared" si="35"/>
        <v>TN-C-S4160</v>
      </c>
      <c r="DM82" s="376" t="s">
        <v>7</v>
      </c>
      <c r="DN82" s="376">
        <v>4</v>
      </c>
      <c r="DO82" s="376">
        <v>160</v>
      </c>
      <c r="DP82" s="376">
        <v>1</v>
      </c>
      <c r="DQ82" s="377" t="s">
        <v>419</v>
      </c>
      <c r="DR82" s="358"/>
      <c r="DS82" s="358"/>
      <c r="DT82" s="358"/>
      <c r="DU82" s="358"/>
      <c r="DV82" s="358"/>
      <c r="DW82" s="358"/>
      <c r="DX82" s="358"/>
      <c r="DY82" s="358"/>
      <c r="DZ82" s="358"/>
      <c r="EA82" s="358"/>
      <c r="EB82" s="358"/>
      <c r="EC82" s="358"/>
      <c r="ED82" s="358"/>
      <c r="EE82" s="358"/>
      <c r="EF82" s="22"/>
      <c r="EG82" s="22"/>
      <c r="EH82" s="22"/>
      <c r="EI82" s="22"/>
      <c r="EJ82" s="22"/>
      <c r="EK82" s="22"/>
      <c r="EL82" s="22"/>
      <c r="EM82" s="22"/>
      <c r="EN82" s="344"/>
      <c r="EO82" s="344"/>
      <c r="EP82" s="22"/>
      <c r="EQ82" s="22"/>
      <c r="ER82" s="22"/>
      <c r="EU82" s="344"/>
      <c r="EV82" s="22"/>
      <c r="EW82" s="22"/>
      <c r="EX82" s="22"/>
      <c r="EY82" s="22"/>
      <c r="EZ82" s="22"/>
      <c r="FA82" s="22"/>
      <c r="FB82" s="22"/>
      <c r="FC82" s="22"/>
      <c r="FD82" s="22"/>
      <c r="FE82" s="22"/>
    </row>
    <row r="83" spans="27:161" x14ac:dyDescent="0.2">
      <c r="AA83" s="8" t="s">
        <v>117</v>
      </c>
      <c r="AB83" s="437">
        <v>3</v>
      </c>
      <c r="AC83" s="116" t="s">
        <v>328</v>
      </c>
      <c r="AD83" s="117" t="s">
        <v>139</v>
      </c>
      <c r="AE83" s="116" t="s">
        <v>362</v>
      </c>
      <c r="AF83" s="118">
        <v>20</v>
      </c>
      <c r="AG83" s="232" t="s">
        <v>362</v>
      </c>
      <c r="AH83" s="259">
        <v>6</v>
      </c>
      <c r="AI83" s="212"/>
      <c r="AJ83" s="102" t="str">
        <f t="shared" si="32"/>
        <v>iID2</v>
      </c>
      <c r="AK83" s="201" t="s">
        <v>150</v>
      </c>
      <c r="AL83" s="243">
        <v>2</v>
      </c>
      <c r="AM83" s="244">
        <v>80</v>
      </c>
      <c r="AN83" s="212"/>
      <c r="AO83" s="102" t="str">
        <f t="shared" si="33"/>
        <v>iC60H15</v>
      </c>
      <c r="AP83" s="222" t="s">
        <v>20</v>
      </c>
      <c r="AQ83" s="256"/>
      <c r="AR83" s="256">
        <v>15</v>
      </c>
      <c r="AS83" s="222" t="s">
        <v>59</v>
      </c>
      <c r="AT83" s="212"/>
      <c r="AZ83" s="1430" t="s">
        <v>92</v>
      </c>
      <c r="BA83" s="1431"/>
      <c r="BB83" t="s">
        <v>568</v>
      </c>
      <c r="BC83" s="11">
        <f>0.9*BC84</f>
        <v>72</v>
      </c>
      <c r="BD83" s="231">
        <v>1</v>
      </c>
      <c r="BE83" s="232" t="s">
        <v>351</v>
      </c>
      <c r="BM83" s="1461" t="s">
        <v>1028</v>
      </c>
      <c r="BN83" s="1461" t="s">
        <v>134</v>
      </c>
      <c r="BO83" s="1461" t="s">
        <v>456</v>
      </c>
      <c r="BP83" s="1461" t="s">
        <v>1009</v>
      </c>
      <c r="BQ83" s="1335" t="s">
        <v>1026</v>
      </c>
      <c r="BR83" s="1339" t="s">
        <v>578</v>
      </c>
      <c r="BS83" s="1411" t="s">
        <v>1050</v>
      </c>
      <c r="BT83" s="1412"/>
      <c r="BU83" s="1413"/>
      <c r="BV83" s="1411" t="s">
        <v>1051</v>
      </c>
      <c r="BW83" s="1412"/>
      <c r="BX83" s="1413"/>
      <c r="BY83" s="1278" t="s">
        <v>1005</v>
      </c>
      <c r="BZ83" s="1279"/>
      <c r="CA83" s="1280"/>
      <c r="CB83" s="41" t="str">
        <f t="shared" si="34"/>
        <v>C1204</v>
      </c>
      <c r="CC83" s="213" t="s">
        <v>534</v>
      </c>
      <c r="CD83" s="213">
        <v>4</v>
      </c>
      <c r="CE83" s="214"/>
      <c r="CF83" s="214"/>
      <c r="CG83" s="201" t="s">
        <v>598</v>
      </c>
      <c r="DH83" s="22"/>
      <c r="DI83" s="22"/>
      <c r="DJ83" s="22"/>
      <c r="DK83" s="344"/>
      <c r="DL83" s="375" t="str">
        <f t="shared" si="35"/>
        <v>TN-C-S4200</v>
      </c>
      <c r="DM83" s="376" t="s">
        <v>7</v>
      </c>
      <c r="DN83" s="376">
        <v>4</v>
      </c>
      <c r="DO83" s="376">
        <v>200</v>
      </c>
      <c r="DP83" s="376">
        <v>1</v>
      </c>
      <c r="DQ83" s="377" t="s">
        <v>420</v>
      </c>
      <c r="DR83" s="358"/>
      <c r="DS83" s="358"/>
      <c r="DT83" s="358"/>
      <c r="DU83" s="358"/>
      <c r="DV83" s="358"/>
      <c r="DW83" s="358"/>
      <c r="DX83" s="358"/>
      <c r="DY83" s="358"/>
      <c r="DZ83" s="358"/>
      <c r="EA83" s="358"/>
      <c r="EB83" s="358"/>
      <c r="EC83" s="358"/>
      <c r="ED83" s="358"/>
      <c r="EE83" s="358"/>
      <c r="EF83" s="22"/>
      <c r="EG83" s="22"/>
      <c r="EH83" s="22"/>
      <c r="EI83" s="22"/>
      <c r="EJ83" s="22"/>
      <c r="EK83" s="22"/>
      <c r="EL83" s="22"/>
      <c r="EM83" s="22"/>
      <c r="EN83" s="344"/>
      <c r="EO83" s="344"/>
      <c r="EP83" s="22"/>
      <c r="EQ83" s="22"/>
      <c r="ER83" s="22"/>
      <c r="EU83" s="344"/>
      <c r="EV83" s="22"/>
      <c r="EW83" s="22"/>
      <c r="EX83" s="22"/>
      <c r="EY83" s="22"/>
      <c r="EZ83" s="22"/>
      <c r="FA83" s="22"/>
      <c r="FB83" s="22"/>
      <c r="FC83" s="22"/>
      <c r="FD83" s="22"/>
      <c r="FE83" s="22"/>
    </row>
    <row r="84" spans="27:161" ht="13.5" thickBot="1" x14ac:dyDescent="0.25">
      <c r="AA84" s="8" t="s">
        <v>117</v>
      </c>
      <c r="AB84" s="437">
        <v>4</v>
      </c>
      <c r="AC84" s="116" t="s">
        <v>328</v>
      </c>
      <c r="AD84" s="117" t="s">
        <v>140</v>
      </c>
      <c r="AE84" s="116" t="s">
        <v>362</v>
      </c>
      <c r="AF84" s="118">
        <v>25</v>
      </c>
      <c r="AG84" s="232" t="s">
        <v>362</v>
      </c>
      <c r="AH84" s="259">
        <v>10</v>
      </c>
      <c r="AI84" s="212"/>
      <c r="AJ84" s="102" t="str">
        <f t="shared" si="32"/>
        <v>iID2</v>
      </c>
      <c r="AK84" s="217" t="s">
        <v>150</v>
      </c>
      <c r="AL84" s="245">
        <v>2</v>
      </c>
      <c r="AM84" s="245">
        <v>100</v>
      </c>
      <c r="AN84" s="212"/>
      <c r="AO84" s="102" t="str">
        <f t="shared" si="33"/>
        <v>iC60H16</v>
      </c>
      <c r="AP84" s="222" t="s">
        <v>20</v>
      </c>
      <c r="AQ84" s="256"/>
      <c r="AR84" s="256">
        <v>16</v>
      </c>
      <c r="AS84" s="222" t="s">
        <v>57</v>
      </c>
      <c r="AT84" s="212"/>
      <c r="AZ84" s="32">
        <f>Бланк!D20*5</f>
        <v>0</v>
      </c>
      <c r="BA84" s="11">
        <f>Бланк!F20*1.5</f>
        <v>0</v>
      </c>
      <c r="BB84" t="s">
        <v>568</v>
      </c>
      <c r="BC84" s="11">
        <v>80</v>
      </c>
      <c r="BD84" s="231">
        <v>1</v>
      </c>
      <c r="BE84" s="232" t="s">
        <v>355</v>
      </c>
      <c r="BM84" s="1462"/>
      <c r="BN84" s="1462"/>
      <c r="BO84" s="1462"/>
      <c r="BP84" s="1462"/>
      <c r="BQ84" s="1335"/>
      <c r="BR84" s="1339"/>
      <c r="BS84" s="280" t="s">
        <v>802</v>
      </c>
      <c r="BT84" s="786" t="s">
        <v>803</v>
      </c>
      <c r="BU84" s="789" t="s">
        <v>804</v>
      </c>
      <c r="BV84" s="280"/>
      <c r="BW84" s="786" t="s">
        <v>803</v>
      </c>
      <c r="BX84" s="789" t="s">
        <v>804</v>
      </c>
      <c r="BY84" s="280" t="s">
        <v>802</v>
      </c>
      <c r="BZ84" s="742" t="s">
        <v>803</v>
      </c>
      <c r="CA84" s="747" t="s">
        <v>804</v>
      </c>
      <c r="CB84" s="41" t="str">
        <f t="shared" si="34"/>
        <v>C1204</v>
      </c>
      <c r="CC84" s="213" t="s">
        <v>534</v>
      </c>
      <c r="CD84" s="213">
        <v>4</v>
      </c>
      <c r="CE84" s="214"/>
      <c r="CF84" s="214"/>
      <c r="CG84" s="201" t="s">
        <v>600</v>
      </c>
      <c r="DH84" s="22"/>
      <c r="DI84" s="22"/>
      <c r="DJ84" s="22"/>
      <c r="DK84" s="344"/>
      <c r="DL84" s="375" t="str">
        <f t="shared" si="35"/>
        <v>TN-C-S4250</v>
      </c>
      <c r="DM84" s="376" t="s">
        <v>7</v>
      </c>
      <c r="DN84" s="376">
        <v>4</v>
      </c>
      <c r="DO84" s="376">
        <v>250</v>
      </c>
      <c r="DP84" s="376">
        <v>1</v>
      </c>
      <c r="DQ84" s="377" t="s">
        <v>421</v>
      </c>
      <c r="DR84" s="358"/>
      <c r="DS84" s="358"/>
      <c r="DT84" s="358"/>
      <c r="DU84" s="358"/>
      <c r="DV84" s="358"/>
      <c r="DW84" s="358"/>
      <c r="DX84" s="358"/>
      <c r="DY84" s="358"/>
      <c r="DZ84" s="358"/>
      <c r="EA84" s="358"/>
      <c r="EB84" s="358"/>
      <c r="EC84" s="358"/>
      <c r="ED84" s="358"/>
      <c r="EE84" s="358"/>
      <c r="EF84" s="22"/>
      <c r="EG84" s="22"/>
      <c r="EH84" s="22"/>
      <c r="EI84" s="22"/>
      <c r="EJ84" s="22"/>
      <c r="EK84" s="22"/>
      <c r="EL84" s="22"/>
      <c r="EM84" s="22"/>
      <c r="EN84" s="344"/>
      <c r="EO84" s="344"/>
      <c r="EP84" s="22"/>
      <c r="EQ84" s="22"/>
      <c r="ER84" s="22"/>
      <c r="EU84" s="344"/>
      <c r="EV84" s="22"/>
      <c r="EW84" s="22"/>
      <c r="EX84" s="22"/>
      <c r="EY84" s="22"/>
      <c r="EZ84" s="22"/>
      <c r="FA84" s="22"/>
      <c r="FB84" s="22"/>
      <c r="FC84" s="22"/>
      <c r="FD84" s="22"/>
      <c r="FE84" s="22"/>
    </row>
    <row r="85" spans="27:161" ht="13.5" thickTop="1" x14ac:dyDescent="0.2">
      <c r="AA85" s="8" t="s">
        <v>119</v>
      </c>
      <c r="AB85" s="437">
        <v>1</v>
      </c>
      <c r="AC85" s="116" t="s">
        <v>328</v>
      </c>
      <c r="AD85" s="117" t="s">
        <v>141</v>
      </c>
      <c r="AE85" s="116" t="s">
        <v>362</v>
      </c>
      <c r="AF85" s="118">
        <v>32</v>
      </c>
      <c r="AG85" s="232" t="s">
        <v>362</v>
      </c>
      <c r="AH85" s="259">
        <v>13</v>
      </c>
      <c r="AI85" s="212"/>
      <c r="AJ85" s="102" t="str">
        <f t="shared" si="32"/>
        <v>iID4</v>
      </c>
      <c r="AK85" s="190" t="s">
        <v>150</v>
      </c>
      <c r="AL85" s="243">
        <v>4</v>
      </c>
      <c r="AM85" s="242">
        <v>25</v>
      </c>
      <c r="AN85" s="212"/>
      <c r="AO85" s="102" t="str">
        <f t="shared" si="33"/>
        <v>iC60H16</v>
      </c>
      <c r="AP85" s="222" t="s">
        <v>20</v>
      </c>
      <c r="AQ85" s="256"/>
      <c r="AR85" s="256">
        <v>16</v>
      </c>
      <c r="AS85" s="222" t="s">
        <v>58</v>
      </c>
      <c r="AT85" s="212"/>
      <c r="AZ85" s="32">
        <f>Бланк!D20*6</f>
        <v>0</v>
      </c>
      <c r="BA85" s="11">
        <f>Бланк!F20*2</f>
        <v>0</v>
      </c>
      <c r="BB85" t="s">
        <v>569</v>
      </c>
      <c r="BC85" s="11">
        <f>0.7*BC88</f>
        <v>70</v>
      </c>
      <c r="BD85" s="231">
        <v>1</v>
      </c>
      <c r="BE85" s="232" t="s">
        <v>352</v>
      </c>
      <c r="BM85" s="296" t="b">
        <f t="shared" ref="BM85:BM99" ca="1" si="40">NOT(ISERR(SEARCH("пофазно",BN85)))</f>
        <v>0</v>
      </c>
      <c r="BN85" s="786">
        <f ca="1">INDEX(Бланк!$C$13:$C$32,D!$BQ85)</f>
        <v>0</v>
      </c>
      <c r="BO85" s="786">
        <f ca="1">INDEX(Бланк!$O$13:$O$32,D!$BQ85)</f>
        <v>0</v>
      </c>
      <c r="BP85" s="742" t="b">
        <f>OR(Проверки!L5:M5,Проверки!O5,AND(Проверки!N5,Проверки!D5&gt;32))</f>
        <v>0</v>
      </c>
      <c r="BQ85" s="213">
        <f ca="1">Габариты!GJ5</f>
        <v>3</v>
      </c>
      <c r="BR85" s="788">
        <f ca="1">INDEX(Бланк!$D$13:$D$32,D!$BQ85)</f>
        <v>0</v>
      </c>
      <c r="BS85" s="280">
        <f t="shared" ref="BS85:BS99" ca="1" si="41">IF(OR($BN85=3,$BN85=4,NOT(ISERR(SEARCH("L1",$BN85)))),$BO85,0)</f>
        <v>0</v>
      </c>
      <c r="BT85" s="786">
        <f t="shared" ref="BT85:BT99" ca="1" si="42">IF(OR($BN85=3,$BN85=4,NOT(ISERR(SEARCH("L2",$BN85)))),$BO85,0)</f>
        <v>0</v>
      </c>
      <c r="BU85" s="789">
        <f t="shared" ref="BU85:BU99" ca="1" si="43">IF(OR($BN85=3,$BN85=4,NOT(ISERR(SEARCH("L3",$BN85)))),$BO85,0)</f>
        <v>0</v>
      </c>
      <c r="BV85" s="280">
        <f t="shared" ref="BV85:BV99" ca="1" si="44">BS109+BV109</f>
        <v>0</v>
      </c>
      <c r="BW85" s="786">
        <f t="shared" ref="BW85:BW99" ca="1" si="45">BT109+BW109</f>
        <v>0</v>
      </c>
      <c r="BX85" s="789">
        <f t="shared" ref="BX85:BX99" ca="1" si="46">BU109+BX109</f>
        <v>0</v>
      </c>
      <c r="BY85" s="280">
        <f t="shared" ref="BY85:BY99" ca="1" si="47">BS85+BV85</f>
        <v>0</v>
      </c>
      <c r="BZ85" s="742">
        <f t="shared" ref="BZ85:BZ99" ca="1" si="48">BT85+BW85</f>
        <v>0</v>
      </c>
      <c r="CA85" s="747">
        <f t="shared" ref="CA85:CA99" ca="1" si="49">BU85+BX85</f>
        <v>0</v>
      </c>
      <c r="CB85" s="41" t="str">
        <f t="shared" si="34"/>
        <v>C1204</v>
      </c>
      <c r="CC85" s="213" t="s">
        <v>534</v>
      </c>
      <c r="CD85" s="213">
        <v>4</v>
      </c>
      <c r="CE85" s="214"/>
      <c r="CF85" s="214"/>
      <c r="CG85" s="201" t="s">
        <v>602</v>
      </c>
      <c r="DH85" s="22"/>
      <c r="DI85" s="22"/>
      <c r="DJ85" s="22"/>
      <c r="DK85" s="344"/>
      <c r="DL85" s="375" t="str">
        <f t="shared" si="35"/>
        <v>TN-C-S4400</v>
      </c>
      <c r="DM85" s="376" t="s">
        <v>7</v>
      </c>
      <c r="DN85" s="376">
        <v>4</v>
      </c>
      <c r="DO85" s="376">
        <v>400</v>
      </c>
      <c r="DP85" s="376">
        <v>2</v>
      </c>
      <c r="DQ85" s="377" t="s">
        <v>420</v>
      </c>
      <c r="DR85" s="358"/>
      <c r="DS85" s="358"/>
      <c r="DT85" s="358"/>
      <c r="DU85" s="358"/>
      <c r="DV85" s="358"/>
      <c r="DW85" s="358"/>
      <c r="DX85" s="358"/>
      <c r="DY85" s="358"/>
      <c r="DZ85" s="358"/>
      <c r="EA85" s="358"/>
      <c r="EB85" s="358"/>
      <c r="EC85" s="358"/>
      <c r="ED85" s="358"/>
      <c r="EE85" s="358"/>
      <c r="EF85" s="22"/>
      <c r="EG85" s="22"/>
      <c r="EH85" s="22"/>
      <c r="EI85" s="22"/>
      <c r="EJ85" s="22"/>
      <c r="EK85" s="22"/>
      <c r="EL85" s="22"/>
      <c r="EM85" s="22"/>
      <c r="EN85" s="344"/>
      <c r="EO85" s="344"/>
      <c r="EP85" s="22"/>
      <c r="EQ85" s="22"/>
      <c r="ER85" s="22"/>
      <c r="EU85" s="344"/>
      <c r="EV85" s="22"/>
      <c r="EW85" s="22"/>
      <c r="EX85" s="22"/>
      <c r="EY85" s="22"/>
      <c r="EZ85" s="22"/>
      <c r="FA85" s="22"/>
      <c r="FB85" s="22"/>
      <c r="FC85" s="22"/>
      <c r="FD85" s="22"/>
      <c r="FE85" s="22"/>
    </row>
    <row r="86" spans="27:161" x14ac:dyDescent="0.2">
      <c r="AA86" s="8" t="s">
        <v>119</v>
      </c>
      <c r="AB86" s="437">
        <v>2</v>
      </c>
      <c r="AC86" s="116" t="s">
        <v>328</v>
      </c>
      <c r="AD86" s="117" t="s">
        <v>312</v>
      </c>
      <c r="AE86" s="116" t="s">
        <v>362</v>
      </c>
      <c r="AF86" s="118">
        <v>40</v>
      </c>
      <c r="AG86" s="232" t="s">
        <v>362</v>
      </c>
      <c r="AH86" s="259">
        <v>16</v>
      </c>
      <c r="AI86" s="212"/>
      <c r="AJ86" s="102" t="str">
        <f t="shared" si="32"/>
        <v>iID4</v>
      </c>
      <c r="AK86" s="201" t="s">
        <v>150</v>
      </c>
      <c r="AL86" s="243">
        <v>4</v>
      </c>
      <c r="AM86" s="244">
        <v>40</v>
      </c>
      <c r="AN86" s="212"/>
      <c r="AO86" s="102" t="str">
        <f t="shared" si="33"/>
        <v>iC60H16</v>
      </c>
      <c r="AP86" s="222" t="s">
        <v>20</v>
      </c>
      <c r="AQ86" s="256"/>
      <c r="AR86" s="256">
        <v>16</v>
      </c>
      <c r="AS86" s="222" t="s">
        <v>59</v>
      </c>
      <c r="AT86" s="212"/>
      <c r="AZ86" s="32">
        <f>Бланк!D20*7</f>
        <v>0</v>
      </c>
      <c r="BA86" s="11">
        <f>Бланк!F20*3</f>
        <v>0</v>
      </c>
      <c r="BB86" t="s">
        <v>569</v>
      </c>
      <c r="BC86" s="11">
        <f>0.8*BC88</f>
        <v>80</v>
      </c>
      <c r="BD86" s="231">
        <v>2</v>
      </c>
      <c r="BE86" s="233" t="s">
        <v>30</v>
      </c>
      <c r="BF86" s="18"/>
      <c r="BG86" s="18"/>
      <c r="BH86" s="18"/>
      <c r="BI86" s="18"/>
      <c r="BJ86" s="18"/>
      <c r="BK86" s="18"/>
      <c r="BM86" s="296" t="b">
        <f t="shared" ca="1" si="40"/>
        <v>0</v>
      </c>
      <c r="BN86" s="786">
        <f ca="1">INDEX(Бланк!$C$13:$C$32,D!$BQ86)</f>
        <v>0</v>
      </c>
      <c r="BO86" s="786">
        <f ca="1">INDEX(Бланк!$O$13:$O$32,D!$BQ86)</f>
        <v>0</v>
      </c>
      <c r="BP86" s="742" t="b">
        <f>OR(Проверки!L6:M6,Проверки!O6,AND(Проверки!N6,Проверки!D6&gt;32))</f>
        <v>0</v>
      </c>
      <c r="BQ86" s="213">
        <f ca="1">Габариты!GJ6</f>
        <v>4</v>
      </c>
      <c r="BR86" s="788">
        <f ca="1">INDEX(Бланк!$D$13:$D$32,D!$BQ86)</f>
        <v>0</v>
      </c>
      <c r="BS86" s="280">
        <f t="shared" ca="1" si="41"/>
        <v>0</v>
      </c>
      <c r="BT86" s="786">
        <f t="shared" ca="1" si="42"/>
        <v>0</v>
      </c>
      <c r="BU86" s="789">
        <f t="shared" ca="1" si="43"/>
        <v>0</v>
      </c>
      <c r="BV86" s="280">
        <f t="shared" ca="1" si="44"/>
        <v>0</v>
      </c>
      <c r="BW86" s="786">
        <f t="shared" ca="1" si="45"/>
        <v>0</v>
      </c>
      <c r="BX86" s="789">
        <f t="shared" ca="1" si="46"/>
        <v>0</v>
      </c>
      <c r="BY86" s="280">
        <f t="shared" ca="1" si="47"/>
        <v>0</v>
      </c>
      <c r="BZ86" s="742">
        <f t="shared" ca="1" si="48"/>
        <v>0</v>
      </c>
      <c r="CA86" s="747">
        <f t="shared" ca="1" si="49"/>
        <v>0</v>
      </c>
      <c r="CB86" s="41" t="str">
        <f t="shared" si="34"/>
        <v>C1204</v>
      </c>
      <c r="CC86" s="213" t="s">
        <v>534</v>
      </c>
      <c r="CD86" s="213">
        <v>4</v>
      </c>
      <c r="CE86" s="214"/>
      <c r="CF86" s="214"/>
      <c r="CG86" s="201" t="s">
        <v>603</v>
      </c>
      <c r="CH86" s="18"/>
      <c r="CI86" s="18"/>
      <c r="CJ86" s="18"/>
      <c r="CK86" s="18"/>
      <c r="CL86" s="18"/>
      <c r="CM86" s="18"/>
      <c r="CN86" s="18"/>
      <c r="DH86" s="22"/>
      <c r="DI86" s="22"/>
      <c r="DJ86" s="22"/>
      <c r="DK86" s="344"/>
      <c r="DL86" s="375" t="str">
        <f t="shared" si="35"/>
        <v>TN-C-S4630</v>
      </c>
      <c r="DM86" s="376" t="s">
        <v>7</v>
      </c>
      <c r="DN86" s="376">
        <v>4</v>
      </c>
      <c r="DO86" s="376">
        <v>630</v>
      </c>
      <c r="DP86" s="376">
        <v>2</v>
      </c>
      <c r="DQ86" s="377" t="s">
        <v>423</v>
      </c>
      <c r="DR86" s="358"/>
      <c r="DS86" s="358"/>
      <c r="DT86" s="358"/>
      <c r="DU86" s="358"/>
      <c r="DV86" s="358"/>
      <c r="DW86" s="358"/>
      <c r="DX86" s="358"/>
      <c r="DY86" s="358"/>
      <c r="DZ86" s="358"/>
      <c r="EA86" s="358"/>
      <c r="EB86" s="358"/>
      <c r="EC86" s="358"/>
      <c r="ED86" s="358"/>
      <c r="EE86" s="358"/>
      <c r="EF86" s="22"/>
      <c r="EG86" s="22"/>
      <c r="EH86" s="22"/>
      <c r="EI86" s="22"/>
      <c r="EJ86" s="22"/>
      <c r="EK86" s="22"/>
      <c r="EL86" s="22"/>
      <c r="EM86" s="22"/>
      <c r="EN86" s="344"/>
      <c r="EO86" s="344"/>
      <c r="EP86" s="22"/>
      <c r="EQ86" s="22"/>
      <c r="ER86" s="22"/>
      <c r="EU86" s="344"/>
      <c r="EV86" s="22"/>
      <c r="EW86" s="22"/>
      <c r="EX86" s="22"/>
      <c r="EY86" s="22"/>
      <c r="EZ86" s="22"/>
      <c r="FA86" s="22"/>
      <c r="FB86" s="22"/>
      <c r="FC86" s="22"/>
      <c r="FD86" s="22"/>
      <c r="FE86" s="22"/>
    </row>
    <row r="87" spans="27:161" x14ac:dyDescent="0.2">
      <c r="AA87" s="8" t="s">
        <v>119</v>
      </c>
      <c r="AB87" s="437">
        <v>3</v>
      </c>
      <c r="AC87" s="116" t="s">
        <v>328</v>
      </c>
      <c r="AD87" s="117">
        <v>3</v>
      </c>
      <c r="AE87" s="116" t="s">
        <v>430</v>
      </c>
      <c r="AF87" s="118">
        <v>6</v>
      </c>
      <c r="AG87" s="232" t="s">
        <v>362</v>
      </c>
      <c r="AH87" s="259">
        <v>20</v>
      </c>
      <c r="AI87" s="212"/>
      <c r="AJ87" s="102" t="str">
        <f t="shared" si="32"/>
        <v>iID4</v>
      </c>
      <c r="AK87" s="201" t="s">
        <v>150</v>
      </c>
      <c r="AL87" s="243">
        <v>4</v>
      </c>
      <c r="AM87" s="244">
        <v>63</v>
      </c>
      <c r="AN87" s="212"/>
      <c r="AO87" s="102" t="str">
        <f t="shared" si="33"/>
        <v>iC60H20</v>
      </c>
      <c r="AP87" s="222" t="s">
        <v>20</v>
      </c>
      <c r="AQ87" s="222"/>
      <c r="AR87" s="256">
        <v>20</v>
      </c>
      <c r="AS87" s="222" t="s">
        <v>57</v>
      </c>
      <c r="AT87" s="212"/>
      <c r="AZ87" s="32">
        <f>Бланк!D20*8</f>
        <v>0</v>
      </c>
      <c r="BA87" s="11">
        <f>Бланк!F20*4</f>
        <v>0</v>
      </c>
      <c r="BB87" t="s">
        <v>569</v>
      </c>
      <c r="BC87" s="11">
        <f>0.9*BC88</f>
        <v>90</v>
      </c>
      <c r="BD87" s="231">
        <v>2</v>
      </c>
      <c r="BE87" s="232" t="s">
        <v>853</v>
      </c>
      <c r="BM87" s="296" t="b">
        <f t="shared" ca="1" si="40"/>
        <v>0</v>
      </c>
      <c r="BN87" s="786">
        <f ca="1">INDEX(Бланк!$C$13:$C$32,D!$BQ87)</f>
        <v>0</v>
      </c>
      <c r="BO87" s="786">
        <f ca="1">INDEX(Бланк!$O$13:$O$32,D!$BQ87)</f>
        <v>0</v>
      </c>
      <c r="BP87" s="742" t="b">
        <f>OR(Проверки!L7:M7,Проверки!O7,AND(Проверки!N7,Проверки!D7&gt;32))</f>
        <v>0</v>
      </c>
      <c r="BQ87" s="213">
        <f ca="1">Габариты!GJ7</f>
        <v>5</v>
      </c>
      <c r="BR87" s="788">
        <f ca="1">INDEX(Бланк!$D$13:$D$32,D!$BQ87)</f>
        <v>0</v>
      </c>
      <c r="BS87" s="280">
        <f t="shared" ca="1" si="41"/>
        <v>0</v>
      </c>
      <c r="BT87" s="786">
        <f t="shared" ca="1" si="42"/>
        <v>0</v>
      </c>
      <c r="BU87" s="789">
        <f t="shared" ca="1" si="43"/>
        <v>0</v>
      </c>
      <c r="BV87" s="280">
        <f t="shared" ca="1" si="44"/>
        <v>0</v>
      </c>
      <c r="BW87" s="786">
        <f t="shared" ca="1" si="45"/>
        <v>0</v>
      </c>
      <c r="BX87" s="789">
        <f t="shared" ca="1" si="46"/>
        <v>0</v>
      </c>
      <c r="BY87" s="280">
        <f t="shared" ca="1" si="47"/>
        <v>0</v>
      </c>
      <c r="BZ87" s="742">
        <f t="shared" ca="1" si="48"/>
        <v>0</v>
      </c>
      <c r="CA87" s="747">
        <f t="shared" ca="1" si="49"/>
        <v>0</v>
      </c>
      <c r="CB87" s="41" t="str">
        <f t="shared" si="34"/>
        <v>C1204</v>
      </c>
      <c r="CC87" s="213" t="s">
        <v>534</v>
      </c>
      <c r="CD87" s="213">
        <v>4</v>
      </c>
      <c r="CE87" s="214"/>
      <c r="CF87" s="214"/>
      <c r="CG87" s="201" t="s">
        <v>604</v>
      </c>
      <c r="DH87" s="22"/>
      <c r="DI87" s="22"/>
      <c r="DJ87" s="22"/>
      <c r="DK87" s="344"/>
      <c r="DL87" s="375" t="str">
        <f t="shared" si="35"/>
        <v>TN-S110</v>
      </c>
      <c r="DM87" s="376" t="s">
        <v>5</v>
      </c>
      <c r="DN87" s="376">
        <v>1</v>
      </c>
      <c r="DO87" s="376">
        <v>10</v>
      </c>
      <c r="DP87" s="376">
        <v>1</v>
      </c>
      <c r="DQ87" s="377" t="s">
        <v>383</v>
      </c>
      <c r="DR87" s="358"/>
      <c r="DS87" s="358"/>
      <c r="DT87" s="358"/>
      <c r="DU87" s="358"/>
      <c r="DV87" s="358"/>
      <c r="DW87" s="358"/>
      <c r="DX87" s="358"/>
      <c r="DY87" s="358"/>
      <c r="DZ87" s="358"/>
      <c r="EA87" s="358"/>
      <c r="EB87" s="358"/>
      <c r="EC87" s="358"/>
      <c r="ED87" s="358"/>
      <c r="EE87" s="358"/>
      <c r="EF87" s="22"/>
      <c r="EG87" s="22"/>
      <c r="EH87" s="22"/>
      <c r="EI87" s="22"/>
      <c r="EJ87" s="22"/>
      <c r="EK87" s="22"/>
      <c r="EL87" s="22"/>
      <c r="EM87" s="22"/>
      <c r="EN87" s="344"/>
      <c r="EO87" s="344"/>
      <c r="EP87" s="22"/>
      <c r="EQ87" s="22"/>
      <c r="ER87" s="22"/>
      <c r="EU87" s="344"/>
      <c r="EV87" s="22"/>
      <c r="EW87" s="22"/>
      <c r="EX87" s="22"/>
      <c r="EY87" s="22"/>
      <c r="EZ87" s="22"/>
      <c r="FA87" s="22"/>
      <c r="FB87" s="22"/>
      <c r="FC87" s="22"/>
      <c r="FD87" s="22"/>
      <c r="FE87" s="22"/>
    </row>
    <row r="88" spans="27:161" x14ac:dyDescent="0.2">
      <c r="AA88" s="8" t="s">
        <v>119</v>
      </c>
      <c r="AB88" s="437">
        <v>4</v>
      </c>
      <c r="AC88" s="116" t="s">
        <v>328</v>
      </c>
      <c r="AD88" s="117">
        <v>4</v>
      </c>
      <c r="AE88" s="116" t="s">
        <v>430</v>
      </c>
      <c r="AF88" s="118">
        <v>10</v>
      </c>
      <c r="AG88" s="232" t="s">
        <v>362</v>
      </c>
      <c r="AH88" s="259">
        <v>25</v>
      </c>
      <c r="AI88" s="212"/>
      <c r="AJ88" s="102" t="str">
        <f t="shared" si="32"/>
        <v>iID4</v>
      </c>
      <c r="AK88" s="201" t="s">
        <v>150</v>
      </c>
      <c r="AL88" s="243">
        <v>4</v>
      </c>
      <c r="AM88" s="244">
        <v>80</v>
      </c>
      <c r="AN88" s="212"/>
      <c r="AO88" s="102" t="str">
        <f t="shared" si="33"/>
        <v>iC60H20</v>
      </c>
      <c r="AP88" s="222" t="s">
        <v>20</v>
      </c>
      <c r="AQ88" s="222"/>
      <c r="AR88" s="256">
        <v>20</v>
      </c>
      <c r="AS88" s="222" t="s">
        <v>58</v>
      </c>
      <c r="AT88" s="212"/>
      <c r="AZ88" s="32">
        <f>Бланк!D20*9</f>
        <v>0</v>
      </c>
      <c r="BA88" s="11">
        <f>Бланк!F20*5</f>
        <v>0</v>
      </c>
      <c r="BB88" t="s">
        <v>569</v>
      </c>
      <c r="BC88" s="11">
        <v>100</v>
      </c>
      <c r="BD88" s="231">
        <v>2</v>
      </c>
      <c r="BE88" s="232" t="s">
        <v>854</v>
      </c>
      <c r="BM88" s="296" t="b">
        <f t="shared" ca="1" si="40"/>
        <v>0</v>
      </c>
      <c r="BN88" s="786">
        <f ca="1">INDEX(Бланк!$C$13:$C$32,D!$BQ88)</f>
        <v>0</v>
      </c>
      <c r="BO88" s="786">
        <f ca="1">INDEX(Бланк!$O$13:$O$32,D!$BQ88)</f>
        <v>0</v>
      </c>
      <c r="BP88" s="742" t="b">
        <f>OR(Проверки!L8:M8,Проверки!O8,AND(Проверки!N8,Проверки!D8&gt;32))</f>
        <v>0</v>
      </c>
      <c r="BQ88" s="213">
        <f ca="1">Габариты!GJ8</f>
        <v>6</v>
      </c>
      <c r="BR88" s="788">
        <f ca="1">INDEX(Бланк!$D$13:$D$32,D!$BQ88)</f>
        <v>0</v>
      </c>
      <c r="BS88" s="280">
        <f t="shared" ca="1" si="41"/>
        <v>0</v>
      </c>
      <c r="BT88" s="786">
        <f t="shared" ca="1" si="42"/>
        <v>0</v>
      </c>
      <c r="BU88" s="789">
        <f t="shared" ca="1" si="43"/>
        <v>0</v>
      </c>
      <c r="BV88" s="280">
        <f t="shared" ca="1" si="44"/>
        <v>0</v>
      </c>
      <c r="BW88" s="786">
        <f t="shared" ca="1" si="45"/>
        <v>0</v>
      </c>
      <c r="BX88" s="789">
        <f t="shared" ca="1" si="46"/>
        <v>0</v>
      </c>
      <c r="BY88" s="280">
        <f t="shared" ca="1" si="47"/>
        <v>0</v>
      </c>
      <c r="BZ88" s="742">
        <f t="shared" ca="1" si="48"/>
        <v>0</v>
      </c>
      <c r="CA88" s="747">
        <f t="shared" ca="1" si="49"/>
        <v>0</v>
      </c>
      <c r="CB88" s="41" t="str">
        <f t="shared" si="34"/>
        <v>C1204</v>
      </c>
      <c r="CC88" s="213" t="s">
        <v>534</v>
      </c>
      <c r="CD88" s="213">
        <v>4</v>
      </c>
      <c r="CE88" s="214"/>
      <c r="CF88" s="214"/>
      <c r="CG88" s="201" t="s">
        <v>605</v>
      </c>
      <c r="DH88" s="22"/>
      <c r="DI88" s="22"/>
      <c r="DJ88" s="22"/>
      <c r="DK88" s="344"/>
      <c r="DL88" s="375" t="str">
        <f t="shared" si="35"/>
        <v>TN-S120</v>
      </c>
      <c r="DM88" s="376" t="s">
        <v>5</v>
      </c>
      <c r="DN88" s="376">
        <v>1</v>
      </c>
      <c r="DO88" s="376">
        <v>20</v>
      </c>
      <c r="DP88" s="376">
        <v>1</v>
      </c>
      <c r="DQ88" s="377" t="s">
        <v>384</v>
      </c>
      <c r="DR88" s="358"/>
      <c r="DS88" s="358"/>
      <c r="DT88" s="358"/>
      <c r="DU88" s="358"/>
      <c r="DV88" s="358"/>
      <c r="DW88" s="358"/>
      <c r="DX88" s="358"/>
      <c r="DY88" s="358"/>
      <c r="DZ88" s="358"/>
      <c r="EA88" s="358"/>
      <c r="EB88" s="358"/>
      <c r="EC88" s="358"/>
      <c r="ED88" s="358"/>
      <c r="EE88" s="358"/>
      <c r="EF88" s="22"/>
      <c r="EG88" s="22"/>
      <c r="EH88" s="22"/>
      <c r="EI88" s="22"/>
      <c r="EJ88" s="22"/>
      <c r="EK88" s="22"/>
      <c r="EL88" s="22"/>
      <c r="EM88" s="22"/>
      <c r="EN88" s="344"/>
      <c r="EO88" s="344"/>
      <c r="EP88" s="22"/>
      <c r="EQ88" s="22"/>
      <c r="ER88" s="22"/>
      <c r="EU88" s="344"/>
      <c r="EV88" s="22"/>
      <c r="EW88" s="22"/>
      <c r="EX88" s="22"/>
      <c r="EY88" s="22"/>
      <c r="EZ88" s="22"/>
      <c r="FA88" s="22"/>
      <c r="FB88" s="22"/>
      <c r="FC88" s="22"/>
      <c r="FD88" s="22"/>
      <c r="FE88" s="22"/>
    </row>
    <row r="89" spans="27:161" ht="13.5" thickBot="1" x14ac:dyDescent="0.25">
      <c r="AA89" s="8" t="s">
        <v>120</v>
      </c>
      <c r="AB89" s="437">
        <v>1</v>
      </c>
      <c r="AC89" s="116" t="s">
        <v>329</v>
      </c>
      <c r="AD89" s="117" t="s">
        <v>136</v>
      </c>
      <c r="AE89" s="116" t="s">
        <v>430</v>
      </c>
      <c r="AF89" s="118">
        <v>13</v>
      </c>
      <c r="AG89" s="232" t="s">
        <v>362</v>
      </c>
      <c r="AH89" s="259">
        <v>32</v>
      </c>
      <c r="AI89" s="212"/>
      <c r="AJ89" s="102" t="str">
        <f t="shared" si="32"/>
        <v>iID4</v>
      </c>
      <c r="AK89" s="217" t="s">
        <v>150</v>
      </c>
      <c r="AL89" s="245">
        <v>4</v>
      </c>
      <c r="AM89" s="245">
        <v>100</v>
      </c>
      <c r="AN89" s="212"/>
      <c r="AO89" s="102" t="str">
        <f t="shared" si="33"/>
        <v>iC60H20</v>
      </c>
      <c r="AP89" s="222" t="s">
        <v>20</v>
      </c>
      <c r="AQ89" s="222"/>
      <c r="AR89" s="256">
        <v>20</v>
      </c>
      <c r="AS89" s="222" t="s">
        <v>59</v>
      </c>
      <c r="AT89" s="212"/>
      <c r="AZ89" s="32">
        <f>Бланк!D20*10</f>
        <v>0</v>
      </c>
      <c r="BA89" s="11">
        <f>Бланк!F20*6</f>
        <v>0</v>
      </c>
      <c r="BB89" t="s">
        <v>570</v>
      </c>
      <c r="BC89" s="11">
        <f>0.7*BC92</f>
        <v>87.5</v>
      </c>
      <c r="BD89" s="231">
        <v>2</v>
      </c>
      <c r="BE89" s="232" t="s">
        <v>855</v>
      </c>
      <c r="BM89" s="296" t="b">
        <f t="shared" ca="1" si="40"/>
        <v>0</v>
      </c>
      <c r="BN89" s="786">
        <f ca="1">INDEX(Бланк!$C$13:$C$32,D!$BQ89)</f>
        <v>0</v>
      </c>
      <c r="BO89" s="786">
        <f ca="1">INDEX(Бланк!$O$13:$O$32,D!$BQ89)</f>
        <v>0</v>
      </c>
      <c r="BP89" s="742" t="b">
        <f>OR(Проверки!L9:M9,Проверки!O9,AND(Проверки!N9,Проверки!D9&gt;32))</f>
        <v>0</v>
      </c>
      <c r="BQ89" s="213">
        <f ca="1">Габариты!GJ9</f>
        <v>7</v>
      </c>
      <c r="BR89" s="788">
        <f ca="1">INDEX(Бланк!$D$13:$D$32,D!$BQ89)</f>
        <v>0</v>
      </c>
      <c r="BS89" s="280">
        <f t="shared" ca="1" si="41"/>
        <v>0</v>
      </c>
      <c r="BT89" s="786">
        <f t="shared" ca="1" si="42"/>
        <v>0</v>
      </c>
      <c r="BU89" s="789">
        <f t="shared" ca="1" si="43"/>
        <v>0</v>
      </c>
      <c r="BV89" s="280">
        <f t="shared" ca="1" si="44"/>
        <v>0</v>
      </c>
      <c r="BW89" s="786">
        <f t="shared" ca="1" si="45"/>
        <v>0</v>
      </c>
      <c r="BX89" s="789">
        <f t="shared" ca="1" si="46"/>
        <v>0</v>
      </c>
      <c r="BY89" s="280">
        <f t="shared" ca="1" si="47"/>
        <v>0</v>
      </c>
      <c r="BZ89" s="742">
        <f t="shared" ca="1" si="48"/>
        <v>0</v>
      </c>
      <c r="CA89" s="747">
        <f t="shared" ca="1" si="49"/>
        <v>0</v>
      </c>
      <c r="CB89" s="41" t="str">
        <f t="shared" si="34"/>
        <v>C1204</v>
      </c>
      <c r="CC89" s="213" t="s">
        <v>534</v>
      </c>
      <c r="CD89" s="213">
        <v>4</v>
      </c>
      <c r="CE89" s="214"/>
      <c r="CF89" s="214"/>
      <c r="CG89" s="201" t="s">
        <v>606</v>
      </c>
      <c r="DH89" s="22"/>
      <c r="DI89" s="22"/>
      <c r="DJ89" s="22"/>
      <c r="DK89" s="344"/>
      <c r="DL89" s="375" t="str">
        <f t="shared" si="35"/>
        <v>TN-S125</v>
      </c>
      <c r="DM89" s="376" t="s">
        <v>5</v>
      </c>
      <c r="DN89" s="376">
        <v>1</v>
      </c>
      <c r="DO89" s="376">
        <v>25</v>
      </c>
      <c r="DP89" s="376">
        <v>1</v>
      </c>
      <c r="DQ89" s="377" t="s">
        <v>385</v>
      </c>
      <c r="DR89" s="358"/>
      <c r="DS89" s="358"/>
      <c r="DT89" s="358"/>
      <c r="DU89" s="358"/>
      <c r="DV89" s="358"/>
      <c r="DW89" s="358"/>
      <c r="DX89" s="358"/>
      <c r="DY89" s="358"/>
      <c r="DZ89" s="358"/>
      <c r="EA89" s="358"/>
      <c r="EB89" s="358"/>
      <c r="EC89" s="358"/>
      <c r="ED89" s="358"/>
      <c r="EE89" s="358"/>
      <c r="EF89" s="22"/>
      <c r="EG89" s="22"/>
      <c r="EH89" s="22"/>
      <c r="EI89" s="22"/>
      <c r="EJ89" s="22"/>
      <c r="EK89" s="22"/>
      <c r="EL89" s="22"/>
      <c r="EM89" s="22"/>
      <c r="EN89" s="344"/>
      <c r="EO89" s="344"/>
      <c r="EP89" s="22"/>
      <c r="EQ89" s="22"/>
      <c r="ER89" s="22"/>
      <c r="EU89" s="344"/>
      <c r="EV89" s="22"/>
      <c r="EW89" s="22"/>
      <c r="EX89" s="22"/>
      <c r="EY89" s="22"/>
      <c r="EZ89" s="22"/>
      <c r="FA89" s="22"/>
      <c r="FB89" s="22"/>
      <c r="FC89" s="22"/>
      <c r="FD89" s="22"/>
      <c r="FE89" s="22"/>
    </row>
    <row r="90" spans="27:161" ht="13.5" thickTop="1" x14ac:dyDescent="0.2">
      <c r="AA90" s="8" t="s">
        <v>120</v>
      </c>
      <c r="AB90" s="437">
        <v>2</v>
      </c>
      <c r="AC90" s="116" t="s">
        <v>329</v>
      </c>
      <c r="AD90" s="117" t="s">
        <v>137</v>
      </c>
      <c r="AE90" s="116" t="s">
        <v>430</v>
      </c>
      <c r="AF90" s="118">
        <v>16</v>
      </c>
      <c r="AG90" s="232" t="s">
        <v>362</v>
      </c>
      <c r="AH90" s="259">
        <v>40</v>
      </c>
      <c r="AI90" s="212"/>
      <c r="AJ90" s="102" t="str">
        <f t="shared" si="32"/>
        <v>DPN N</v>
      </c>
      <c r="AK90" s="246" t="s">
        <v>544</v>
      </c>
      <c r="AL90" s="244"/>
      <c r="AM90" s="244">
        <v>6</v>
      </c>
      <c r="AN90" s="212"/>
      <c r="AO90" s="102" t="str">
        <f t="shared" si="33"/>
        <v>iC60H25</v>
      </c>
      <c r="AP90" s="222" t="s">
        <v>20</v>
      </c>
      <c r="AQ90" s="222"/>
      <c r="AR90" s="256">
        <v>25</v>
      </c>
      <c r="AS90" s="222" t="s">
        <v>57</v>
      </c>
      <c r="AT90" s="212"/>
      <c r="AZ90" s="32"/>
      <c r="BA90" s="11">
        <f>Бланк!F20*7</f>
        <v>0</v>
      </c>
      <c r="BB90" t="s">
        <v>570</v>
      </c>
      <c r="BC90" s="11">
        <f>0.8*BC92</f>
        <v>100</v>
      </c>
      <c r="BD90" s="231">
        <v>2</v>
      </c>
      <c r="BE90" s="232" t="s">
        <v>856</v>
      </c>
      <c r="BM90" s="296" t="b">
        <f t="shared" ca="1" si="40"/>
        <v>0</v>
      </c>
      <c r="BN90" s="786">
        <f ca="1">INDEX(Бланк!$C$13:$C$32,D!$BQ90)</f>
        <v>0</v>
      </c>
      <c r="BO90" s="786">
        <f ca="1">INDEX(Бланк!$O$13:$O$32,D!$BQ90)</f>
        <v>0</v>
      </c>
      <c r="BP90" s="742" t="b">
        <f>OR(Проверки!L10:M10,Проверки!O10,AND(Проверки!N10,Проверки!D10&gt;32))</f>
        <v>0</v>
      </c>
      <c r="BQ90" s="213">
        <f ca="1">Габариты!GJ10</f>
        <v>8</v>
      </c>
      <c r="BR90" s="788">
        <f ca="1">INDEX(Бланк!$D$13:$D$32,D!$BQ90)</f>
        <v>0</v>
      </c>
      <c r="BS90" s="280">
        <f t="shared" ca="1" si="41"/>
        <v>0</v>
      </c>
      <c r="BT90" s="786">
        <f t="shared" ca="1" si="42"/>
        <v>0</v>
      </c>
      <c r="BU90" s="789">
        <f t="shared" ca="1" si="43"/>
        <v>0</v>
      </c>
      <c r="BV90" s="280">
        <f t="shared" ca="1" si="44"/>
        <v>0</v>
      </c>
      <c r="BW90" s="786">
        <f t="shared" ca="1" si="45"/>
        <v>0</v>
      </c>
      <c r="BX90" s="789">
        <f t="shared" ca="1" si="46"/>
        <v>0</v>
      </c>
      <c r="BY90" s="280">
        <f t="shared" ca="1" si="47"/>
        <v>0</v>
      </c>
      <c r="BZ90" s="742">
        <f t="shared" ca="1" si="48"/>
        <v>0</v>
      </c>
      <c r="CA90" s="747">
        <f t="shared" ca="1" si="49"/>
        <v>0</v>
      </c>
      <c r="CB90" s="41" t="str">
        <f t="shared" si="34"/>
        <v>NG125263</v>
      </c>
      <c r="CC90" s="213" t="s">
        <v>437</v>
      </c>
      <c r="CD90" s="213">
        <v>2</v>
      </c>
      <c r="CE90" s="214">
        <v>63</v>
      </c>
      <c r="CF90" s="214"/>
      <c r="CG90" s="201" t="s">
        <v>30</v>
      </c>
      <c r="DH90" s="22"/>
      <c r="DI90" s="22"/>
      <c r="DJ90" s="22"/>
      <c r="DK90" s="344"/>
      <c r="DL90" s="375" t="str">
        <f t="shared" si="35"/>
        <v>TN-S132</v>
      </c>
      <c r="DM90" s="376" t="s">
        <v>5</v>
      </c>
      <c r="DN90" s="376">
        <v>1</v>
      </c>
      <c r="DO90" s="376">
        <v>32</v>
      </c>
      <c r="DP90" s="376">
        <v>1</v>
      </c>
      <c r="DQ90" s="377" t="s">
        <v>386</v>
      </c>
      <c r="DR90" s="358"/>
      <c r="DS90" s="358"/>
      <c r="DT90" s="358"/>
      <c r="DU90" s="358"/>
      <c r="DV90" s="358"/>
      <c r="DW90" s="358"/>
      <c r="DX90" s="358"/>
      <c r="DY90" s="358"/>
      <c r="DZ90" s="358"/>
      <c r="EA90" s="358"/>
      <c r="EB90" s="358"/>
      <c r="EC90" s="358"/>
      <c r="ED90" s="358"/>
      <c r="EE90" s="358"/>
      <c r="EF90" s="22"/>
      <c r="EG90" s="22"/>
      <c r="EH90" s="22"/>
      <c r="EI90" s="22"/>
      <c r="EJ90" s="22"/>
      <c r="EK90" s="22"/>
      <c r="EL90" s="22"/>
      <c r="EM90" s="22"/>
      <c r="EN90" s="344"/>
      <c r="EO90" s="344"/>
      <c r="EP90" s="22"/>
      <c r="EQ90" s="22"/>
      <c r="ER90" s="22"/>
      <c r="EU90" s="344"/>
      <c r="EV90" s="22"/>
      <c r="EW90" s="22"/>
      <c r="EX90" s="22"/>
      <c r="EY90" s="22"/>
      <c r="EZ90" s="22"/>
      <c r="FA90" s="22"/>
      <c r="FB90" s="22"/>
      <c r="FC90" s="22"/>
      <c r="FD90" s="22"/>
      <c r="FE90" s="22"/>
    </row>
    <row r="91" spans="27:161" x14ac:dyDescent="0.2">
      <c r="AA91" s="8" t="s">
        <v>120</v>
      </c>
      <c r="AB91" s="437">
        <v>3</v>
      </c>
      <c r="AC91" s="116" t="s">
        <v>329</v>
      </c>
      <c r="AD91" s="117" t="s">
        <v>138</v>
      </c>
      <c r="AE91" s="116" t="s">
        <v>430</v>
      </c>
      <c r="AF91" s="118">
        <v>20</v>
      </c>
      <c r="AG91" s="232" t="s">
        <v>430</v>
      </c>
      <c r="AH91" s="259">
        <v>6</v>
      </c>
      <c r="AI91" s="212"/>
      <c r="AJ91" s="102" t="str">
        <f t="shared" si="32"/>
        <v>DPN N</v>
      </c>
      <c r="AK91" s="246" t="s">
        <v>544</v>
      </c>
      <c r="AL91" s="244"/>
      <c r="AM91" s="244">
        <v>10</v>
      </c>
      <c r="AN91" s="212"/>
      <c r="AO91" s="102" t="str">
        <f t="shared" si="33"/>
        <v>iC60H25</v>
      </c>
      <c r="AP91" s="222" t="s">
        <v>20</v>
      </c>
      <c r="AQ91" s="222"/>
      <c r="AR91" s="256">
        <v>25</v>
      </c>
      <c r="AS91" s="222" t="s">
        <v>58</v>
      </c>
      <c r="AT91" s="212"/>
      <c r="AZ91" s="32"/>
      <c r="BA91" s="11">
        <f>Бланк!F20*8</f>
        <v>0</v>
      </c>
      <c r="BB91" t="s">
        <v>570</v>
      </c>
      <c r="BC91" s="11">
        <f>0.9*BC92</f>
        <v>112.5</v>
      </c>
      <c r="BD91" s="231">
        <v>2</v>
      </c>
      <c r="BE91" s="232" t="s">
        <v>353</v>
      </c>
      <c r="BM91" s="296" t="b">
        <f t="shared" ca="1" si="40"/>
        <v>0</v>
      </c>
      <c r="BN91" s="786">
        <f ca="1">INDEX(Бланк!$C$13:$C$32,D!$BQ91)</f>
        <v>0</v>
      </c>
      <c r="BO91" s="786">
        <f ca="1">INDEX(Бланк!$O$13:$O$32,D!$BQ91)</f>
        <v>0</v>
      </c>
      <c r="BP91" s="742" t="b">
        <f>OR(Проверки!L11:M11,Проверки!O11,AND(Проверки!N11,Проверки!D11&gt;32))</f>
        <v>0</v>
      </c>
      <c r="BQ91" s="213">
        <f ca="1">Габариты!GJ11</f>
        <v>9</v>
      </c>
      <c r="BR91" s="788">
        <f ca="1">INDEX(Бланк!$D$13:$D$32,D!$BQ91)</f>
        <v>0</v>
      </c>
      <c r="BS91" s="280">
        <f t="shared" ca="1" si="41"/>
        <v>0</v>
      </c>
      <c r="BT91" s="786">
        <f t="shared" ca="1" si="42"/>
        <v>0</v>
      </c>
      <c r="BU91" s="789">
        <f t="shared" ca="1" si="43"/>
        <v>0</v>
      </c>
      <c r="BV91" s="280">
        <f t="shared" ca="1" si="44"/>
        <v>0</v>
      </c>
      <c r="BW91" s="786">
        <f t="shared" ca="1" si="45"/>
        <v>0</v>
      </c>
      <c r="BX91" s="789">
        <f t="shared" ca="1" si="46"/>
        <v>0</v>
      </c>
      <c r="BY91" s="280">
        <f t="shared" ca="1" si="47"/>
        <v>0</v>
      </c>
      <c r="BZ91" s="742">
        <f t="shared" ca="1" si="48"/>
        <v>0</v>
      </c>
      <c r="CA91" s="747">
        <f t="shared" ca="1" si="49"/>
        <v>0</v>
      </c>
      <c r="CB91" s="41" t="str">
        <f t="shared" si="34"/>
        <v>NG125263</v>
      </c>
      <c r="CC91" s="213" t="s">
        <v>437</v>
      </c>
      <c r="CD91" s="213">
        <v>2</v>
      </c>
      <c r="CE91" s="214">
        <v>63</v>
      </c>
      <c r="CF91" s="214"/>
      <c r="CG91" s="201" t="s">
        <v>595</v>
      </c>
      <c r="DH91" s="22"/>
      <c r="DI91" s="22"/>
      <c r="DJ91" s="22"/>
      <c r="DK91" s="344"/>
      <c r="DL91" s="375" t="str">
        <f t="shared" si="35"/>
        <v>TN-S150</v>
      </c>
      <c r="DM91" s="376" t="s">
        <v>5</v>
      </c>
      <c r="DN91" s="376">
        <v>1</v>
      </c>
      <c r="DO91" s="376">
        <v>50</v>
      </c>
      <c r="DP91" s="376">
        <v>1</v>
      </c>
      <c r="DQ91" s="377" t="s">
        <v>387</v>
      </c>
      <c r="DR91" s="358"/>
      <c r="DS91" s="358"/>
      <c r="DT91" s="358"/>
      <c r="DU91" s="358"/>
      <c r="DV91" s="358"/>
      <c r="DW91" s="358"/>
      <c r="DX91" s="358"/>
      <c r="DY91" s="358"/>
      <c r="DZ91" s="358"/>
      <c r="EA91" s="358"/>
      <c r="EB91" s="358"/>
      <c r="EC91" s="358"/>
      <c r="ED91" s="358"/>
      <c r="EE91" s="358"/>
      <c r="EF91" s="22"/>
      <c r="EG91" s="22"/>
      <c r="EH91" s="22"/>
      <c r="EI91" s="22"/>
      <c r="EJ91" s="22"/>
      <c r="EK91" s="22"/>
      <c r="EL91" s="22"/>
      <c r="EM91" s="22"/>
      <c r="EN91" s="344"/>
      <c r="EO91" s="344"/>
      <c r="EP91" s="22"/>
      <c r="EQ91" s="22"/>
      <c r="ER91" s="22"/>
      <c r="EU91" s="344"/>
      <c r="EV91" s="22"/>
      <c r="EW91" s="22"/>
      <c r="EX91" s="22"/>
      <c r="EY91" s="22"/>
      <c r="EZ91" s="22"/>
      <c r="FA91" s="22"/>
      <c r="FB91" s="22"/>
      <c r="FC91" s="22"/>
      <c r="FD91" s="22"/>
      <c r="FE91" s="22"/>
    </row>
    <row r="92" spans="27:161" x14ac:dyDescent="0.2">
      <c r="AA92" s="8" t="s">
        <v>120</v>
      </c>
      <c r="AB92" s="437">
        <v>4</v>
      </c>
      <c r="AC92" s="116" t="s">
        <v>329</v>
      </c>
      <c r="AD92" s="117" t="s">
        <v>326</v>
      </c>
      <c r="AE92" s="116" t="s">
        <v>430</v>
      </c>
      <c r="AF92" s="118">
        <v>25</v>
      </c>
      <c r="AG92" s="232" t="s">
        <v>430</v>
      </c>
      <c r="AH92" s="259">
        <v>10</v>
      </c>
      <c r="AI92" s="212"/>
      <c r="AJ92" s="102" t="str">
        <f t="shared" si="32"/>
        <v>DPN N</v>
      </c>
      <c r="AK92" s="246" t="s">
        <v>544</v>
      </c>
      <c r="AL92" s="244"/>
      <c r="AM92" s="244">
        <v>13</v>
      </c>
      <c r="AN92" s="212"/>
      <c r="AO92" s="102" t="str">
        <f t="shared" si="33"/>
        <v>iC60H25</v>
      </c>
      <c r="AP92" s="222" t="s">
        <v>20</v>
      </c>
      <c r="AQ92" s="222"/>
      <c r="AR92" s="256">
        <v>25</v>
      </c>
      <c r="AS92" s="222" t="s">
        <v>59</v>
      </c>
      <c r="AT92" s="212"/>
      <c r="AZ92" s="32"/>
      <c r="BA92" s="11">
        <f>Бланк!F20*10</f>
        <v>0</v>
      </c>
      <c r="BB92" t="s">
        <v>570</v>
      </c>
      <c r="BC92" s="11">
        <v>125</v>
      </c>
      <c r="BD92" s="231">
        <v>2</v>
      </c>
      <c r="BE92" s="232" t="s">
        <v>354</v>
      </c>
      <c r="BM92" s="296" t="b">
        <f t="shared" ca="1" si="40"/>
        <v>0</v>
      </c>
      <c r="BN92" s="786">
        <f ca="1">INDEX(Бланк!$C$13:$C$32,D!$BQ92)</f>
        <v>0</v>
      </c>
      <c r="BO92" s="786">
        <f ca="1">INDEX(Бланк!$O$13:$O$32,D!$BQ92)</f>
        <v>0</v>
      </c>
      <c r="BP92" s="742" t="b">
        <f>OR(Проверки!L12:M12,Проверки!O12,AND(Проверки!N12,Проверки!D12&gt;32))</f>
        <v>0</v>
      </c>
      <c r="BQ92" s="213">
        <f ca="1">Габариты!GJ12</f>
        <v>10</v>
      </c>
      <c r="BR92" s="788">
        <f ca="1">INDEX(Бланк!$D$13:$D$32,D!$BQ92)</f>
        <v>0</v>
      </c>
      <c r="BS92" s="280">
        <f t="shared" ca="1" si="41"/>
        <v>0</v>
      </c>
      <c r="BT92" s="786">
        <f t="shared" ca="1" si="42"/>
        <v>0</v>
      </c>
      <c r="BU92" s="789">
        <f t="shared" ca="1" si="43"/>
        <v>0</v>
      </c>
      <c r="BV92" s="280">
        <f t="shared" ca="1" si="44"/>
        <v>0</v>
      </c>
      <c r="BW92" s="786">
        <f t="shared" ca="1" si="45"/>
        <v>0</v>
      </c>
      <c r="BX92" s="789">
        <f t="shared" ca="1" si="46"/>
        <v>0</v>
      </c>
      <c r="BY92" s="280">
        <f t="shared" ca="1" si="47"/>
        <v>0</v>
      </c>
      <c r="BZ92" s="742">
        <f t="shared" ca="1" si="48"/>
        <v>0</v>
      </c>
      <c r="CA92" s="747">
        <f t="shared" ca="1" si="49"/>
        <v>0</v>
      </c>
      <c r="CB92" s="41" t="str">
        <f t="shared" si="34"/>
        <v>NG125263</v>
      </c>
      <c r="CC92" s="213" t="s">
        <v>437</v>
      </c>
      <c r="CD92" s="213">
        <v>2</v>
      </c>
      <c r="CE92" s="214">
        <v>63</v>
      </c>
      <c r="CF92" s="214"/>
      <c r="CG92" s="201" t="s">
        <v>597</v>
      </c>
      <c r="DH92" s="22"/>
      <c r="DI92" s="22"/>
      <c r="DJ92" s="22"/>
      <c r="DK92" s="344"/>
      <c r="DL92" s="375" t="str">
        <f t="shared" si="35"/>
        <v>TN-S163</v>
      </c>
      <c r="DM92" s="376" t="s">
        <v>5</v>
      </c>
      <c r="DN92" s="376">
        <v>1</v>
      </c>
      <c r="DO92" s="376">
        <v>63</v>
      </c>
      <c r="DP92" s="376">
        <v>1</v>
      </c>
      <c r="DQ92" s="377" t="s">
        <v>388</v>
      </c>
      <c r="DR92" s="358"/>
      <c r="DS92" s="358"/>
      <c r="DT92" s="358"/>
      <c r="DU92" s="358"/>
      <c r="DV92" s="358"/>
      <c r="DW92" s="358"/>
      <c r="DX92" s="358"/>
      <c r="DY92" s="358"/>
      <c r="DZ92" s="358"/>
      <c r="EA92" s="358"/>
      <c r="EB92" s="358"/>
      <c r="EC92" s="358"/>
      <c r="ED92" s="358"/>
      <c r="EE92" s="358"/>
      <c r="EF92" s="22"/>
      <c r="EG92" s="22"/>
      <c r="EH92" s="22"/>
      <c r="EI92" s="22"/>
      <c r="EJ92" s="22"/>
      <c r="EK92" s="22"/>
      <c r="EL92" s="22"/>
      <c r="EM92" s="22"/>
      <c r="EN92" s="344"/>
      <c r="EO92" s="344"/>
      <c r="EP92" s="22"/>
      <c r="EQ92" s="22"/>
      <c r="ER92" s="22"/>
      <c r="EU92" s="344"/>
      <c r="EV92" s="22"/>
      <c r="EW92" s="22"/>
      <c r="EX92" s="22"/>
      <c r="EY92" s="22"/>
      <c r="EZ92" s="22"/>
      <c r="FA92" s="22"/>
      <c r="FB92" s="22"/>
      <c r="FC92" s="22"/>
      <c r="FD92" s="22"/>
      <c r="FE92" s="22"/>
    </row>
    <row r="93" spans="27:161" x14ac:dyDescent="0.2">
      <c r="AA93" s="8" t="s">
        <v>121</v>
      </c>
      <c r="AB93" s="437">
        <v>1</v>
      </c>
      <c r="AC93" s="116" t="s">
        <v>329</v>
      </c>
      <c r="AD93" s="117" t="s">
        <v>139</v>
      </c>
      <c r="AE93" s="116" t="s">
        <v>430</v>
      </c>
      <c r="AF93" s="118">
        <v>32</v>
      </c>
      <c r="AG93" s="232" t="s">
        <v>430</v>
      </c>
      <c r="AH93" s="259">
        <v>13</v>
      </c>
      <c r="AI93" s="212"/>
      <c r="AJ93" s="102" t="str">
        <f t="shared" si="32"/>
        <v>DPN N</v>
      </c>
      <c r="AK93" s="246" t="s">
        <v>544</v>
      </c>
      <c r="AL93" s="244"/>
      <c r="AM93" s="244">
        <v>16</v>
      </c>
      <c r="AN93" s="212"/>
      <c r="AO93" s="102" t="str">
        <f t="shared" si="33"/>
        <v>iC60H32</v>
      </c>
      <c r="AP93" s="222" t="s">
        <v>20</v>
      </c>
      <c r="AQ93" s="222"/>
      <c r="AR93" s="256">
        <v>32</v>
      </c>
      <c r="AS93" s="222" t="s">
        <v>57</v>
      </c>
      <c r="AT93" s="212"/>
      <c r="AZ93" s="1430" t="s">
        <v>93</v>
      </c>
      <c r="BA93" s="1431"/>
      <c r="BB93" t="s">
        <v>571</v>
      </c>
      <c r="BC93" s="11">
        <f>0.7*BC96</f>
        <v>112</v>
      </c>
      <c r="BD93" s="231">
        <v>2</v>
      </c>
      <c r="BE93" s="232" t="s">
        <v>351</v>
      </c>
      <c r="BM93" s="296" t="b">
        <f t="shared" ca="1" si="40"/>
        <v>0</v>
      </c>
      <c r="BN93" s="786">
        <f ca="1">INDEX(Бланк!$C$13:$C$32,D!$BQ93)</f>
        <v>0</v>
      </c>
      <c r="BO93" s="786">
        <f ca="1">INDEX(Бланк!$O$13:$O$32,D!$BQ93)</f>
        <v>0</v>
      </c>
      <c r="BP93" s="742" t="b">
        <f>OR(Проверки!L13:M13,Проверки!O13,AND(Проверки!N13,Проверки!D13&gt;32))</f>
        <v>0</v>
      </c>
      <c r="BQ93" s="213">
        <f ca="1">Габариты!GJ13</f>
        <v>11</v>
      </c>
      <c r="BR93" s="788">
        <f ca="1">INDEX(Бланк!$D$13:$D$32,D!$BQ93)</f>
        <v>0</v>
      </c>
      <c r="BS93" s="280">
        <f t="shared" ca="1" si="41"/>
        <v>0</v>
      </c>
      <c r="BT93" s="786">
        <f t="shared" ca="1" si="42"/>
        <v>0</v>
      </c>
      <c r="BU93" s="789">
        <f t="shared" ca="1" si="43"/>
        <v>0</v>
      </c>
      <c r="BV93" s="280">
        <f t="shared" ca="1" si="44"/>
        <v>0</v>
      </c>
      <c r="BW93" s="786">
        <f t="shared" ca="1" si="45"/>
        <v>0</v>
      </c>
      <c r="BX93" s="789">
        <f t="shared" ca="1" si="46"/>
        <v>0</v>
      </c>
      <c r="BY93" s="280">
        <f t="shared" ca="1" si="47"/>
        <v>0</v>
      </c>
      <c r="BZ93" s="742">
        <f t="shared" ca="1" si="48"/>
        <v>0</v>
      </c>
      <c r="CA93" s="747">
        <f t="shared" ca="1" si="49"/>
        <v>0</v>
      </c>
      <c r="CB93" s="41" t="str">
        <f t="shared" si="34"/>
        <v>NG125263</v>
      </c>
      <c r="CC93" s="213" t="s">
        <v>437</v>
      </c>
      <c r="CD93" s="213">
        <v>2</v>
      </c>
      <c r="CE93" s="214">
        <v>63</v>
      </c>
      <c r="CF93" s="214"/>
      <c r="CG93" s="201" t="s">
        <v>600</v>
      </c>
      <c r="DH93" s="22"/>
      <c r="DI93" s="22"/>
      <c r="DJ93" s="22"/>
      <c r="DK93" s="344"/>
      <c r="DL93" s="375" t="str">
        <f t="shared" si="35"/>
        <v>TN-S180</v>
      </c>
      <c r="DM93" s="376" t="s">
        <v>5</v>
      </c>
      <c r="DN93" s="376">
        <v>1</v>
      </c>
      <c r="DO93" s="376">
        <v>80</v>
      </c>
      <c r="DP93" s="376">
        <v>1</v>
      </c>
      <c r="DQ93" s="377" t="s">
        <v>389</v>
      </c>
      <c r="DR93" s="358"/>
      <c r="DS93" s="358"/>
      <c r="DT93" s="358"/>
      <c r="DU93" s="358"/>
      <c r="DV93" s="358"/>
      <c r="DW93" s="358"/>
      <c r="DX93" s="358"/>
      <c r="DY93" s="358"/>
      <c r="DZ93" s="358"/>
      <c r="EA93" s="358"/>
      <c r="EB93" s="358"/>
      <c r="EC93" s="358"/>
      <c r="ED93" s="358"/>
      <c r="EE93" s="358"/>
      <c r="EF93" s="22"/>
      <c r="EG93" s="22"/>
      <c r="EH93" s="22"/>
      <c r="EI93" s="22"/>
      <c r="EJ93" s="22"/>
      <c r="EK93" s="22"/>
      <c r="EL93" s="22"/>
      <c r="EM93" s="22"/>
      <c r="EN93" s="344"/>
      <c r="EO93" s="344"/>
      <c r="EP93" s="22"/>
      <c r="EQ93" s="22"/>
      <c r="ER93" s="22"/>
      <c r="EU93" s="344"/>
      <c r="EV93" s="22"/>
      <c r="EW93" s="22"/>
      <c r="EX93" s="22"/>
      <c r="EY93" s="22"/>
      <c r="EZ93" s="22"/>
      <c r="FA93" s="22"/>
      <c r="FB93" s="22"/>
      <c r="FC93" s="22"/>
      <c r="FD93" s="22"/>
      <c r="FE93" s="22"/>
    </row>
    <row r="94" spans="27:161" x14ac:dyDescent="0.2">
      <c r="AA94" s="8" t="s">
        <v>121</v>
      </c>
      <c r="AB94" s="437">
        <v>2</v>
      </c>
      <c r="AC94" s="116" t="s">
        <v>329</v>
      </c>
      <c r="AD94" s="117" t="s">
        <v>140</v>
      </c>
      <c r="AE94" s="116" t="s">
        <v>430</v>
      </c>
      <c r="AF94" s="118">
        <v>40</v>
      </c>
      <c r="AG94" s="232" t="s">
        <v>430</v>
      </c>
      <c r="AH94" s="259">
        <v>16</v>
      </c>
      <c r="AI94" s="212"/>
      <c r="AJ94" s="102" t="str">
        <f t="shared" si="32"/>
        <v>DPN N</v>
      </c>
      <c r="AK94" s="246" t="s">
        <v>544</v>
      </c>
      <c r="AL94" s="244"/>
      <c r="AM94" s="244">
        <v>20</v>
      </c>
      <c r="AN94" s="212"/>
      <c r="AO94" s="102" t="str">
        <f t="shared" si="33"/>
        <v>iC60H32</v>
      </c>
      <c r="AP94" s="222" t="s">
        <v>20</v>
      </c>
      <c r="AQ94" s="222"/>
      <c r="AR94" s="256">
        <v>32</v>
      </c>
      <c r="AS94" s="222" t="s">
        <v>58</v>
      </c>
      <c r="AT94" s="212"/>
      <c r="AZ94" s="32">
        <f>Бланк!D21*5</f>
        <v>0</v>
      </c>
      <c r="BA94" s="11">
        <f>Бланк!F21*1.5</f>
        <v>0</v>
      </c>
      <c r="BB94" t="s">
        <v>571</v>
      </c>
      <c r="BC94" s="11">
        <f>0.8*BC96</f>
        <v>128</v>
      </c>
      <c r="BD94" s="231">
        <v>2</v>
      </c>
      <c r="BE94" s="232" t="s">
        <v>355</v>
      </c>
      <c r="BM94" s="296" t="b">
        <f t="shared" ca="1" si="40"/>
        <v>0</v>
      </c>
      <c r="BN94" s="786">
        <f ca="1">INDEX(Бланк!$C$13:$C$32,D!$BQ94)</f>
        <v>0</v>
      </c>
      <c r="BO94" s="786">
        <f ca="1">INDEX(Бланк!$O$13:$O$32,D!$BQ94)</f>
        <v>0</v>
      </c>
      <c r="BP94" s="742" t="b">
        <f>OR(Проверки!L14:M14,Проверки!O14,AND(Проверки!N14,Проверки!D14&gt;32))</f>
        <v>0</v>
      </c>
      <c r="BQ94" s="213">
        <f ca="1">Габариты!GJ14</f>
        <v>12</v>
      </c>
      <c r="BR94" s="788">
        <f ca="1">INDEX(Бланк!$D$13:$D$32,D!$BQ94)</f>
        <v>0</v>
      </c>
      <c r="BS94" s="280">
        <f t="shared" ca="1" si="41"/>
        <v>0</v>
      </c>
      <c r="BT94" s="786">
        <f t="shared" ca="1" si="42"/>
        <v>0</v>
      </c>
      <c r="BU94" s="789">
        <f t="shared" ca="1" si="43"/>
        <v>0</v>
      </c>
      <c r="BV94" s="280">
        <f t="shared" ca="1" si="44"/>
        <v>0</v>
      </c>
      <c r="BW94" s="786">
        <f t="shared" ca="1" si="45"/>
        <v>0</v>
      </c>
      <c r="BX94" s="789">
        <f t="shared" ca="1" si="46"/>
        <v>0</v>
      </c>
      <c r="BY94" s="280">
        <f t="shared" ca="1" si="47"/>
        <v>0</v>
      </c>
      <c r="BZ94" s="742">
        <f t="shared" ca="1" si="48"/>
        <v>0</v>
      </c>
      <c r="CA94" s="747">
        <f t="shared" ca="1" si="49"/>
        <v>0</v>
      </c>
      <c r="CB94" s="41" t="str">
        <f t="shared" si="34"/>
        <v>NG125263</v>
      </c>
      <c r="CC94" s="213" t="s">
        <v>437</v>
      </c>
      <c r="CD94" s="213">
        <v>2</v>
      </c>
      <c r="CE94" s="214">
        <v>63</v>
      </c>
      <c r="CF94" s="214"/>
      <c r="CG94" s="201" t="s">
        <v>602</v>
      </c>
      <c r="DH94" s="22"/>
      <c r="DI94" s="22"/>
      <c r="DJ94" s="22"/>
      <c r="DK94" s="344"/>
      <c r="DL94" s="375" t="str">
        <f t="shared" si="35"/>
        <v>TN-S1100</v>
      </c>
      <c r="DM94" s="376" t="s">
        <v>5</v>
      </c>
      <c r="DN94" s="376">
        <v>1</v>
      </c>
      <c r="DO94" s="376">
        <v>100</v>
      </c>
      <c r="DP94" s="376">
        <v>1</v>
      </c>
      <c r="DQ94" s="377" t="s">
        <v>390</v>
      </c>
      <c r="DR94" s="358"/>
      <c r="DS94" s="358"/>
      <c r="DT94" s="358"/>
      <c r="DU94" s="358"/>
      <c r="DV94" s="358"/>
      <c r="DW94" s="358"/>
      <c r="DX94" s="358"/>
      <c r="DY94" s="358"/>
      <c r="DZ94" s="358"/>
      <c r="EA94" s="358"/>
      <c r="EB94" s="358"/>
      <c r="EC94" s="358"/>
      <c r="ED94" s="358"/>
      <c r="EE94" s="358"/>
      <c r="EF94" s="22"/>
      <c r="EG94" s="22"/>
      <c r="EH94" s="22"/>
      <c r="EI94" s="22"/>
      <c r="EJ94" s="22"/>
      <c r="EK94" s="22"/>
      <c r="EL94" s="22"/>
      <c r="EM94" s="22"/>
      <c r="EN94" s="344"/>
      <c r="EO94" s="344"/>
      <c r="EP94" s="22"/>
      <c r="EQ94" s="22"/>
      <c r="ER94" s="22"/>
      <c r="EU94" s="344"/>
      <c r="EV94" s="22"/>
      <c r="EW94" s="22"/>
      <c r="EX94" s="22"/>
      <c r="EY94" s="22"/>
      <c r="EZ94" s="22"/>
      <c r="FA94" s="22"/>
      <c r="FB94" s="22"/>
      <c r="FC94" s="22"/>
      <c r="FD94" s="22"/>
      <c r="FE94" s="22"/>
    </row>
    <row r="95" spans="27:161" x14ac:dyDescent="0.2">
      <c r="AA95" s="8" t="s">
        <v>121</v>
      </c>
      <c r="AB95" s="437">
        <v>3</v>
      </c>
      <c r="AC95" s="116" t="s">
        <v>329</v>
      </c>
      <c r="AD95" s="117" t="s">
        <v>141</v>
      </c>
      <c r="AE95" s="116" t="s">
        <v>433</v>
      </c>
      <c r="AF95" s="118">
        <v>6</v>
      </c>
      <c r="AG95" s="232" t="s">
        <v>430</v>
      </c>
      <c r="AH95" s="259">
        <v>20</v>
      </c>
      <c r="AI95" s="212"/>
      <c r="AJ95" s="102" t="str">
        <f t="shared" si="32"/>
        <v>DPN N</v>
      </c>
      <c r="AK95" s="246" t="s">
        <v>544</v>
      </c>
      <c r="AL95" s="244"/>
      <c r="AM95" s="244">
        <v>25</v>
      </c>
      <c r="AN95" s="212"/>
      <c r="AO95" s="102" t="str">
        <f t="shared" si="33"/>
        <v>iC60H32</v>
      </c>
      <c r="AP95" s="222" t="s">
        <v>20</v>
      </c>
      <c r="AQ95" s="222"/>
      <c r="AR95" s="256">
        <v>32</v>
      </c>
      <c r="AS95" s="222" t="s">
        <v>59</v>
      </c>
      <c r="AT95" s="212"/>
      <c r="AZ95" s="32">
        <f>Бланк!D21*6</f>
        <v>0</v>
      </c>
      <c r="BA95" s="11">
        <f>Бланк!F21*2</f>
        <v>0</v>
      </c>
      <c r="BB95" t="s">
        <v>571</v>
      </c>
      <c r="BC95" s="11">
        <f>0.9*BC96</f>
        <v>144</v>
      </c>
      <c r="BD95" s="231">
        <v>2</v>
      </c>
      <c r="BE95" s="232" t="s">
        <v>352</v>
      </c>
      <c r="BL95" s="18"/>
      <c r="BM95" s="296" t="b">
        <f t="shared" ca="1" si="40"/>
        <v>0</v>
      </c>
      <c r="BN95" s="786">
        <f ca="1">INDEX(Бланк!$C$13:$C$32,D!$BQ95)</f>
        <v>0</v>
      </c>
      <c r="BO95" s="786">
        <f ca="1">INDEX(Бланк!$O$13:$O$32,D!$BQ95)</f>
        <v>0</v>
      </c>
      <c r="BP95" s="742" t="b">
        <f>OR(Проверки!L15:M15,Проверки!O15,AND(Проверки!N15,Проверки!D15&gt;32))</f>
        <v>0</v>
      </c>
      <c r="BQ95" s="213">
        <f ca="1">Габариты!GJ15</f>
        <v>13</v>
      </c>
      <c r="BR95" s="788">
        <f ca="1">INDEX(Бланк!$D$13:$D$32,D!$BQ95)</f>
        <v>0</v>
      </c>
      <c r="BS95" s="280">
        <f t="shared" ca="1" si="41"/>
        <v>0</v>
      </c>
      <c r="BT95" s="786">
        <f t="shared" ca="1" si="42"/>
        <v>0</v>
      </c>
      <c r="BU95" s="789">
        <f t="shared" ca="1" si="43"/>
        <v>0</v>
      </c>
      <c r="BV95" s="280">
        <f t="shared" ca="1" si="44"/>
        <v>0</v>
      </c>
      <c r="BW95" s="786">
        <f t="shared" ca="1" si="45"/>
        <v>0</v>
      </c>
      <c r="BX95" s="789">
        <f t="shared" ca="1" si="46"/>
        <v>0</v>
      </c>
      <c r="BY95" s="280">
        <f t="shared" ca="1" si="47"/>
        <v>0</v>
      </c>
      <c r="BZ95" s="742">
        <f t="shared" ca="1" si="48"/>
        <v>0</v>
      </c>
      <c r="CA95" s="747">
        <f t="shared" ca="1" si="49"/>
        <v>0</v>
      </c>
      <c r="CB95" s="41" t="str">
        <f t="shared" si="34"/>
        <v>NG125363</v>
      </c>
      <c r="CC95" s="213" t="s">
        <v>437</v>
      </c>
      <c r="CD95" s="213">
        <v>3</v>
      </c>
      <c r="CE95" s="214">
        <v>63</v>
      </c>
      <c r="CF95" s="214"/>
      <c r="CG95" s="201" t="s">
        <v>30</v>
      </c>
      <c r="DH95" s="22"/>
      <c r="DI95" s="22"/>
      <c r="DJ95" s="22"/>
      <c r="DK95" s="344"/>
      <c r="DL95" s="375" t="str">
        <f t="shared" si="35"/>
        <v>TN-S1125</v>
      </c>
      <c r="DM95" s="376" t="s">
        <v>5</v>
      </c>
      <c r="DN95" s="376">
        <v>1</v>
      </c>
      <c r="DO95" s="376">
        <v>125</v>
      </c>
      <c r="DP95" s="376">
        <v>1</v>
      </c>
      <c r="DQ95" s="377" t="s">
        <v>391</v>
      </c>
      <c r="DR95" s="358"/>
      <c r="DS95" s="358"/>
      <c r="DT95" s="358"/>
      <c r="DU95" s="358"/>
      <c r="DV95" s="358"/>
      <c r="DW95" s="358"/>
      <c r="DX95" s="358"/>
      <c r="DY95" s="358"/>
      <c r="DZ95" s="358"/>
      <c r="EA95" s="358"/>
      <c r="EB95" s="358"/>
      <c r="EC95" s="358"/>
      <c r="ED95" s="358"/>
      <c r="EE95" s="358"/>
      <c r="EF95" s="22"/>
      <c r="EG95" s="22"/>
      <c r="EH95" s="22"/>
      <c r="EI95" s="22"/>
      <c r="EJ95" s="22"/>
      <c r="EK95" s="22"/>
      <c r="EL95" s="22"/>
      <c r="EM95" s="22"/>
      <c r="EN95" s="344"/>
      <c r="EO95" s="344"/>
      <c r="EP95" s="22"/>
      <c r="EQ95" s="22"/>
      <c r="ER95" s="22"/>
      <c r="EU95" s="344"/>
      <c r="EV95" s="22"/>
      <c r="EW95" s="22"/>
      <c r="EX95" s="22"/>
      <c r="EY95" s="22"/>
      <c r="EZ95" s="22"/>
      <c r="FA95" s="22"/>
      <c r="FB95" s="22"/>
      <c r="FC95" s="22"/>
      <c r="FD95" s="22"/>
      <c r="FE95" s="22"/>
    </row>
    <row r="96" spans="27:161" x14ac:dyDescent="0.2">
      <c r="AA96" s="8" t="s">
        <v>121</v>
      </c>
      <c r="AB96" s="437">
        <v>4</v>
      </c>
      <c r="AC96" s="116" t="s">
        <v>329</v>
      </c>
      <c r="AD96" s="117" t="s">
        <v>312</v>
      </c>
      <c r="AE96" s="116" t="s">
        <v>433</v>
      </c>
      <c r="AF96" s="118">
        <v>10</v>
      </c>
      <c r="AG96" s="232" t="s">
        <v>430</v>
      </c>
      <c r="AH96" s="259">
        <v>25</v>
      </c>
      <c r="AI96" s="212"/>
      <c r="AJ96" s="102" t="str">
        <f t="shared" si="32"/>
        <v>DPN N</v>
      </c>
      <c r="AK96" s="246" t="s">
        <v>544</v>
      </c>
      <c r="AL96" s="244"/>
      <c r="AM96" s="244">
        <v>32</v>
      </c>
      <c r="AN96" s="212"/>
      <c r="AO96" s="102" t="str">
        <f t="shared" si="33"/>
        <v>iC60H40</v>
      </c>
      <c r="AP96" s="222" t="s">
        <v>20</v>
      </c>
      <c r="AQ96" s="222"/>
      <c r="AR96" s="256">
        <v>40</v>
      </c>
      <c r="AS96" s="222" t="s">
        <v>57</v>
      </c>
      <c r="AT96" s="212"/>
      <c r="AZ96" s="32">
        <f>Бланк!D21*7</f>
        <v>0</v>
      </c>
      <c r="BA96" s="11">
        <f>Бланк!F21*3</f>
        <v>0</v>
      </c>
      <c r="BB96" t="s">
        <v>571</v>
      </c>
      <c r="BC96" s="11">
        <v>160</v>
      </c>
      <c r="BD96" s="231">
        <v>3</v>
      </c>
      <c r="BE96" s="233" t="s">
        <v>30</v>
      </c>
      <c r="BF96" s="18"/>
      <c r="BG96" s="18"/>
      <c r="BH96" s="18"/>
      <c r="BI96" s="18"/>
      <c r="BJ96" s="18"/>
      <c r="BK96" s="18"/>
      <c r="BM96" s="296" t="b">
        <f t="shared" ca="1" si="40"/>
        <v>0</v>
      </c>
      <c r="BN96" s="786">
        <f ca="1">INDEX(Бланк!$C$13:$C$32,D!$BQ96)</f>
        <v>0</v>
      </c>
      <c r="BO96" s="786">
        <f ca="1">INDEX(Бланк!$O$13:$O$32,D!$BQ96)</f>
        <v>0</v>
      </c>
      <c r="BP96" s="742" t="b">
        <f>OR(Проверки!L16:M16,Проверки!O16,AND(Проверки!N16,Проверки!D16&gt;32))</f>
        <v>0</v>
      </c>
      <c r="BQ96" s="213">
        <f ca="1">Габариты!GJ16</f>
        <v>14</v>
      </c>
      <c r="BR96" s="788">
        <f ca="1">INDEX(Бланк!$D$13:$D$32,D!$BQ96)</f>
        <v>0</v>
      </c>
      <c r="BS96" s="280">
        <f t="shared" ca="1" si="41"/>
        <v>0</v>
      </c>
      <c r="BT96" s="786">
        <f t="shared" ca="1" si="42"/>
        <v>0</v>
      </c>
      <c r="BU96" s="789">
        <f t="shared" ca="1" si="43"/>
        <v>0</v>
      </c>
      <c r="BV96" s="280">
        <f t="shared" ca="1" si="44"/>
        <v>0</v>
      </c>
      <c r="BW96" s="786">
        <f t="shared" ca="1" si="45"/>
        <v>0</v>
      </c>
      <c r="BX96" s="789">
        <f t="shared" ca="1" si="46"/>
        <v>0</v>
      </c>
      <c r="BY96" s="280">
        <f t="shared" ca="1" si="47"/>
        <v>0</v>
      </c>
      <c r="BZ96" s="786">
        <f t="shared" ca="1" si="48"/>
        <v>0</v>
      </c>
      <c r="CA96" s="789">
        <f t="shared" ca="1" si="49"/>
        <v>0</v>
      </c>
      <c r="CB96" s="41" t="str">
        <f t="shared" si="34"/>
        <v>NG125363</v>
      </c>
      <c r="CC96" s="213" t="s">
        <v>437</v>
      </c>
      <c r="CD96" s="213">
        <v>3</v>
      </c>
      <c r="CE96" s="214">
        <v>63</v>
      </c>
      <c r="CF96" s="214"/>
      <c r="CG96" s="201" t="s">
        <v>595</v>
      </c>
      <c r="CH96" s="18"/>
      <c r="CI96" s="18"/>
      <c r="CJ96" s="18"/>
      <c r="CK96" s="18"/>
      <c r="CL96" s="18"/>
      <c r="CM96" s="18"/>
      <c r="CN96" s="18"/>
      <c r="DH96" s="22"/>
      <c r="DI96" s="22"/>
      <c r="DJ96" s="22"/>
      <c r="DK96" s="344"/>
      <c r="DL96" s="375" t="str">
        <f t="shared" si="35"/>
        <v>TN-S1160</v>
      </c>
      <c r="DM96" s="376" t="s">
        <v>5</v>
      </c>
      <c r="DN96" s="376">
        <v>1</v>
      </c>
      <c r="DO96" s="376">
        <v>160</v>
      </c>
      <c r="DP96" s="376">
        <v>1</v>
      </c>
      <c r="DQ96" s="377" t="s">
        <v>392</v>
      </c>
      <c r="DR96" s="358"/>
      <c r="DS96" s="358"/>
      <c r="DT96" s="358"/>
      <c r="DU96" s="358"/>
      <c r="DV96" s="358"/>
      <c r="DW96" s="358"/>
      <c r="DX96" s="358"/>
      <c r="DY96" s="358"/>
      <c r="DZ96" s="358"/>
      <c r="EA96" s="358"/>
      <c r="EB96" s="358"/>
      <c r="EC96" s="358"/>
      <c r="ED96" s="358"/>
      <c r="EE96" s="358"/>
      <c r="EF96" s="22"/>
      <c r="EG96" s="22"/>
      <c r="EH96" s="22"/>
      <c r="EI96" s="22"/>
      <c r="EJ96" s="22"/>
      <c r="EK96" s="22"/>
      <c r="EL96" s="22"/>
      <c r="EM96" s="22"/>
      <c r="EN96" s="344"/>
      <c r="EO96" s="344"/>
      <c r="EP96" s="22"/>
      <c r="EQ96" s="22"/>
      <c r="ER96" s="22"/>
      <c r="EU96" s="344"/>
      <c r="EV96" s="22"/>
      <c r="EW96" s="22"/>
      <c r="EX96" s="22"/>
      <c r="EY96" s="22"/>
      <c r="EZ96" s="22"/>
      <c r="FA96" s="22"/>
      <c r="FB96" s="22"/>
      <c r="FC96" s="22"/>
      <c r="FD96" s="22"/>
      <c r="FE96" s="22"/>
    </row>
    <row r="97" spans="27:161" x14ac:dyDescent="0.2">
      <c r="AA97" s="8" t="s">
        <v>122</v>
      </c>
      <c r="AB97" s="437">
        <v>1</v>
      </c>
      <c r="AC97" s="116" t="s">
        <v>329</v>
      </c>
      <c r="AD97" s="117">
        <v>3</v>
      </c>
      <c r="AE97" s="116" t="s">
        <v>433</v>
      </c>
      <c r="AF97" s="118">
        <v>16</v>
      </c>
      <c r="AG97" s="232" t="s">
        <v>430</v>
      </c>
      <c r="AH97" s="259">
        <v>32</v>
      </c>
      <c r="AI97" s="212"/>
      <c r="AJ97" s="102" t="str">
        <f t="shared" si="32"/>
        <v>DPN N</v>
      </c>
      <c r="AK97" s="246" t="s">
        <v>544</v>
      </c>
      <c r="AL97" s="244"/>
      <c r="AM97" s="244">
        <v>40</v>
      </c>
      <c r="AN97" s="212"/>
      <c r="AO97" s="102" t="str">
        <f t="shared" si="33"/>
        <v>iC60H40</v>
      </c>
      <c r="AP97" s="222" t="s">
        <v>20</v>
      </c>
      <c r="AQ97" s="222"/>
      <c r="AR97" s="256">
        <v>40</v>
      </c>
      <c r="AS97" s="222" t="s">
        <v>58</v>
      </c>
      <c r="AT97" s="212"/>
      <c r="AZ97" s="32">
        <f>Бланк!D21*8</f>
        <v>0</v>
      </c>
      <c r="BA97" s="11">
        <f>Бланк!F21*4</f>
        <v>0</v>
      </c>
      <c r="BB97" t="s">
        <v>572</v>
      </c>
      <c r="BC97" s="11">
        <f>0.7*BC100</f>
        <v>140</v>
      </c>
      <c r="BD97" s="231">
        <v>3</v>
      </c>
      <c r="BE97" s="232" t="s">
        <v>853</v>
      </c>
      <c r="BM97" s="296" t="b">
        <f t="shared" ca="1" si="40"/>
        <v>0</v>
      </c>
      <c r="BN97" s="786">
        <f ca="1">INDEX(Бланк!$C$13:$C$32,D!$BQ97)</f>
        <v>0</v>
      </c>
      <c r="BO97" s="786">
        <f ca="1">INDEX(Бланк!$O$13:$O$32,D!$BQ97)</f>
        <v>0</v>
      </c>
      <c r="BP97" s="742" t="b">
        <f>OR(Проверки!L17:M17,Проверки!O17,AND(Проверки!N17,Проверки!D17&gt;32))</f>
        <v>0</v>
      </c>
      <c r="BQ97" s="213">
        <f ca="1">Габариты!GJ17</f>
        <v>15</v>
      </c>
      <c r="BR97" s="788">
        <f ca="1">INDEX(Бланк!$D$13:$D$32,D!$BQ97)</f>
        <v>0</v>
      </c>
      <c r="BS97" s="280">
        <f t="shared" ca="1" si="41"/>
        <v>0</v>
      </c>
      <c r="BT97" s="786">
        <f t="shared" ca="1" si="42"/>
        <v>0</v>
      </c>
      <c r="BU97" s="789">
        <f t="shared" ca="1" si="43"/>
        <v>0</v>
      </c>
      <c r="BV97" s="280">
        <f t="shared" ca="1" si="44"/>
        <v>0</v>
      </c>
      <c r="BW97" s="786">
        <f t="shared" ca="1" si="45"/>
        <v>0</v>
      </c>
      <c r="BX97" s="789">
        <f t="shared" ca="1" si="46"/>
        <v>0</v>
      </c>
      <c r="BY97" s="280">
        <f t="shared" ca="1" si="47"/>
        <v>0</v>
      </c>
      <c r="BZ97" s="742">
        <f t="shared" ca="1" si="48"/>
        <v>0</v>
      </c>
      <c r="CA97" s="747">
        <f t="shared" ca="1" si="49"/>
        <v>0</v>
      </c>
      <c r="CB97" s="41" t="str">
        <f t="shared" si="34"/>
        <v>NG125363</v>
      </c>
      <c r="CC97" s="213" t="s">
        <v>437</v>
      </c>
      <c r="CD97" s="213">
        <v>3</v>
      </c>
      <c r="CE97" s="214">
        <v>63</v>
      </c>
      <c r="CF97" s="214"/>
      <c r="CG97" s="201" t="s">
        <v>597</v>
      </c>
      <c r="DH97" s="22"/>
      <c r="DI97" s="22"/>
      <c r="DJ97" s="22"/>
      <c r="DK97" s="344"/>
      <c r="DL97" s="375" t="str">
        <f t="shared" si="35"/>
        <v>TN-S1200</v>
      </c>
      <c r="DM97" s="376" t="s">
        <v>5</v>
      </c>
      <c r="DN97" s="376">
        <v>1</v>
      </c>
      <c r="DO97" s="376">
        <v>200</v>
      </c>
      <c r="DP97" s="376">
        <v>1</v>
      </c>
      <c r="DQ97" s="377" t="s">
        <v>393</v>
      </c>
      <c r="DR97" s="358"/>
      <c r="DS97" s="358"/>
      <c r="DT97" s="358"/>
      <c r="DU97" s="358"/>
      <c r="DV97" s="358"/>
      <c r="DW97" s="358"/>
      <c r="DX97" s="358"/>
      <c r="DY97" s="358"/>
      <c r="DZ97" s="358"/>
      <c r="EA97" s="358"/>
      <c r="EB97" s="358"/>
      <c r="EC97" s="358"/>
      <c r="ED97" s="358"/>
      <c r="EE97" s="358"/>
      <c r="EF97" s="22"/>
      <c r="EG97" s="22"/>
      <c r="EH97" s="22"/>
      <c r="EI97" s="22"/>
      <c r="EJ97" s="22"/>
      <c r="EK97" s="22"/>
      <c r="EL97" s="22"/>
      <c r="EM97" s="22"/>
      <c r="EN97" s="344"/>
      <c r="EO97" s="344"/>
      <c r="EP97" s="22"/>
      <c r="EQ97" s="22"/>
      <c r="ER97" s="22"/>
      <c r="EU97" s="344"/>
      <c r="EV97" s="22"/>
      <c r="EW97" s="22"/>
      <c r="EX97" s="22"/>
      <c r="EY97" s="22"/>
      <c r="EZ97" s="22"/>
      <c r="FA97" s="22"/>
      <c r="FB97" s="22"/>
      <c r="FC97" s="22"/>
      <c r="FD97" s="22"/>
      <c r="FE97" s="22"/>
    </row>
    <row r="98" spans="27:161" x14ac:dyDescent="0.2">
      <c r="AA98" s="8" t="s">
        <v>122</v>
      </c>
      <c r="AB98" s="437">
        <v>2</v>
      </c>
      <c r="AC98" s="116" t="s">
        <v>329</v>
      </c>
      <c r="AD98" s="117">
        <v>4</v>
      </c>
      <c r="AE98" s="116" t="s">
        <v>433</v>
      </c>
      <c r="AF98" s="118">
        <v>20</v>
      </c>
      <c r="AG98" s="232" t="s">
        <v>430</v>
      </c>
      <c r="AH98" s="259">
        <v>40</v>
      </c>
      <c r="AI98" s="212"/>
      <c r="AJ98" s="102" t="str">
        <f t="shared" si="32"/>
        <v>iDPN N</v>
      </c>
      <c r="AK98" s="246" t="s">
        <v>543</v>
      </c>
      <c r="AL98" s="244"/>
      <c r="AM98" s="244">
        <v>4</v>
      </c>
      <c r="AN98" s="212"/>
      <c r="AO98" s="102" t="str">
        <f t="shared" si="33"/>
        <v>iC60H40</v>
      </c>
      <c r="AP98" s="222" t="s">
        <v>20</v>
      </c>
      <c r="AQ98" s="222"/>
      <c r="AR98" s="256">
        <v>40</v>
      </c>
      <c r="AS98" s="222" t="s">
        <v>59</v>
      </c>
      <c r="AT98" s="212"/>
      <c r="AZ98" s="32">
        <f>Бланк!D21*9</f>
        <v>0</v>
      </c>
      <c r="BA98" s="11">
        <f>Бланк!F21*5</f>
        <v>0</v>
      </c>
      <c r="BB98" t="s">
        <v>572</v>
      </c>
      <c r="BC98" s="11">
        <f>0.8*BC100</f>
        <v>160</v>
      </c>
      <c r="BD98" s="231">
        <v>3</v>
      </c>
      <c r="BE98" s="232" t="s">
        <v>854</v>
      </c>
      <c r="BM98" s="296" t="b">
        <f t="shared" ca="1" si="40"/>
        <v>0</v>
      </c>
      <c r="BN98" s="786">
        <f ca="1">INDEX(Бланк!$C$13:$C$32,D!$BQ98)</f>
        <v>0</v>
      </c>
      <c r="BO98" s="786">
        <f ca="1">INDEX(Бланк!$O$13:$O$32,D!$BQ98)</f>
        <v>0</v>
      </c>
      <c r="BP98" s="742" t="b">
        <f>OR(Проверки!L18:M18,Проверки!O18,AND(Проверки!N18,Проверки!D18&gt;32))</f>
        <v>0</v>
      </c>
      <c r="BQ98" s="213">
        <f ca="1">Габариты!GJ18</f>
        <v>16</v>
      </c>
      <c r="BR98" s="788">
        <f ca="1">INDEX(Бланк!$D$13:$D$32,D!$BQ98)</f>
        <v>0</v>
      </c>
      <c r="BS98" s="280">
        <f t="shared" ca="1" si="41"/>
        <v>0</v>
      </c>
      <c r="BT98" s="786">
        <f t="shared" ca="1" si="42"/>
        <v>0</v>
      </c>
      <c r="BU98" s="789">
        <f t="shared" ca="1" si="43"/>
        <v>0</v>
      </c>
      <c r="BV98" s="280">
        <f t="shared" ca="1" si="44"/>
        <v>0</v>
      </c>
      <c r="BW98" s="786">
        <f t="shared" ca="1" si="45"/>
        <v>0</v>
      </c>
      <c r="BX98" s="789">
        <f t="shared" ca="1" si="46"/>
        <v>0</v>
      </c>
      <c r="BY98" s="280">
        <f t="shared" ca="1" si="47"/>
        <v>0</v>
      </c>
      <c r="BZ98" s="742">
        <f t="shared" ca="1" si="48"/>
        <v>0</v>
      </c>
      <c r="CA98" s="747">
        <f t="shared" ca="1" si="49"/>
        <v>0</v>
      </c>
      <c r="CB98" s="41" t="str">
        <f t="shared" si="34"/>
        <v>NG125363</v>
      </c>
      <c r="CC98" s="213" t="s">
        <v>437</v>
      </c>
      <c r="CD98" s="213">
        <v>3</v>
      </c>
      <c r="CE98" s="214">
        <v>63</v>
      </c>
      <c r="CF98" s="214"/>
      <c r="CG98" s="201" t="s">
        <v>600</v>
      </c>
      <c r="DH98" s="22"/>
      <c r="DI98" s="22"/>
      <c r="DJ98" s="22"/>
      <c r="DK98" s="344"/>
      <c r="DL98" s="375" t="str">
        <f t="shared" si="35"/>
        <v>TN-S1250</v>
      </c>
      <c r="DM98" s="376" t="s">
        <v>5</v>
      </c>
      <c r="DN98" s="376">
        <v>1</v>
      </c>
      <c r="DO98" s="376">
        <v>250</v>
      </c>
      <c r="DP98" s="376">
        <v>1</v>
      </c>
      <c r="DQ98" s="377" t="s">
        <v>394</v>
      </c>
      <c r="DR98" s="358"/>
      <c r="DS98" s="358"/>
      <c r="DT98" s="358"/>
      <c r="DU98" s="358"/>
      <c r="DV98" s="358"/>
      <c r="DW98" s="358"/>
      <c r="DX98" s="358"/>
      <c r="DY98" s="358"/>
      <c r="DZ98" s="358"/>
      <c r="EA98" s="358"/>
      <c r="EB98" s="358"/>
      <c r="EC98" s="358"/>
      <c r="ED98" s="358"/>
      <c r="EE98" s="358"/>
      <c r="EF98" s="22"/>
      <c r="EG98" s="22"/>
      <c r="EH98" s="22"/>
      <c r="EI98" s="22"/>
      <c r="EJ98" s="22"/>
      <c r="EK98" s="22"/>
      <c r="EL98" s="22"/>
      <c r="EM98" s="22"/>
      <c r="EN98" s="344"/>
      <c r="EO98" s="344"/>
      <c r="EP98" s="22"/>
      <c r="EQ98" s="22"/>
      <c r="ER98" s="22"/>
      <c r="EU98" s="344"/>
      <c r="EV98" s="22"/>
      <c r="EW98" s="22"/>
      <c r="EX98" s="22"/>
      <c r="EY98" s="22"/>
      <c r="EZ98" s="22"/>
      <c r="FA98" s="22"/>
      <c r="FB98" s="22"/>
      <c r="FC98" s="22"/>
      <c r="FD98" s="22"/>
      <c r="FE98" s="22"/>
    </row>
    <row r="99" spans="27:161" x14ac:dyDescent="0.2">
      <c r="AA99" s="8" t="s">
        <v>122</v>
      </c>
      <c r="AB99" s="437">
        <v>3</v>
      </c>
      <c r="AC99" s="116" t="s">
        <v>330</v>
      </c>
      <c r="AD99" s="117" t="s">
        <v>136</v>
      </c>
      <c r="AE99" s="116" t="s">
        <v>433</v>
      </c>
      <c r="AF99" s="118">
        <v>25</v>
      </c>
      <c r="AG99" s="232" t="s">
        <v>433</v>
      </c>
      <c r="AH99" s="259">
        <v>6</v>
      </c>
      <c r="AI99" s="212"/>
      <c r="AJ99" s="102" t="str">
        <f t="shared" si="32"/>
        <v>iDPN N</v>
      </c>
      <c r="AK99" s="246" t="s">
        <v>543</v>
      </c>
      <c r="AL99" s="244"/>
      <c r="AM99" s="244">
        <v>6</v>
      </c>
      <c r="AN99" s="212"/>
      <c r="AO99" s="102" t="str">
        <f t="shared" si="33"/>
        <v>iC60H50</v>
      </c>
      <c r="AP99" s="222" t="s">
        <v>20</v>
      </c>
      <c r="AQ99" s="222"/>
      <c r="AR99" s="256">
        <v>50</v>
      </c>
      <c r="AS99" s="222" t="s">
        <v>57</v>
      </c>
      <c r="AT99" s="212"/>
      <c r="AZ99" s="32">
        <f>Бланк!D21*10</f>
        <v>0</v>
      </c>
      <c r="BA99" s="11">
        <f>Бланк!F21*6</f>
        <v>0</v>
      </c>
      <c r="BB99" t="s">
        <v>572</v>
      </c>
      <c r="BC99" s="11">
        <f>0.9*BC100</f>
        <v>180</v>
      </c>
      <c r="BD99" s="231">
        <v>3</v>
      </c>
      <c r="BE99" s="232" t="s">
        <v>855</v>
      </c>
      <c r="BM99" s="296" t="b">
        <f t="shared" ca="1" si="40"/>
        <v>0</v>
      </c>
      <c r="BN99" s="786">
        <f ca="1">INDEX(Бланк!$C$13:$C$32,D!$BQ99)</f>
        <v>0</v>
      </c>
      <c r="BO99" s="786">
        <f ca="1">INDEX(Бланк!$O$13:$O$32,D!$BQ99)</f>
        <v>0</v>
      </c>
      <c r="BP99" s="742" t="b">
        <f>OR(Проверки!L19:M19,Проверки!O19,AND(Проверки!N19,Проверки!D19&gt;32))</f>
        <v>0</v>
      </c>
      <c r="BQ99" s="213">
        <f ca="1">Габариты!GJ19</f>
        <v>17</v>
      </c>
      <c r="BR99" s="788">
        <f ca="1">INDEX(Бланк!$D$13:$D$32,D!$BQ99)</f>
        <v>0</v>
      </c>
      <c r="BS99" s="280">
        <f t="shared" ca="1" si="41"/>
        <v>0</v>
      </c>
      <c r="BT99" s="786">
        <f t="shared" ca="1" si="42"/>
        <v>0</v>
      </c>
      <c r="BU99" s="789">
        <f t="shared" ca="1" si="43"/>
        <v>0</v>
      </c>
      <c r="BV99" s="280">
        <f t="shared" ca="1" si="44"/>
        <v>0</v>
      </c>
      <c r="BW99" s="786">
        <f t="shared" ca="1" si="45"/>
        <v>0</v>
      </c>
      <c r="BX99" s="789">
        <f t="shared" ca="1" si="46"/>
        <v>0</v>
      </c>
      <c r="BY99" s="280">
        <f t="shared" ca="1" si="47"/>
        <v>0</v>
      </c>
      <c r="BZ99" s="1018">
        <f t="shared" ca="1" si="48"/>
        <v>0</v>
      </c>
      <c r="CA99" s="1020">
        <f t="shared" ca="1" si="49"/>
        <v>0</v>
      </c>
      <c r="CB99" s="41" t="str">
        <f t="shared" si="34"/>
        <v>NG125363</v>
      </c>
      <c r="CC99" s="213" t="s">
        <v>437</v>
      </c>
      <c r="CD99" s="213">
        <v>3</v>
      </c>
      <c r="CE99" s="214">
        <v>63</v>
      </c>
      <c r="CF99" s="214"/>
      <c r="CG99" s="201" t="s">
        <v>602</v>
      </c>
      <c r="DH99" s="22"/>
      <c r="DI99" s="22"/>
      <c r="DJ99" s="22"/>
      <c r="DK99" s="344"/>
      <c r="DL99" s="375" t="str">
        <f t="shared" si="35"/>
        <v>TN-S1400</v>
      </c>
      <c r="DM99" s="376" t="s">
        <v>5</v>
      </c>
      <c r="DN99" s="376">
        <v>1</v>
      </c>
      <c r="DO99" s="376">
        <v>400</v>
      </c>
      <c r="DP99" s="376">
        <v>2</v>
      </c>
      <c r="DQ99" s="377" t="s">
        <v>393</v>
      </c>
      <c r="DR99" s="358"/>
      <c r="DS99" s="358"/>
      <c r="DT99" s="358"/>
      <c r="DU99" s="358"/>
      <c r="DV99" s="358"/>
      <c r="DW99" s="358"/>
      <c r="DX99" s="358"/>
      <c r="DY99" s="358"/>
      <c r="DZ99" s="358"/>
      <c r="EA99" s="358"/>
      <c r="EB99" s="358"/>
      <c r="EC99" s="358"/>
      <c r="ED99" s="358"/>
      <c r="EE99" s="358"/>
      <c r="EF99" s="22"/>
      <c r="EG99" s="22"/>
      <c r="EH99" s="22"/>
      <c r="EI99" s="22"/>
      <c r="EJ99" s="22"/>
      <c r="EK99" s="22"/>
      <c r="EL99" s="22"/>
      <c r="EM99" s="22"/>
      <c r="EN99" s="344"/>
      <c r="EO99" s="344"/>
      <c r="EP99" s="22"/>
      <c r="EQ99" s="22"/>
      <c r="ER99" s="22"/>
      <c r="EU99" s="344"/>
      <c r="EV99" s="22"/>
      <c r="EW99" s="22"/>
      <c r="EX99" s="22"/>
      <c r="EY99" s="22"/>
      <c r="EZ99" s="22"/>
      <c r="FA99" s="22"/>
      <c r="FB99" s="22"/>
      <c r="FC99" s="22"/>
      <c r="FD99" s="22"/>
      <c r="FE99" s="22"/>
    </row>
    <row r="100" spans="27:161" x14ac:dyDescent="0.2">
      <c r="AA100" s="8" t="s">
        <v>122</v>
      </c>
      <c r="AB100" s="437">
        <v>4</v>
      </c>
      <c r="AC100" s="116" t="s">
        <v>330</v>
      </c>
      <c r="AD100" s="117" t="s">
        <v>137</v>
      </c>
      <c r="AE100" s="116" t="s">
        <v>433</v>
      </c>
      <c r="AF100" s="118">
        <v>32</v>
      </c>
      <c r="AG100" s="232" t="s">
        <v>433</v>
      </c>
      <c r="AH100" s="259">
        <v>10</v>
      </c>
      <c r="AI100" s="212"/>
      <c r="AJ100" s="102" t="str">
        <f t="shared" si="32"/>
        <v>iDPN N</v>
      </c>
      <c r="AK100" s="246" t="s">
        <v>543</v>
      </c>
      <c r="AL100" s="244"/>
      <c r="AM100" s="244">
        <v>10</v>
      </c>
      <c r="AN100" s="212"/>
      <c r="AO100" s="102" t="str">
        <f t="shared" si="33"/>
        <v>iC60H50</v>
      </c>
      <c r="AP100" s="222" t="s">
        <v>20</v>
      </c>
      <c r="AQ100" s="222"/>
      <c r="AR100" s="256">
        <v>50</v>
      </c>
      <c r="AS100" s="222" t="s">
        <v>58</v>
      </c>
      <c r="AT100" s="212"/>
      <c r="AZ100" s="32"/>
      <c r="BA100" s="11">
        <f>Бланк!F21*7</f>
        <v>0</v>
      </c>
      <c r="BB100" t="s">
        <v>572</v>
      </c>
      <c r="BC100" s="11">
        <v>200</v>
      </c>
      <c r="BD100" s="231">
        <v>3</v>
      </c>
      <c r="BE100" s="232" t="s">
        <v>856</v>
      </c>
      <c r="BM100" s="296" t="b">
        <f t="shared" ref="BM100:BM104" ca="1" si="50">NOT(ISERR(SEARCH("пофазно",BN100)))</f>
        <v>0</v>
      </c>
      <c r="BN100" s="1018">
        <f ca="1">INDEX(Бланк!$C$13:$C$32,D!$BQ100)</f>
        <v>0</v>
      </c>
      <c r="BO100" s="1018">
        <f ca="1">INDEX(Бланк!$O$13:$O$32,D!$BQ100)</f>
        <v>0</v>
      </c>
      <c r="BP100" s="1018" t="b">
        <f>OR(Проверки!L20:M20,Проверки!O20,AND(Проверки!N20,Проверки!D20&gt;32))</f>
        <v>0</v>
      </c>
      <c r="BQ100" s="213">
        <f ca="1">Габариты!GJ20</f>
        <v>18</v>
      </c>
      <c r="BR100" s="1015">
        <f ca="1">INDEX(Бланк!$D$13:$D$32,D!$BQ100)</f>
        <v>0</v>
      </c>
      <c r="BS100" s="280">
        <f t="shared" ref="BS100:BS104" ca="1" si="51">IF(OR($BN100=3,$BN100=4,NOT(ISERR(SEARCH("L1",$BN100)))),$BO100,0)</f>
        <v>0</v>
      </c>
      <c r="BT100" s="1018">
        <f t="shared" ref="BT100:BT104" ca="1" si="52">IF(OR($BN100=3,$BN100=4,NOT(ISERR(SEARCH("L2",$BN100)))),$BO100,0)</f>
        <v>0</v>
      </c>
      <c r="BU100" s="1020">
        <f t="shared" ref="BU100:BU104" ca="1" si="53">IF(OR($BN100=3,$BN100=4,NOT(ISERR(SEARCH("L3",$BN100)))),$BO100,0)</f>
        <v>0</v>
      </c>
      <c r="BV100" s="280">
        <f t="shared" ref="BV100:BX100" ca="1" si="54">BS124+BV124</f>
        <v>0</v>
      </c>
      <c r="BW100" s="1018">
        <f t="shared" ca="1" si="54"/>
        <v>0</v>
      </c>
      <c r="BX100" s="1020">
        <f t="shared" ca="1" si="54"/>
        <v>0</v>
      </c>
      <c r="BY100" s="280">
        <f t="shared" ref="BY100:BY104" ca="1" si="55">BS100+BV100</f>
        <v>0</v>
      </c>
      <c r="BZ100" s="1018">
        <f t="shared" ref="BZ100:BZ104" ca="1" si="56">BT100+BW100</f>
        <v>0</v>
      </c>
      <c r="CA100" s="1020">
        <f t="shared" ref="CA100:CA104" ca="1" si="57">BU100+BX100</f>
        <v>0</v>
      </c>
      <c r="CB100" s="41" t="str">
        <f t="shared" si="34"/>
        <v>NG125363</v>
      </c>
      <c r="CC100" s="213" t="s">
        <v>437</v>
      </c>
      <c r="CD100" s="213">
        <v>3</v>
      </c>
      <c r="CE100" s="214">
        <v>63</v>
      </c>
      <c r="CF100" s="214"/>
      <c r="CG100" s="201" t="s">
        <v>604</v>
      </c>
      <c r="DH100" s="22"/>
      <c r="DI100" s="22"/>
      <c r="DJ100" s="22"/>
      <c r="DK100" s="344"/>
      <c r="DL100" s="375" t="str">
        <f t="shared" si="35"/>
        <v>TN-S1630</v>
      </c>
      <c r="DM100" s="376" t="s">
        <v>5</v>
      </c>
      <c r="DN100" s="376">
        <v>1</v>
      </c>
      <c r="DO100" s="376">
        <v>630</v>
      </c>
      <c r="DP100" s="376">
        <v>2</v>
      </c>
      <c r="DQ100" s="377" t="s">
        <v>396</v>
      </c>
      <c r="DR100" s="358"/>
      <c r="DS100" s="358"/>
      <c r="DT100" s="358"/>
      <c r="DU100" s="358"/>
      <c r="DV100" s="358"/>
      <c r="DW100" s="358"/>
      <c r="DX100" s="358"/>
      <c r="DY100" s="358"/>
      <c r="DZ100" s="358"/>
      <c r="EA100" s="358"/>
      <c r="EB100" s="358"/>
      <c r="EC100" s="358"/>
      <c r="ED100" s="358"/>
      <c r="EE100" s="358"/>
      <c r="EF100" s="22"/>
      <c r="EG100" s="22"/>
      <c r="EH100" s="22"/>
      <c r="EI100" s="22"/>
      <c r="EJ100" s="22"/>
      <c r="EK100" s="22"/>
      <c r="EL100" s="22"/>
      <c r="EM100" s="22"/>
      <c r="EN100" s="344"/>
      <c r="EO100" s="344"/>
      <c r="EP100" s="22"/>
      <c r="EQ100" s="22"/>
      <c r="ER100" s="22"/>
      <c r="EU100" s="344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</row>
    <row r="101" spans="27:161" x14ac:dyDescent="0.2">
      <c r="AA101" s="8" t="s">
        <v>123</v>
      </c>
      <c r="AB101" s="437">
        <v>1</v>
      </c>
      <c r="AC101" s="116" t="s">
        <v>330</v>
      </c>
      <c r="AD101" s="117" t="s">
        <v>138</v>
      </c>
      <c r="AE101" s="116" t="s">
        <v>344</v>
      </c>
      <c r="AF101" s="118">
        <v>63</v>
      </c>
      <c r="AG101" s="232" t="s">
        <v>433</v>
      </c>
      <c r="AH101" s="259">
        <v>16</v>
      </c>
      <c r="AI101" s="212"/>
      <c r="AJ101" s="102" t="str">
        <f t="shared" si="32"/>
        <v>iDPN N</v>
      </c>
      <c r="AK101" s="246" t="s">
        <v>543</v>
      </c>
      <c r="AL101" s="244"/>
      <c r="AM101" s="244">
        <v>13</v>
      </c>
      <c r="AN101" s="212"/>
      <c r="AO101" s="102" t="str">
        <f t="shared" si="33"/>
        <v>iC60H50</v>
      </c>
      <c r="AP101" s="222" t="s">
        <v>20</v>
      </c>
      <c r="AQ101" s="222"/>
      <c r="AR101" s="256">
        <v>50</v>
      </c>
      <c r="AS101" s="222" t="s">
        <v>59</v>
      </c>
      <c r="AT101" s="212"/>
      <c r="AZ101" s="32"/>
      <c r="BA101" s="11">
        <f>Бланк!F21*8</f>
        <v>0</v>
      </c>
      <c r="BB101" t="s">
        <v>573</v>
      </c>
      <c r="BC101" s="11">
        <f>0.7*BC104</f>
        <v>175</v>
      </c>
      <c r="BD101" s="231">
        <v>3</v>
      </c>
      <c r="BE101" s="232" t="s">
        <v>353</v>
      </c>
      <c r="BM101" s="296" t="b">
        <f t="shared" ca="1" si="50"/>
        <v>0</v>
      </c>
      <c r="BN101" s="1018">
        <f ca="1">INDEX(Бланк!$C$13:$C$32,D!$BQ101)</f>
        <v>0</v>
      </c>
      <c r="BO101" s="1018">
        <f ca="1">INDEX(Бланк!$O$13:$O$32,D!$BQ101)</f>
        <v>0</v>
      </c>
      <c r="BP101" s="1018" t="b">
        <f>OR(Проверки!L21:M21,Проверки!O21,AND(Проверки!N21,Проверки!D21&gt;32))</f>
        <v>0</v>
      </c>
      <c r="BQ101" s="213">
        <f ca="1">Габариты!GJ21</f>
        <v>19</v>
      </c>
      <c r="BR101" s="1015">
        <f ca="1">INDEX(Бланк!$D$13:$D$32,D!$BQ101)</f>
        <v>0</v>
      </c>
      <c r="BS101" s="280">
        <f t="shared" ca="1" si="51"/>
        <v>0</v>
      </c>
      <c r="BT101" s="1018">
        <f t="shared" ca="1" si="52"/>
        <v>0</v>
      </c>
      <c r="BU101" s="1020">
        <f t="shared" ca="1" si="53"/>
        <v>0</v>
      </c>
      <c r="BV101" s="280">
        <f t="shared" ref="BV101:BX101" ca="1" si="58">BS125+BV125</f>
        <v>0</v>
      </c>
      <c r="BW101" s="1018">
        <f t="shared" ca="1" si="58"/>
        <v>0</v>
      </c>
      <c r="BX101" s="1020">
        <f t="shared" ca="1" si="58"/>
        <v>0</v>
      </c>
      <c r="BY101" s="280">
        <f t="shared" ca="1" si="55"/>
        <v>0</v>
      </c>
      <c r="BZ101" s="1018">
        <f t="shared" ca="1" si="56"/>
        <v>0</v>
      </c>
      <c r="CA101" s="1020">
        <f t="shared" ca="1" si="57"/>
        <v>0</v>
      </c>
      <c r="CB101" s="41" t="str">
        <f t="shared" si="34"/>
        <v>NG125463</v>
      </c>
      <c r="CC101" s="213" t="s">
        <v>437</v>
      </c>
      <c r="CD101" s="213">
        <v>4</v>
      </c>
      <c r="CE101" s="214">
        <v>63</v>
      </c>
      <c r="CF101" s="214"/>
      <c r="CG101" s="201" t="s">
        <v>30</v>
      </c>
      <c r="DH101" s="22"/>
      <c r="DI101" s="22"/>
      <c r="DJ101" s="22"/>
      <c r="DK101" s="344"/>
      <c r="DL101" s="375" t="str">
        <f t="shared" si="35"/>
        <v>TN-S210</v>
      </c>
      <c r="DM101" s="376" t="s">
        <v>5</v>
      </c>
      <c r="DN101" s="376">
        <v>2</v>
      </c>
      <c r="DO101" s="376">
        <v>10</v>
      </c>
      <c r="DP101" s="376">
        <v>1</v>
      </c>
      <c r="DQ101" s="377" t="s">
        <v>383</v>
      </c>
      <c r="DR101" s="358"/>
      <c r="DS101" s="358"/>
      <c r="DT101" s="358"/>
      <c r="DU101" s="358"/>
      <c r="DV101" s="358"/>
      <c r="DW101" s="358"/>
      <c r="DX101" s="358"/>
      <c r="DY101" s="358"/>
      <c r="DZ101" s="358"/>
      <c r="EA101" s="358"/>
      <c r="EB101" s="358"/>
      <c r="EC101" s="358"/>
      <c r="ED101" s="358"/>
      <c r="EE101" s="358"/>
      <c r="EF101" s="22"/>
      <c r="EG101" s="22"/>
      <c r="EH101" s="22"/>
      <c r="EI101" s="22"/>
      <c r="EJ101" s="22"/>
      <c r="EK101" s="22"/>
      <c r="EL101" s="22"/>
      <c r="EM101" s="22"/>
      <c r="EN101" s="344"/>
      <c r="EO101" s="344"/>
      <c r="EP101" s="22"/>
      <c r="EQ101" s="22"/>
      <c r="ER101" s="22"/>
      <c r="EU101" s="344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</row>
    <row r="102" spans="27:161" x14ac:dyDescent="0.2">
      <c r="AA102" s="8" t="s">
        <v>123</v>
      </c>
      <c r="AB102" s="437">
        <v>2</v>
      </c>
      <c r="AC102" s="116" t="s">
        <v>330</v>
      </c>
      <c r="AD102" s="117" t="s">
        <v>326</v>
      </c>
      <c r="AE102" s="116" t="s">
        <v>344</v>
      </c>
      <c r="AF102" s="118">
        <v>80</v>
      </c>
      <c r="AG102" s="232" t="s">
        <v>433</v>
      </c>
      <c r="AH102" s="259">
        <v>20</v>
      </c>
      <c r="AI102" s="212"/>
      <c r="AJ102" s="102" t="str">
        <f t="shared" si="32"/>
        <v>iDPN N</v>
      </c>
      <c r="AK102" s="246" t="s">
        <v>543</v>
      </c>
      <c r="AL102" s="244"/>
      <c r="AM102" s="244">
        <v>16</v>
      </c>
      <c r="AN102" s="212"/>
      <c r="AO102" s="102" t="str">
        <f t="shared" si="33"/>
        <v>iC60H63</v>
      </c>
      <c r="AP102" s="222" t="s">
        <v>20</v>
      </c>
      <c r="AQ102" s="222"/>
      <c r="AR102" s="256">
        <v>63</v>
      </c>
      <c r="AS102" s="222" t="s">
        <v>57</v>
      </c>
      <c r="AT102" s="212"/>
      <c r="AZ102" s="32"/>
      <c r="BA102" s="11">
        <f>Бланк!F21*10</f>
        <v>0</v>
      </c>
      <c r="BB102" t="s">
        <v>573</v>
      </c>
      <c r="BC102" s="11">
        <f>0.8*BC104</f>
        <v>200</v>
      </c>
      <c r="BD102" s="231">
        <v>3</v>
      </c>
      <c r="BE102" s="232" t="s">
        <v>354</v>
      </c>
      <c r="BM102" s="296" t="b">
        <f t="shared" ca="1" si="50"/>
        <v>0</v>
      </c>
      <c r="BN102" s="1018">
        <f ca="1">INDEX(Бланк!$C$13:$C$32,D!$BQ102)</f>
        <v>0</v>
      </c>
      <c r="BO102" s="1018">
        <f ca="1">INDEX(Бланк!$O$13:$O$32,D!$BQ102)</f>
        <v>0</v>
      </c>
      <c r="BP102" s="1018" t="b">
        <f>OR(Проверки!L22:M22,Проверки!O22,AND(Проверки!N22,Проверки!D22&gt;32))</f>
        <v>0</v>
      </c>
      <c r="BQ102" s="213">
        <f ca="1">Габариты!GJ22</f>
        <v>20</v>
      </c>
      <c r="BR102" s="1015">
        <f ca="1">INDEX(Бланк!$D$13:$D$32,D!$BQ102)</f>
        <v>0</v>
      </c>
      <c r="BS102" s="280">
        <f t="shared" ca="1" si="51"/>
        <v>0</v>
      </c>
      <c r="BT102" s="1018">
        <f t="shared" ca="1" si="52"/>
        <v>0</v>
      </c>
      <c r="BU102" s="1020">
        <f t="shared" ca="1" si="53"/>
        <v>0</v>
      </c>
      <c r="BV102" s="280">
        <f t="shared" ref="BV102:BX102" ca="1" si="59">BS126+BV126</f>
        <v>0</v>
      </c>
      <c r="BW102" s="1018">
        <f t="shared" ca="1" si="59"/>
        <v>0</v>
      </c>
      <c r="BX102" s="1020">
        <f t="shared" ca="1" si="59"/>
        <v>0</v>
      </c>
      <c r="BY102" s="280">
        <f t="shared" ca="1" si="55"/>
        <v>0</v>
      </c>
      <c r="BZ102" s="1018">
        <f t="shared" ca="1" si="56"/>
        <v>0</v>
      </c>
      <c r="CA102" s="1020">
        <f t="shared" ca="1" si="57"/>
        <v>0</v>
      </c>
      <c r="CB102" s="41" t="str">
        <f t="shared" si="34"/>
        <v>NG125463</v>
      </c>
      <c r="CC102" s="213" t="s">
        <v>437</v>
      </c>
      <c r="CD102" s="213">
        <v>4</v>
      </c>
      <c r="CE102" s="214">
        <v>63</v>
      </c>
      <c r="CF102" s="214"/>
      <c r="CG102" s="201" t="s">
        <v>595</v>
      </c>
      <c r="DH102" s="22"/>
      <c r="DI102" s="22"/>
      <c r="DJ102" s="22"/>
      <c r="DK102" s="344"/>
      <c r="DL102" s="375" t="str">
        <f t="shared" si="35"/>
        <v>TN-S220</v>
      </c>
      <c r="DM102" s="376" t="s">
        <v>5</v>
      </c>
      <c r="DN102" s="376">
        <v>2</v>
      </c>
      <c r="DO102" s="376">
        <v>20</v>
      </c>
      <c r="DP102" s="376">
        <v>1</v>
      </c>
      <c r="DQ102" s="377" t="s">
        <v>384</v>
      </c>
      <c r="DR102" s="358"/>
      <c r="DS102" s="358"/>
      <c r="DT102" s="358"/>
      <c r="DU102" s="358"/>
      <c r="DV102" s="358"/>
      <c r="DW102" s="358"/>
      <c r="DX102" s="358"/>
      <c r="DY102" s="358"/>
      <c r="DZ102" s="358"/>
      <c r="EA102" s="358"/>
      <c r="EB102" s="358"/>
      <c r="EC102" s="358"/>
      <c r="ED102" s="358"/>
      <c r="EE102" s="358"/>
      <c r="EF102" s="22"/>
      <c r="EG102" s="22"/>
      <c r="EH102" s="22"/>
      <c r="EI102" s="22"/>
      <c r="EJ102" s="22"/>
      <c r="EK102" s="22"/>
      <c r="EL102" s="22"/>
      <c r="EM102" s="22"/>
      <c r="EN102" s="344"/>
      <c r="EO102" s="344"/>
      <c r="EP102" s="22"/>
      <c r="EQ102" s="22"/>
      <c r="ER102" s="22"/>
      <c r="EU102" s="344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</row>
    <row r="103" spans="27:161" x14ac:dyDescent="0.2">
      <c r="AA103" s="8" t="s">
        <v>123</v>
      </c>
      <c r="AB103" s="437">
        <v>3</v>
      </c>
      <c r="AC103" s="116" t="s">
        <v>330</v>
      </c>
      <c r="AD103" s="117" t="s">
        <v>139</v>
      </c>
      <c r="AE103" s="116" t="s">
        <v>344</v>
      </c>
      <c r="AF103" s="118">
        <v>100</v>
      </c>
      <c r="AG103" s="232" t="s">
        <v>433</v>
      </c>
      <c r="AH103" s="259">
        <v>25</v>
      </c>
      <c r="AI103" s="212"/>
      <c r="AJ103" s="102" t="str">
        <f t="shared" si="32"/>
        <v>iDPN N</v>
      </c>
      <c r="AK103" s="246" t="s">
        <v>543</v>
      </c>
      <c r="AL103" s="244"/>
      <c r="AM103" s="244">
        <v>20</v>
      </c>
      <c r="AN103" s="212"/>
      <c r="AO103" s="102" t="str">
        <f t="shared" si="33"/>
        <v>iC60H63</v>
      </c>
      <c r="AP103" s="222" t="s">
        <v>20</v>
      </c>
      <c r="AQ103" s="222"/>
      <c r="AR103" s="256">
        <v>63</v>
      </c>
      <c r="AS103" s="222" t="s">
        <v>58</v>
      </c>
      <c r="AT103" s="212"/>
      <c r="AZ103" s="1430" t="s">
        <v>94</v>
      </c>
      <c r="BA103" s="1431"/>
      <c r="BB103" t="s">
        <v>573</v>
      </c>
      <c r="BC103" s="11">
        <f>0.9*BC104</f>
        <v>225</v>
      </c>
      <c r="BD103" s="231">
        <v>3</v>
      </c>
      <c r="BE103" s="232" t="s">
        <v>351</v>
      </c>
      <c r="BM103" s="296" t="b">
        <f t="shared" ca="1" si="50"/>
        <v>1</v>
      </c>
      <c r="BN103" s="1018" t="str">
        <f ca="1">INDEX(Бланк!$C$13:$C$32,D!$BQ103)</f>
        <v>1 (пофазно)</v>
      </c>
      <c r="BO103" s="1018">
        <f ca="1">INDEX(Бланк!$O$13:$O$32,D!$BQ103)</f>
        <v>3</v>
      </c>
      <c r="BP103" s="1018" t="b">
        <f>OR(Проверки!L23:M23,Проверки!O23,AND(Проверки!N23,Проверки!D23&gt;32))</f>
        <v>0</v>
      </c>
      <c r="BQ103" s="213">
        <f ca="1">Габариты!GJ23</f>
        <v>1</v>
      </c>
      <c r="BR103" s="1015">
        <f ca="1">INDEX(Бланк!$D$13:$D$32,D!$BQ103)</f>
        <v>40</v>
      </c>
      <c r="BS103" s="280">
        <f t="shared" ca="1" si="51"/>
        <v>0</v>
      </c>
      <c r="BT103" s="1018">
        <f t="shared" ca="1" si="52"/>
        <v>0</v>
      </c>
      <c r="BU103" s="1020">
        <f t="shared" ca="1" si="53"/>
        <v>0</v>
      </c>
      <c r="BV103" s="280">
        <f t="shared" ref="BV103:BX103" ca="1" si="60">BS127+BV127</f>
        <v>1</v>
      </c>
      <c r="BW103" s="1018">
        <f t="shared" ca="1" si="60"/>
        <v>1</v>
      </c>
      <c r="BX103" s="1020">
        <f t="shared" ca="1" si="60"/>
        <v>1</v>
      </c>
      <c r="BY103" s="280">
        <f t="shared" ca="1" si="55"/>
        <v>1</v>
      </c>
      <c r="BZ103" s="1018">
        <f t="shared" ca="1" si="56"/>
        <v>1</v>
      </c>
      <c r="CA103" s="1020">
        <f t="shared" ca="1" si="57"/>
        <v>1</v>
      </c>
      <c r="CB103" s="41" t="str">
        <f t="shared" si="34"/>
        <v>NG125463</v>
      </c>
      <c r="CC103" s="213" t="s">
        <v>437</v>
      </c>
      <c r="CD103" s="213">
        <v>4</v>
      </c>
      <c r="CE103" s="214">
        <v>63</v>
      </c>
      <c r="CF103" s="214"/>
      <c r="CG103" s="201" t="s">
        <v>597</v>
      </c>
      <c r="DH103" s="22"/>
      <c r="DI103" s="22"/>
      <c r="DJ103" s="22"/>
      <c r="DK103" s="344"/>
      <c r="DL103" s="375" t="str">
        <f t="shared" si="35"/>
        <v>TN-S225</v>
      </c>
      <c r="DM103" s="376" t="s">
        <v>5</v>
      </c>
      <c r="DN103" s="376">
        <v>2</v>
      </c>
      <c r="DO103" s="376">
        <v>25</v>
      </c>
      <c r="DP103" s="376">
        <v>1</v>
      </c>
      <c r="DQ103" s="377" t="s">
        <v>385</v>
      </c>
      <c r="DR103" s="358"/>
      <c r="DS103" s="358"/>
      <c r="DT103" s="358"/>
      <c r="DU103" s="358"/>
      <c r="DV103" s="358"/>
      <c r="DW103" s="358"/>
      <c r="DX103" s="358"/>
      <c r="DY103" s="358"/>
      <c r="DZ103" s="358"/>
      <c r="EA103" s="358"/>
      <c r="EB103" s="358"/>
      <c r="EC103" s="358"/>
      <c r="ED103" s="358"/>
      <c r="EE103" s="358"/>
      <c r="EF103" s="22"/>
      <c r="EG103" s="22"/>
      <c r="EH103" s="22"/>
      <c r="EI103" s="22"/>
      <c r="EJ103" s="22"/>
      <c r="EK103" s="22"/>
      <c r="EL103" s="22"/>
      <c r="EM103" s="22"/>
      <c r="EN103" s="344"/>
      <c r="EO103" s="344"/>
      <c r="EP103" s="22"/>
      <c r="EQ103" s="22"/>
      <c r="ER103" s="22"/>
      <c r="EU103" s="344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</row>
    <row r="104" spans="27:161" x14ac:dyDescent="0.2">
      <c r="AA104" s="8" t="s">
        <v>123</v>
      </c>
      <c r="AB104" s="437">
        <v>4</v>
      </c>
      <c r="AC104" s="116" t="s">
        <v>330</v>
      </c>
      <c r="AD104" s="117" t="s">
        <v>140</v>
      </c>
      <c r="AE104" s="116" t="s">
        <v>344</v>
      </c>
      <c r="AF104" s="118">
        <v>125</v>
      </c>
      <c r="AG104" s="232" t="s">
        <v>433</v>
      </c>
      <c r="AH104" s="259">
        <v>32</v>
      </c>
      <c r="AI104" s="212"/>
      <c r="AJ104" s="102" t="str">
        <f t="shared" si="32"/>
        <v>iDPN N</v>
      </c>
      <c r="AK104" s="246" t="s">
        <v>543</v>
      </c>
      <c r="AL104" s="244"/>
      <c r="AM104" s="244">
        <v>25</v>
      </c>
      <c r="AN104" s="212"/>
      <c r="AO104" s="102" t="str">
        <f t="shared" si="33"/>
        <v>iC60H63</v>
      </c>
      <c r="AP104" s="222" t="s">
        <v>20</v>
      </c>
      <c r="AQ104" s="222"/>
      <c r="AR104" s="256">
        <v>63</v>
      </c>
      <c r="AS104" s="222" t="s">
        <v>59</v>
      </c>
      <c r="AT104" s="212"/>
      <c r="AZ104" s="32">
        <f>Бланк!D22*5</f>
        <v>0</v>
      </c>
      <c r="BA104" s="11">
        <f>Бланк!F22*1.5</f>
        <v>0</v>
      </c>
      <c r="BB104" t="s">
        <v>573</v>
      </c>
      <c r="BC104" s="11">
        <v>250</v>
      </c>
      <c r="BD104" s="231">
        <v>3</v>
      </c>
      <c r="BE104" s="232" t="s">
        <v>355</v>
      </c>
      <c r="BM104" s="296" t="b">
        <f t="shared" ca="1" si="50"/>
        <v>1</v>
      </c>
      <c r="BN104" s="1018" t="str">
        <f ca="1">INDEX(Бланк!$C$13:$C$32,D!$BQ104)</f>
        <v>1 (пофазно)</v>
      </c>
      <c r="BO104" s="1018">
        <f ca="1">INDEX(Бланк!$O$13:$O$32,D!$BQ104)</f>
        <v>9</v>
      </c>
      <c r="BP104" s="1018" t="b">
        <f>OR(Проверки!L24:M24,Проверки!O24,AND(Проверки!N24,Проверки!D24&gt;32))</f>
        <v>0</v>
      </c>
      <c r="BQ104" s="213">
        <f ca="1">Габариты!GJ24</f>
        <v>2</v>
      </c>
      <c r="BR104" s="1015">
        <f ca="1">INDEX(Бланк!$D$13:$D$32,D!$BQ104)</f>
        <v>16</v>
      </c>
      <c r="BS104" s="280">
        <f t="shared" ca="1" si="51"/>
        <v>0</v>
      </c>
      <c r="BT104" s="1018">
        <f t="shared" ca="1" si="52"/>
        <v>0</v>
      </c>
      <c r="BU104" s="1020">
        <f t="shared" ca="1" si="53"/>
        <v>0</v>
      </c>
      <c r="BV104" s="280">
        <f t="shared" ref="BV104:BX104" ca="1" si="61">BS128+BV128</f>
        <v>3</v>
      </c>
      <c r="BW104" s="1018">
        <f t="shared" ca="1" si="61"/>
        <v>3</v>
      </c>
      <c r="BX104" s="1020">
        <f t="shared" ca="1" si="61"/>
        <v>3</v>
      </c>
      <c r="BY104" s="280">
        <f t="shared" ca="1" si="55"/>
        <v>3</v>
      </c>
      <c r="BZ104" s="1018">
        <f t="shared" ca="1" si="56"/>
        <v>3</v>
      </c>
      <c r="CA104" s="1020">
        <f t="shared" ca="1" si="57"/>
        <v>3</v>
      </c>
      <c r="CB104" s="41" t="str">
        <f t="shared" si="34"/>
        <v>NG125463</v>
      </c>
      <c r="CC104" s="213" t="s">
        <v>437</v>
      </c>
      <c r="CD104" s="213">
        <v>4</v>
      </c>
      <c r="CE104" s="214">
        <v>63</v>
      </c>
      <c r="CF104" s="214"/>
      <c r="CG104" s="201" t="s">
        <v>600</v>
      </c>
      <c r="DH104" s="22"/>
      <c r="DI104" s="22"/>
      <c r="DJ104" s="22"/>
      <c r="DK104" s="344"/>
      <c r="DL104" s="375" t="str">
        <f t="shared" si="35"/>
        <v>TN-S232</v>
      </c>
      <c r="DM104" s="376" t="s">
        <v>5</v>
      </c>
      <c r="DN104" s="376">
        <v>2</v>
      </c>
      <c r="DO104" s="376">
        <v>32</v>
      </c>
      <c r="DP104" s="376">
        <v>1</v>
      </c>
      <c r="DQ104" s="377" t="s">
        <v>386</v>
      </c>
      <c r="DR104" s="358"/>
      <c r="DS104" s="358"/>
      <c r="DT104" s="358"/>
      <c r="DU104" s="358"/>
      <c r="DV104" s="358"/>
      <c r="DW104" s="358"/>
      <c r="DX104" s="358"/>
      <c r="DY104" s="358"/>
      <c r="DZ104" s="358"/>
      <c r="EA104" s="358"/>
      <c r="EB104" s="358"/>
      <c r="EC104" s="358"/>
      <c r="ED104" s="358"/>
      <c r="EE104" s="358"/>
      <c r="EF104" s="22"/>
      <c r="EG104" s="22"/>
      <c r="EH104" s="22"/>
      <c r="EI104" s="22"/>
      <c r="EJ104" s="22"/>
      <c r="EK104" s="22"/>
      <c r="EL104" s="22"/>
      <c r="EM104" s="22"/>
      <c r="EN104" s="344"/>
      <c r="EO104" s="344"/>
      <c r="EP104" s="22"/>
      <c r="EQ104" s="22"/>
      <c r="ER104" s="22"/>
      <c r="EU104" s="344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</row>
    <row r="105" spans="27:161" ht="13.5" thickBot="1" x14ac:dyDescent="0.25">
      <c r="AA105" s="8" t="s">
        <v>124</v>
      </c>
      <c r="AB105" s="437">
        <v>1</v>
      </c>
      <c r="AC105" s="116" t="s">
        <v>330</v>
      </c>
      <c r="AD105" s="117" t="s">
        <v>141</v>
      </c>
      <c r="AE105" s="116" t="s">
        <v>327</v>
      </c>
      <c r="AF105" s="118">
        <v>63</v>
      </c>
      <c r="AG105" s="232" t="s">
        <v>344</v>
      </c>
      <c r="AH105" s="259">
        <v>63</v>
      </c>
      <c r="AI105" s="102"/>
      <c r="AJ105" s="102" t="str">
        <f t="shared" si="32"/>
        <v>iDPN N</v>
      </c>
      <c r="AK105" s="246" t="s">
        <v>543</v>
      </c>
      <c r="AL105" s="244"/>
      <c r="AM105" s="244">
        <v>32</v>
      </c>
      <c r="AN105" s="102"/>
      <c r="AO105" s="102" t="str">
        <f t="shared" si="33"/>
        <v>iC60L0,5</v>
      </c>
      <c r="AP105" s="222" t="s">
        <v>21</v>
      </c>
      <c r="AQ105" s="221"/>
      <c r="AR105" s="256">
        <v>0.5</v>
      </c>
      <c r="AS105" s="222" t="s">
        <v>57</v>
      </c>
      <c r="AT105" s="102"/>
      <c r="AZ105" s="32">
        <f>Бланк!D22*6</f>
        <v>0</v>
      </c>
      <c r="BA105" s="11">
        <f>Бланк!F22*2</f>
        <v>0</v>
      </c>
      <c r="BB105" s="9" t="s">
        <v>71</v>
      </c>
      <c r="BC105" s="11">
        <f>0.9*BC113</f>
        <v>16.2</v>
      </c>
      <c r="BD105" s="231">
        <v>3</v>
      </c>
      <c r="BE105" s="232" t="s">
        <v>352</v>
      </c>
      <c r="BL105" s="18"/>
      <c r="BS105" s="845">
        <f ca="1">SUMPRODUCT($BR$85:$BR$104,BS$85:BS$104)</f>
        <v>0</v>
      </c>
      <c r="BT105" s="846">
        <f t="shared" ref="BT105:BU105" ca="1" si="62">SUMPRODUCT($BR$85:$BR$104,BT$85:BT$104)</f>
        <v>0</v>
      </c>
      <c r="BU105" s="847">
        <f t="shared" ca="1" si="62"/>
        <v>0</v>
      </c>
      <c r="BV105" s="845">
        <f ca="1">SUMPRODUCT($BR$85:$BR$104,BV$85:BV$104)</f>
        <v>88</v>
      </c>
      <c r="BW105" s="846">
        <f t="shared" ref="BW105:CA105" ca="1" si="63">SUMPRODUCT($BR$85:$BR$104,BW$85:BW$104)</f>
        <v>88</v>
      </c>
      <c r="BX105" s="847">
        <f t="shared" ca="1" si="63"/>
        <v>88</v>
      </c>
      <c r="BY105" s="845">
        <f t="shared" ca="1" si="63"/>
        <v>88</v>
      </c>
      <c r="BZ105" s="846">
        <f t="shared" ca="1" si="63"/>
        <v>88</v>
      </c>
      <c r="CA105" s="847">
        <f t="shared" ca="1" si="63"/>
        <v>88</v>
      </c>
      <c r="CB105" s="41" t="str">
        <f t="shared" si="34"/>
        <v>NG125463</v>
      </c>
      <c r="CC105" s="213" t="s">
        <v>437</v>
      </c>
      <c r="CD105" s="213">
        <v>4</v>
      </c>
      <c r="CE105" s="214">
        <v>63</v>
      </c>
      <c r="CF105" s="214"/>
      <c r="CG105" s="201" t="s">
        <v>602</v>
      </c>
      <c r="DH105" s="22"/>
      <c r="DI105" s="22"/>
      <c r="DJ105" s="22"/>
      <c r="DK105" s="344"/>
      <c r="DL105" s="375" t="str">
        <f t="shared" si="35"/>
        <v>TN-S250</v>
      </c>
      <c r="DM105" s="376" t="s">
        <v>5</v>
      </c>
      <c r="DN105" s="376">
        <v>2</v>
      </c>
      <c r="DO105" s="376">
        <v>50</v>
      </c>
      <c r="DP105" s="376">
        <v>1</v>
      </c>
      <c r="DQ105" s="377" t="s">
        <v>387</v>
      </c>
      <c r="DR105" s="358"/>
      <c r="DS105" s="358"/>
      <c r="DT105" s="358"/>
      <c r="DU105" s="358"/>
      <c r="DV105" s="358"/>
      <c r="DW105" s="358"/>
      <c r="DX105" s="358"/>
      <c r="DY105" s="358"/>
      <c r="DZ105" s="358"/>
      <c r="EA105" s="358"/>
      <c r="EB105" s="358"/>
      <c r="EC105" s="358"/>
      <c r="ED105" s="358"/>
      <c r="EE105" s="358"/>
      <c r="EF105" s="22"/>
      <c r="EG105" s="22"/>
      <c r="EH105" s="22"/>
      <c r="EI105" s="22"/>
      <c r="EJ105" s="22"/>
      <c r="EK105" s="22"/>
      <c r="EL105" s="22"/>
      <c r="EM105" s="22"/>
      <c r="EN105" s="344"/>
      <c r="EO105" s="344"/>
      <c r="EP105" s="22"/>
      <c r="EQ105" s="22"/>
      <c r="ER105" s="22"/>
      <c r="EU105" s="344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</row>
    <row r="106" spans="27:161" ht="13.5" thickBot="1" x14ac:dyDescent="0.25">
      <c r="AA106" s="8" t="s">
        <v>124</v>
      </c>
      <c r="AB106" s="437">
        <v>2</v>
      </c>
      <c r="AC106" s="116" t="s">
        <v>330</v>
      </c>
      <c r="AD106" s="117" t="s">
        <v>312</v>
      </c>
      <c r="AE106" s="116" t="s">
        <v>327</v>
      </c>
      <c r="AF106" s="118">
        <v>80</v>
      </c>
      <c r="AG106" s="232" t="s">
        <v>344</v>
      </c>
      <c r="AH106" s="259">
        <v>80</v>
      </c>
      <c r="AI106" s="102"/>
      <c r="AJ106" s="102" t="str">
        <f t="shared" si="32"/>
        <v>iDPN N</v>
      </c>
      <c r="AK106" s="247" t="s">
        <v>543</v>
      </c>
      <c r="AL106" s="245"/>
      <c r="AM106" s="245">
        <v>40</v>
      </c>
      <c r="AN106" s="102"/>
      <c r="AO106" s="102" t="str">
        <f t="shared" si="33"/>
        <v>iC60L0,5</v>
      </c>
      <c r="AP106" s="222" t="s">
        <v>21</v>
      </c>
      <c r="AQ106" s="221"/>
      <c r="AR106" s="256">
        <v>0.5</v>
      </c>
      <c r="AS106" s="222" t="s">
        <v>58</v>
      </c>
      <c r="AT106" s="102"/>
      <c r="AZ106" s="32">
        <f>Бланк!D22*7</f>
        <v>0</v>
      </c>
      <c r="BA106" s="11">
        <f>Бланк!F22*3</f>
        <v>0</v>
      </c>
      <c r="BB106" s="9" t="s">
        <v>71</v>
      </c>
      <c r="BC106" s="11">
        <f>0.92*BC113</f>
        <v>16.560000000000002</v>
      </c>
      <c r="BD106" s="231">
        <v>4</v>
      </c>
      <c r="BE106" s="233" t="s">
        <v>30</v>
      </c>
      <c r="CB106" s="41" t="str">
        <f t="shared" si="34"/>
        <v>NG125463</v>
      </c>
      <c r="CC106" s="213" t="s">
        <v>437</v>
      </c>
      <c r="CD106" s="213">
        <v>4</v>
      </c>
      <c r="CE106" s="214">
        <v>63</v>
      </c>
      <c r="CF106" s="214"/>
      <c r="CG106" s="201" t="s">
        <v>604</v>
      </c>
      <c r="CH106" s="18"/>
      <c r="CI106" s="18"/>
      <c r="CJ106" s="18"/>
      <c r="CK106" s="18"/>
      <c r="CL106" s="18"/>
      <c r="CM106" s="18"/>
      <c r="CN106" s="18"/>
      <c r="DH106" s="22"/>
      <c r="DI106" s="22"/>
      <c r="DJ106" s="22"/>
      <c r="DK106" s="344"/>
      <c r="DL106" s="375" t="str">
        <f t="shared" si="35"/>
        <v>TN-S263</v>
      </c>
      <c r="DM106" s="376" t="s">
        <v>5</v>
      </c>
      <c r="DN106" s="376">
        <v>2</v>
      </c>
      <c r="DO106" s="376">
        <v>63</v>
      </c>
      <c r="DP106" s="376">
        <v>1</v>
      </c>
      <c r="DQ106" s="377" t="s">
        <v>388</v>
      </c>
      <c r="DR106" s="358"/>
      <c r="DS106" s="358"/>
      <c r="DT106" s="358"/>
      <c r="DU106" s="358"/>
      <c r="DV106" s="358"/>
      <c r="DW106" s="358"/>
      <c r="DX106" s="358"/>
      <c r="DY106" s="358"/>
      <c r="DZ106" s="358"/>
      <c r="EA106" s="358"/>
      <c r="EB106" s="358"/>
      <c r="EC106" s="358"/>
      <c r="ED106" s="358"/>
      <c r="EE106" s="358"/>
      <c r="EF106" s="22"/>
      <c r="EG106" s="22"/>
      <c r="EH106" s="22"/>
      <c r="EI106" s="22"/>
      <c r="EJ106" s="22"/>
      <c r="EK106" s="22"/>
      <c r="EL106" s="22"/>
      <c r="EM106" s="22"/>
      <c r="EN106" s="344"/>
      <c r="EO106" s="344"/>
      <c r="EP106" s="22"/>
      <c r="EQ106" s="22"/>
      <c r="ER106" s="22"/>
      <c r="EU106" s="344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</row>
    <row r="107" spans="27:161" ht="14.25" thickTop="1" thickBot="1" x14ac:dyDescent="0.25">
      <c r="AA107" s="8" t="s">
        <v>124</v>
      </c>
      <c r="AB107" s="437">
        <v>3</v>
      </c>
      <c r="AC107" s="116" t="s">
        <v>330</v>
      </c>
      <c r="AD107" s="117">
        <v>3</v>
      </c>
      <c r="AE107" s="116" t="s">
        <v>327</v>
      </c>
      <c r="AF107" s="118">
        <v>100</v>
      </c>
      <c r="AG107" s="232" t="s">
        <v>344</v>
      </c>
      <c r="AH107" s="259">
        <v>100</v>
      </c>
      <c r="AI107" s="102"/>
      <c r="AJ107" s="102" t="str">
        <f t="shared" si="32"/>
        <v>iDPN H</v>
      </c>
      <c r="AK107" s="248" t="s">
        <v>542</v>
      </c>
      <c r="AL107" s="190"/>
      <c r="AM107" s="243">
        <v>6</v>
      </c>
      <c r="AN107" s="102"/>
      <c r="AO107" s="102" t="str">
        <f t="shared" si="33"/>
        <v>iC60L0,5</v>
      </c>
      <c r="AP107" s="222" t="s">
        <v>21</v>
      </c>
      <c r="AQ107" s="221"/>
      <c r="AR107" s="256">
        <v>0.5</v>
      </c>
      <c r="AS107" s="222" t="s">
        <v>307</v>
      </c>
      <c r="AT107" s="102"/>
      <c r="AZ107" s="32">
        <f>Бланк!D22*8</f>
        <v>0</v>
      </c>
      <c r="BA107" s="11">
        <f>Бланк!F22*4</f>
        <v>0</v>
      </c>
      <c r="BB107" s="9" t="s">
        <v>71</v>
      </c>
      <c r="BC107" s="11">
        <f>0.93*BC113</f>
        <v>16.740000000000002</v>
      </c>
      <c r="BD107" s="231">
        <v>4</v>
      </c>
      <c r="BE107" s="232" t="s">
        <v>853</v>
      </c>
      <c r="BL107" s="37"/>
      <c r="BO107" s="831"/>
      <c r="BP107" s="1414" t="s">
        <v>1052</v>
      </c>
      <c r="BQ107" s="1415"/>
      <c r="BR107" s="1416"/>
      <c r="BS107" s="1414" t="s">
        <v>1013</v>
      </c>
      <c r="BT107" s="1415"/>
      <c r="BU107" s="1416"/>
      <c r="BV107" s="1414" t="s">
        <v>456</v>
      </c>
      <c r="BW107" s="1415"/>
      <c r="BX107" s="1416"/>
      <c r="CB107" s="41" t="str">
        <f t="shared" si="34"/>
        <v>NG1253125</v>
      </c>
      <c r="CC107" s="213" t="s">
        <v>437</v>
      </c>
      <c r="CD107" s="213">
        <v>3</v>
      </c>
      <c r="CE107" s="214">
        <v>125</v>
      </c>
      <c r="CF107" s="214"/>
      <c r="CG107" s="201" t="s">
        <v>30</v>
      </c>
      <c r="DH107" s="22"/>
      <c r="DI107" s="22"/>
      <c r="DJ107" s="22"/>
      <c r="DK107" s="344"/>
      <c r="DL107" s="375" t="str">
        <f t="shared" si="35"/>
        <v>TN-S280</v>
      </c>
      <c r="DM107" s="376" t="s">
        <v>5</v>
      </c>
      <c r="DN107" s="376">
        <v>2</v>
      </c>
      <c r="DO107" s="376">
        <v>80</v>
      </c>
      <c r="DP107" s="376">
        <v>1</v>
      </c>
      <c r="DQ107" s="377" t="s">
        <v>389</v>
      </c>
      <c r="DR107" s="358"/>
      <c r="DS107" s="358"/>
      <c r="DT107" s="358"/>
      <c r="DU107" s="358"/>
      <c r="DV107" s="358"/>
      <c r="DW107" s="358"/>
      <c r="DX107" s="358"/>
      <c r="DY107" s="358"/>
      <c r="DZ107" s="358"/>
      <c r="EA107" s="358"/>
      <c r="EB107" s="358"/>
      <c r="EC107" s="358"/>
      <c r="ED107" s="358"/>
      <c r="EE107" s="358"/>
      <c r="EF107" s="22"/>
      <c r="EG107" s="22"/>
      <c r="EH107" s="22"/>
      <c r="EI107" s="22"/>
      <c r="EJ107" s="22"/>
      <c r="EK107" s="22"/>
      <c r="EL107" s="22"/>
      <c r="EM107" s="22"/>
      <c r="EN107" s="344"/>
      <c r="EO107" s="344"/>
      <c r="EP107" s="22"/>
      <c r="EQ107" s="22"/>
      <c r="ER107" s="22"/>
      <c r="EU107" s="344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</row>
    <row r="108" spans="27:161" ht="13.5" thickBot="1" x14ac:dyDescent="0.25">
      <c r="AA108" s="8" t="s">
        <v>124</v>
      </c>
      <c r="AB108" s="437">
        <v>4</v>
      </c>
      <c r="AC108" s="116" t="s">
        <v>330</v>
      </c>
      <c r="AD108" s="117">
        <v>4</v>
      </c>
      <c r="AE108" s="116" t="s">
        <v>327</v>
      </c>
      <c r="AF108" s="118">
        <v>125</v>
      </c>
      <c r="AG108" s="232" t="s">
        <v>344</v>
      </c>
      <c r="AH108" s="259">
        <v>125</v>
      </c>
      <c r="AI108" s="102"/>
      <c r="AJ108" s="102" t="str">
        <f t="shared" si="32"/>
        <v>iDPN H</v>
      </c>
      <c r="AK108" s="246" t="s">
        <v>542</v>
      </c>
      <c r="AL108" s="201"/>
      <c r="AM108" s="244">
        <v>10</v>
      </c>
      <c r="AN108" s="102"/>
      <c r="AO108" s="102" t="str">
        <f t="shared" si="33"/>
        <v>iC60L0,5</v>
      </c>
      <c r="AP108" s="222" t="s">
        <v>21</v>
      </c>
      <c r="AQ108" s="221"/>
      <c r="AR108" s="256">
        <v>0.5</v>
      </c>
      <c r="AS108" s="222" t="s">
        <v>308</v>
      </c>
      <c r="AT108" s="102"/>
      <c r="AZ108" s="32">
        <f>Бланк!D22*9</f>
        <v>0</v>
      </c>
      <c r="BA108" s="11">
        <f>Бланк!F22*5</f>
        <v>0</v>
      </c>
      <c r="BB108" s="9" t="s">
        <v>71</v>
      </c>
      <c r="BC108" s="11">
        <f>0.94*BC113</f>
        <v>16.919999999999998</v>
      </c>
      <c r="BD108" s="231">
        <v>4</v>
      </c>
      <c r="BE108" s="232" t="s">
        <v>854</v>
      </c>
      <c r="BO108" s="831"/>
      <c r="BP108" s="859" t="s">
        <v>1030</v>
      </c>
      <c r="BQ108" s="860" t="s">
        <v>1004</v>
      </c>
      <c r="BR108" s="861" t="s">
        <v>1003</v>
      </c>
      <c r="BS108" s="867" t="s">
        <v>1030</v>
      </c>
      <c r="BT108" s="868" t="s">
        <v>1004</v>
      </c>
      <c r="BU108" s="869" t="s">
        <v>1003</v>
      </c>
      <c r="BV108" s="862" t="s">
        <v>1030</v>
      </c>
      <c r="BW108" s="863" t="s">
        <v>1004</v>
      </c>
      <c r="BX108" s="864" t="s">
        <v>1003</v>
      </c>
      <c r="CB108" s="41" t="str">
        <f t="shared" si="34"/>
        <v>NG1253125</v>
      </c>
      <c r="CC108" s="213" t="s">
        <v>437</v>
      </c>
      <c r="CD108" s="213">
        <v>3</v>
      </c>
      <c r="CE108" s="214">
        <v>125</v>
      </c>
      <c r="CF108" s="214"/>
      <c r="CG108" s="201" t="s">
        <v>600</v>
      </c>
      <c r="DH108" s="22"/>
      <c r="DI108" s="22"/>
      <c r="DJ108" s="22"/>
      <c r="DK108" s="344"/>
      <c r="DL108" s="375" t="str">
        <f t="shared" si="35"/>
        <v>TN-S2100</v>
      </c>
      <c r="DM108" s="376" t="s">
        <v>5</v>
      </c>
      <c r="DN108" s="376">
        <v>2</v>
      </c>
      <c r="DO108" s="376">
        <v>100</v>
      </c>
      <c r="DP108" s="376">
        <v>1</v>
      </c>
      <c r="DQ108" s="377" t="s">
        <v>390</v>
      </c>
      <c r="DR108" s="358"/>
      <c r="DS108" s="358"/>
      <c r="DT108" s="358"/>
      <c r="DU108" s="358"/>
      <c r="DV108" s="358"/>
      <c r="DW108" s="358"/>
      <c r="DX108" s="358"/>
      <c r="DY108" s="358"/>
      <c r="DZ108" s="358"/>
      <c r="EA108" s="358"/>
      <c r="EB108" s="358"/>
      <c r="EC108" s="358"/>
      <c r="ED108" s="358"/>
      <c r="EE108" s="358"/>
      <c r="EF108" s="22"/>
      <c r="EG108" s="22"/>
      <c r="EH108" s="22"/>
      <c r="EI108" s="22"/>
      <c r="EJ108" s="22"/>
      <c r="EK108" s="22"/>
      <c r="EL108" s="22"/>
      <c r="EM108" s="22"/>
      <c r="EN108" s="344"/>
      <c r="EO108" s="344"/>
      <c r="EP108" s="22"/>
      <c r="EQ108" s="22"/>
      <c r="ER108" s="22"/>
      <c r="EU108" s="344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</row>
    <row r="109" spans="27:161" x14ac:dyDescent="0.2">
      <c r="AA109" s="8" t="s">
        <v>125</v>
      </c>
      <c r="AB109" s="437">
        <v>1</v>
      </c>
      <c r="AC109" s="8" t="s">
        <v>22</v>
      </c>
      <c r="AD109" s="11">
        <v>3</v>
      </c>
      <c r="AE109" s="116" t="s">
        <v>328</v>
      </c>
      <c r="AF109" s="118">
        <v>63</v>
      </c>
      <c r="AG109" s="232" t="s">
        <v>327</v>
      </c>
      <c r="AH109" s="259">
        <v>63</v>
      </c>
      <c r="AI109" s="102"/>
      <c r="AJ109" s="102" t="str">
        <f t="shared" si="32"/>
        <v>iDPN H</v>
      </c>
      <c r="AK109" s="246" t="s">
        <v>542</v>
      </c>
      <c r="AL109" s="201"/>
      <c r="AM109" s="244">
        <v>16</v>
      </c>
      <c r="AN109" s="102"/>
      <c r="AO109" s="102" t="str">
        <f t="shared" si="33"/>
        <v>iC60L1</v>
      </c>
      <c r="AP109" s="222" t="s">
        <v>21</v>
      </c>
      <c r="AQ109" s="221"/>
      <c r="AR109" s="256">
        <v>1</v>
      </c>
      <c r="AS109" s="222" t="s">
        <v>57</v>
      </c>
      <c r="AT109" s="102"/>
      <c r="AZ109" s="32">
        <f>Бланк!D22*10</f>
        <v>0</v>
      </c>
      <c r="BA109" s="11">
        <f>Бланк!F22*6</f>
        <v>0</v>
      </c>
      <c r="BB109" s="9" t="s">
        <v>71</v>
      </c>
      <c r="BC109" s="11">
        <f>0.95*BC113</f>
        <v>17.099999999999998</v>
      </c>
      <c r="BD109" s="231">
        <v>4</v>
      </c>
      <c r="BE109" s="232" t="s">
        <v>855</v>
      </c>
      <c r="BO109" s="221" t="s">
        <v>85</v>
      </c>
      <c r="BP109" s="832">
        <f ca="1">SUMPRODUCT($BR$85:$BR$99,BS$85:BS$99)</f>
        <v>0</v>
      </c>
      <c r="BQ109" s="832">
        <f ca="1">SUMPRODUCT($BR$85:$BR$99,BT$85:BT$99)</f>
        <v>0</v>
      </c>
      <c r="BR109" s="833">
        <f ca="1">SUMPRODUCT($BR$85:$BR$99,BU$85:BU$99)</f>
        <v>0</v>
      </c>
      <c r="BS109" s="865">
        <f t="shared" ref="BS109:BS125" ca="1" si="64">IF($BM85,ROUNDDOWN((MAX($BP109:$BR109)-BP109)/$BR85,0),0)</f>
        <v>0</v>
      </c>
      <c r="BT109" s="865">
        <f t="shared" ref="BT109:BT125" ca="1" si="65">IF($BM85,ROUNDDOWN((MAX($BP109:$BR109)-BQ109)/$BR85,0),0)</f>
        <v>0</v>
      </c>
      <c r="BU109" s="866">
        <f t="shared" ref="BU109:BU125" ca="1" si="66">IF($BM85,ROUNDDOWN((MAX($BP109:$BR109)-BR109)/$BR85,0),0)</f>
        <v>0</v>
      </c>
      <c r="BV109" s="821">
        <f t="shared" ref="BV109:BV124" ca="1" si="67">ROUNDDOWN($BZ133/3,0)+BP133</f>
        <v>0</v>
      </c>
      <c r="BW109" s="822">
        <f t="shared" ref="BW109:BW124" ca="1" si="68">ROUNDDOWN($BZ133/3,0)+BQ133</f>
        <v>0</v>
      </c>
      <c r="BX109" s="823">
        <f t="shared" ref="BX109:BX124" ca="1" si="69">ROUNDDOWN($BZ133/3,0)+BR133</f>
        <v>0</v>
      </c>
      <c r="CB109" s="41" t="str">
        <f t="shared" si="34"/>
        <v>NG1253125</v>
      </c>
      <c r="CC109" s="213" t="s">
        <v>437</v>
      </c>
      <c r="CD109" s="213">
        <v>3</v>
      </c>
      <c r="CE109" s="214">
        <v>125</v>
      </c>
      <c r="CF109" s="214"/>
      <c r="CG109" s="201" t="s">
        <v>604</v>
      </c>
      <c r="DH109" s="22"/>
      <c r="DI109" s="22"/>
      <c r="DJ109" s="22"/>
      <c r="DK109" s="344"/>
      <c r="DL109" s="375" t="str">
        <f t="shared" si="35"/>
        <v>TN-S2125</v>
      </c>
      <c r="DM109" s="376" t="s">
        <v>5</v>
      </c>
      <c r="DN109" s="376">
        <v>2</v>
      </c>
      <c r="DO109" s="376">
        <v>125</v>
      </c>
      <c r="DP109" s="376">
        <v>1</v>
      </c>
      <c r="DQ109" s="377" t="s">
        <v>391</v>
      </c>
      <c r="DR109" s="358"/>
      <c r="DS109" s="358"/>
      <c r="DT109" s="358"/>
      <c r="DU109" s="358"/>
      <c r="DV109" s="358"/>
      <c r="DW109" s="358"/>
      <c r="DX109" s="358"/>
      <c r="DY109" s="358"/>
      <c r="DZ109" s="358"/>
      <c r="EA109" s="358"/>
      <c r="EB109" s="358"/>
      <c r="EC109" s="358"/>
      <c r="ED109" s="358"/>
      <c r="EE109" s="358"/>
      <c r="EF109" s="22"/>
      <c r="EG109" s="22"/>
      <c r="EH109" s="22"/>
      <c r="EI109" s="22"/>
      <c r="EJ109" s="22"/>
      <c r="EK109" s="22"/>
      <c r="EL109" s="22"/>
      <c r="EM109" s="22"/>
      <c r="EN109" s="344"/>
      <c r="EO109" s="344"/>
      <c r="EP109" s="22"/>
      <c r="EQ109" s="22"/>
      <c r="ER109" s="22"/>
      <c r="EU109" s="344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</row>
    <row r="110" spans="27:161" x14ac:dyDescent="0.2">
      <c r="AA110" s="8" t="s">
        <v>125</v>
      </c>
      <c r="AB110" s="437">
        <v>2</v>
      </c>
      <c r="AC110" s="8" t="s">
        <v>22</v>
      </c>
      <c r="AD110" s="11">
        <v>4</v>
      </c>
      <c r="AE110" s="116" t="s">
        <v>328</v>
      </c>
      <c r="AF110" s="118">
        <v>80</v>
      </c>
      <c r="AG110" s="232" t="s">
        <v>327</v>
      </c>
      <c r="AH110" s="259">
        <v>80</v>
      </c>
      <c r="AI110" s="102"/>
      <c r="AJ110" s="102" t="str">
        <f t="shared" si="32"/>
        <v>iDPN H</v>
      </c>
      <c r="AK110" s="246" t="s">
        <v>542</v>
      </c>
      <c r="AL110" s="201"/>
      <c r="AM110" s="244">
        <v>20</v>
      </c>
      <c r="AN110" s="102"/>
      <c r="AO110" s="102" t="str">
        <f t="shared" si="33"/>
        <v>iC60L1</v>
      </c>
      <c r="AP110" s="222" t="s">
        <v>21</v>
      </c>
      <c r="AQ110" s="221"/>
      <c r="AR110" s="256">
        <v>1</v>
      </c>
      <c r="AS110" s="222" t="s">
        <v>58</v>
      </c>
      <c r="AT110" s="102"/>
      <c r="AZ110" s="32"/>
      <c r="BA110" s="11">
        <f>Бланк!F22*7</f>
        <v>0</v>
      </c>
      <c r="BB110" s="9" t="s">
        <v>71</v>
      </c>
      <c r="BC110" s="11">
        <f>0.96*BC113</f>
        <v>17.28</v>
      </c>
      <c r="BD110" s="231">
        <v>4</v>
      </c>
      <c r="BE110" s="232" t="s">
        <v>856</v>
      </c>
      <c r="BO110" s="221" t="s">
        <v>86</v>
      </c>
      <c r="BP110" s="830">
        <f t="shared" ref="BP110:BP122" ca="1" si="70">BP109+$BR85*(BS109+BV109)</f>
        <v>0</v>
      </c>
      <c r="BQ110" s="830">
        <f t="shared" ref="BQ110:BQ122" ca="1" si="71">BQ109+$BR85*(BT109+BW109)</f>
        <v>0</v>
      </c>
      <c r="BR110" s="836">
        <f t="shared" ref="BR110:BR122" ca="1" si="72">BR109+$BR85*(BU109+BX109)</f>
        <v>0</v>
      </c>
      <c r="BS110" s="834">
        <f t="shared" ca="1" si="64"/>
        <v>0</v>
      </c>
      <c r="BT110" s="834">
        <f t="shared" ca="1" si="65"/>
        <v>0</v>
      </c>
      <c r="BU110" s="835">
        <f t="shared" ca="1" si="66"/>
        <v>0</v>
      </c>
      <c r="BV110" s="824">
        <f t="shared" ca="1" si="67"/>
        <v>0</v>
      </c>
      <c r="BW110" s="825">
        <f t="shared" ca="1" si="68"/>
        <v>0</v>
      </c>
      <c r="BX110" s="826">
        <f t="shared" ca="1" si="69"/>
        <v>0</v>
      </c>
      <c r="CB110" s="41" t="str">
        <f t="shared" si="34"/>
        <v>NG1254125</v>
      </c>
      <c r="CC110" s="213" t="s">
        <v>437</v>
      </c>
      <c r="CD110" s="213">
        <v>4</v>
      </c>
      <c r="CE110" s="214">
        <v>125</v>
      </c>
      <c r="CF110" s="214"/>
      <c r="CG110" s="201" t="s">
        <v>30</v>
      </c>
      <c r="DH110" s="22"/>
      <c r="DI110" s="22"/>
      <c r="DJ110" s="22"/>
      <c r="DK110" s="344"/>
      <c r="DL110" s="375" t="str">
        <f t="shared" si="35"/>
        <v>TN-S2160</v>
      </c>
      <c r="DM110" s="376" t="s">
        <v>5</v>
      </c>
      <c r="DN110" s="376">
        <v>2</v>
      </c>
      <c r="DO110" s="376">
        <v>160</v>
      </c>
      <c r="DP110" s="376">
        <v>1</v>
      </c>
      <c r="DQ110" s="377" t="s">
        <v>392</v>
      </c>
      <c r="DR110" s="358"/>
      <c r="DS110" s="358"/>
      <c r="DT110" s="358"/>
      <c r="DU110" s="358"/>
      <c r="DV110" s="358"/>
      <c r="DW110" s="358"/>
      <c r="DX110" s="358"/>
      <c r="DY110" s="358"/>
      <c r="DZ110" s="358"/>
      <c r="EA110" s="358"/>
      <c r="EB110" s="358"/>
      <c r="EC110" s="358"/>
      <c r="ED110" s="358"/>
      <c r="EE110" s="358"/>
      <c r="EF110" s="22"/>
      <c r="EG110" s="22"/>
      <c r="EH110" s="22"/>
      <c r="EI110" s="22"/>
      <c r="EJ110" s="22"/>
      <c r="EK110" s="22"/>
      <c r="EL110" s="22"/>
      <c r="EM110" s="22"/>
      <c r="EN110" s="344"/>
      <c r="EO110" s="344"/>
      <c r="EP110" s="22"/>
      <c r="EQ110" s="22"/>
      <c r="ER110" s="22"/>
      <c r="EU110" s="344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</row>
    <row r="111" spans="27:161" x14ac:dyDescent="0.2">
      <c r="AA111" s="8" t="s">
        <v>125</v>
      </c>
      <c r="AB111" s="437">
        <v>3</v>
      </c>
      <c r="AC111" s="8" t="s">
        <v>23</v>
      </c>
      <c r="AD111" s="11">
        <v>3</v>
      </c>
      <c r="AE111" s="116" t="s">
        <v>328</v>
      </c>
      <c r="AF111" s="118">
        <v>100</v>
      </c>
      <c r="AG111" s="232" t="s">
        <v>327</v>
      </c>
      <c r="AH111" s="259">
        <v>100</v>
      </c>
      <c r="AI111" s="102"/>
      <c r="AJ111" s="102" t="str">
        <f t="shared" si="32"/>
        <v>iDPN H</v>
      </c>
      <c r="AK111" s="246" t="s">
        <v>542</v>
      </c>
      <c r="AL111" s="201"/>
      <c r="AM111" s="244">
        <v>25</v>
      </c>
      <c r="AN111" s="102"/>
      <c r="AO111" s="102" t="str">
        <f t="shared" si="33"/>
        <v>iC60L1</v>
      </c>
      <c r="AP111" s="222" t="s">
        <v>21</v>
      </c>
      <c r="AQ111" s="221"/>
      <c r="AR111" s="256">
        <v>1</v>
      </c>
      <c r="AS111" s="222" t="s">
        <v>307</v>
      </c>
      <c r="AT111" s="102"/>
      <c r="AZ111" s="32"/>
      <c r="BA111" s="11">
        <f>Бланк!F22*8</f>
        <v>0</v>
      </c>
      <c r="BB111" s="9" t="s">
        <v>71</v>
      </c>
      <c r="BC111" s="11">
        <f>0.97*BC113</f>
        <v>17.46</v>
      </c>
      <c r="BD111" s="231">
        <v>4</v>
      </c>
      <c r="BE111" s="232" t="s">
        <v>353</v>
      </c>
      <c r="BO111" s="221" t="s">
        <v>87</v>
      </c>
      <c r="BP111" s="830">
        <f t="shared" ca="1" si="70"/>
        <v>0</v>
      </c>
      <c r="BQ111" s="830">
        <f t="shared" ca="1" si="71"/>
        <v>0</v>
      </c>
      <c r="BR111" s="836">
        <f t="shared" ca="1" si="72"/>
        <v>0</v>
      </c>
      <c r="BS111" s="834">
        <f t="shared" ca="1" si="64"/>
        <v>0</v>
      </c>
      <c r="BT111" s="834">
        <f t="shared" ca="1" si="65"/>
        <v>0</v>
      </c>
      <c r="BU111" s="835">
        <f t="shared" ca="1" si="66"/>
        <v>0</v>
      </c>
      <c r="BV111" s="824">
        <f t="shared" ca="1" si="67"/>
        <v>0</v>
      </c>
      <c r="BW111" s="825">
        <f t="shared" ca="1" si="68"/>
        <v>0</v>
      </c>
      <c r="BX111" s="826">
        <f t="shared" ca="1" si="69"/>
        <v>0</v>
      </c>
      <c r="CB111" s="41" t="str">
        <f t="shared" si="34"/>
        <v>NG1254125</v>
      </c>
      <c r="CC111" s="213" t="s">
        <v>437</v>
      </c>
      <c r="CD111" s="213">
        <v>4</v>
      </c>
      <c r="CE111" s="214">
        <v>125</v>
      </c>
      <c r="CF111" s="214"/>
      <c r="CG111" s="201" t="s">
        <v>600</v>
      </c>
      <c r="DH111" s="22"/>
      <c r="DI111" s="22"/>
      <c r="DJ111" s="22"/>
      <c r="DK111" s="344"/>
      <c r="DL111" s="375" t="str">
        <f t="shared" si="35"/>
        <v>TN-S2200</v>
      </c>
      <c r="DM111" s="376" t="s">
        <v>5</v>
      </c>
      <c r="DN111" s="376">
        <v>2</v>
      </c>
      <c r="DO111" s="376">
        <v>200</v>
      </c>
      <c r="DP111" s="376">
        <v>1</v>
      </c>
      <c r="DQ111" s="377" t="s">
        <v>393</v>
      </c>
      <c r="DR111" s="358"/>
      <c r="DS111" s="358"/>
      <c r="DT111" s="358"/>
      <c r="DU111" s="358"/>
      <c r="DV111" s="358"/>
      <c r="DW111" s="358"/>
      <c r="DX111" s="358"/>
      <c r="DY111" s="358"/>
      <c r="DZ111" s="358"/>
      <c r="EA111" s="358"/>
      <c r="EB111" s="358"/>
      <c r="EC111" s="358"/>
      <c r="ED111" s="358"/>
      <c r="EE111" s="358"/>
      <c r="EF111" s="22"/>
      <c r="EG111" s="22"/>
      <c r="EH111" s="22"/>
      <c r="EI111" s="22"/>
      <c r="EJ111" s="22"/>
      <c r="EK111" s="22"/>
      <c r="EL111" s="22"/>
      <c r="EM111" s="22"/>
      <c r="EN111" s="344"/>
      <c r="EO111" s="344"/>
      <c r="EP111" s="22"/>
      <c r="EQ111" s="22"/>
      <c r="ER111" s="22"/>
      <c r="EU111" s="344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</row>
    <row r="112" spans="27:161" ht="13.5" thickBot="1" x14ac:dyDescent="0.25">
      <c r="AA112" s="8" t="s">
        <v>125</v>
      </c>
      <c r="AB112" s="437">
        <v>4</v>
      </c>
      <c r="AC112" s="8" t="s">
        <v>23</v>
      </c>
      <c r="AD112" s="11">
        <v>4</v>
      </c>
      <c r="AE112" s="116" t="s">
        <v>328</v>
      </c>
      <c r="AF112" s="118">
        <v>125</v>
      </c>
      <c r="AG112" s="232" t="s">
        <v>327</v>
      </c>
      <c r="AH112" s="259">
        <v>125</v>
      </c>
      <c r="AI112" s="102"/>
      <c r="AJ112" s="102" t="str">
        <f t="shared" si="32"/>
        <v>iDPN H</v>
      </c>
      <c r="AK112" s="247" t="s">
        <v>542</v>
      </c>
      <c r="AL112" s="217"/>
      <c r="AM112" s="245">
        <v>32</v>
      </c>
      <c r="AN112" s="102"/>
      <c r="AO112" s="102" t="str">
        <f t="shared" si="33"/>
        <v>iC60L1</v>
      </c>
      <c r="AP112" s="222" t="s">
        <v>21</v>
      </c>
      <c r="AQ112" s="221"/>
      <c r="AR112" s="256">
        <v>1</v>
      </c>
      <c r="AS112" s="222" t="s">
        <v>308</v>
      </c>
      <c r="AT112" s="102"/>
      <c r="AZ112" s="32"/>
      <c r="BA112" s="11">
        <f>Бланк!F22*10</f>
        <v>0</v>
      </c>
      <c r="BB112" s="9" t="s">
        <v>71</v>
      </c>
      <c r="BC112" s="11">
        <f>0.98*BC113</f>
        <v>17.64</v>
      </c>
      <c r="BD112" s="231">
        <v>4</v>
      </c>
      <c r="BE112" s="232" t="s">
        <v>354</v>
      </c>
      <c r="BO112" s="221" t="s">
        <v>88</v>
      </c>
      <c r="BP112" s="830">
        <f t="shared" ca="1" si="70"/>
        <v>0</v>
      </c>
      <c r="BQ112" s="830">
        <f t="shared" ca="1" si="71"/>
        <v>0</v>
      </c>
      <c r="BR112" s="836">
        <f t="shared" ca="1" si="72"/>
        <v>0</v>
      </c>
      <c r="BS112" s="834">
        <f t="shared" ca="1" si="64"/>
        <v>0</v>
      </c>
      <c r="BT112" s="834">
        <f t="shared" ca="1" si="65"/>
        <v>0</v>
      </c>
      <c r="BU112" s="835">
        <f t="shared" ca="1" si="66"/>
        <v>0</v>
      </c>
      <c r="BV112" s="824">
        <f t="shared" ca="1" si="67"/>
        <v>0</v>
      </c>
      <c r="BW112" s="825">
        <f t="shared" ca="1" si="68"/>
        <v>0</v>
      </c>
      <c r="BX112" s="826">
        <f t="shared" ca="1" si="69"/>
        <v>0</v>
      </c>
      <c r="CB112" s="41" t="str">
        <f t="shared" si="34"/>
        <v>NG1254125</v>
      </c>
      <c r="CC112" s="213" t="s">
        <v>437</v>
      </c>
      <c r="CD112" s="213">
        <v>4</v>
      </c>
      <c r="CE112" s="214">
        <v>125</v>
      </c>
      <c r="CF112" s="214"/>
      <c r="CG112" s="201" t="s">
        <v>602</v>
      </c>
      <c r="DH112" s="22"/>
      <c r="DI112" s="22"/>
      <c r="DJ112" s="22"/>
      <c r="DK112" s="344"/>
      <c r="DL112" s="375" t="str">
        <f t="shared" si="35"/>
        <v>TN-S2250</v>
      </c>
      <c r="DM112" s="376" t="s">
        <v>5</v>
      </c>
      <c r="DN112" s="376">
        <v>2</v>
      </c>
      <c r="DO112" s="376">
        <v>250</v>
      </c>
      <c r="DP112" s="376">
        <v>1</v>
      </c>
      <c r="DQ112" s="377" t="s">
        <v>394</v>
      </c>
      <c r="DR112" s="358"/>
      <c r="DS112" s="358"/>
      <c r="DT112" s="358"/>
      <c r="DU112" s="358"/>
      <c r="DV112" s="358"/>
      <c r="DW112" s="358"/>
      <c r="DX112" s="358"/>
      <c r="DY112" s="358"/>
      <c r="DZ112" s="358"/>
      <c r="EA112" s="358"/>
      <c r="EB112" s="358"/>
      <c r="EC112" s="358"/>
      <c r="ED112" s="358"/>
      <c r="EE112" s="358"/>
      <c r="EF112" s="22"/>
      <c r="EG112" s="22"/>
      <c r="EH112" s="22"/>
      <c r="EI112" s="22"/>
      <c r="EJ112" s="22"/>
      <c r="EK112" s="22"/>
      <c r="EL112" s="22"/>
      <c r="EM112" s="22"/>
      <c r="EN112" s="344"/>
      <c r="EO112" s="344"/>
      <c r="EP112" s="22"/>
      <c r="EQ112" s="22"/>
      <c r="ER112" s="22"/>
      <c r="EU112" s="344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</row>
    <row r="113" spans="27:161" ht="13.5" thickTop="1" x14ac:dyDescent="0.2">
      <c r="AA113" s="8" t="s">
        <v>126</v>
      </c>
      <c r="AB113" s="437">
        <v>1</v>
      </c>
      <c r="AC113" s="8" t="s">
        <v>486</v>
      </c>
      <c r="AD113" s="11">
        <v>3</v>
      </c>
      <c r="AE113" s="116" t="s">
        <v>329</v>
      </c>
      <c r="AF113" s="118">
        <v>63</v>
      </c>
      <c r="AG113" s="232" t="s">
        <v>328</v>
      </c>
      <c r="AH113" s="259">
        <v>63</v>
      </c>
      <c r="AI113" s="102"/>
      <c r="AJ113" s="102" t="str">
        <f t="shared" si="32"/>
        <v>C120</v>
      </c>
      <c r="AK113" s="190" t="s">
        <v>534</v>
      </c>
      <c r="AL113" s="190"/>
      <c r="AM113" s="242">
        <v>63</v>
      </c>
      <c r="AN113" s="102"/>
      <c r="AO113" s="102" t="str">
        <f t="shared" si="33"/>
        <v>iC60L1,6</v>
      </c>
      <c r="AP113" s="222" t="s">
        <v>21</v>
      </c>
      <c r="AQ113" s="221"/>
      <c r="AR113" s="256">
        <v>1.6</v>
      </c>
      <c r="AS113" s="222" t="s">
        <v>57</v>
      </c>
      <c r="AT113" s="102"/>
      <c r="AZ113" s="1430" t="s">
        <v>162</v>
      </c>
      <c r="BA113" s="1431"/>
      <c r="BB113" s="9" t="s">
        <v>71</v>
      </c>
      <c r="BC113" s="11">
        <v>18</v>
      </c>
      <c r="BD113" s="231">
        <v>4</v>
      </c>
      <c r="BE113" s="232" t="s">
        <v>351</v>
      </c>
      <c r="BO113" s="221" t="s">
        <v>89</v>
      </c>
      <c r="BP113" s="830">
        <f t="shared" ca="1" si="70"/>
        <v>0</v>
      </c>
      <c r="BQ113" s="830">
        <f t="shared" ca="1" si="71"/>
        <v>0</v>
      </c>
      <c r="BR113" s="836">
        <f t="shared" ca="1" si="72"/>
        <v>0</v>
      </c>
      <c r="BS113" s="834">
        <f t="shared" ca="1" si="64"/>
        <v>0</v>
      </c>
      <c r="BT113" s="834">
        <f t="shared" ca="1" si="65"/>
        <v>0</v>
      </c>
      <c r="BU113" s="835">
        <f t="shared" ca="1" si="66"/>
        <v>0</v>
      </c>
      <c r="BV113" s="824">
        <f t="shared" ca="1" si="67"/>
        <v>0</v>
      </c>
      <c r="BW113" s="825">
        <f t="shared" ca="1" si="68"/>
        <v>0</v>
      </c>
      <c r="BX113" s="826">
        <f t="shared" ca="1" si="69"/>
        <v>0</v>
      </c>
      <c r="CB113" s="41" t="str">
        <f t="shared" si="34"/>
        <v>NG1254125</v>
      </c>
      <c r="CC113" s="213" t="s">
        <v>437</v>
      </c>
      <c r="CD113" s="213">
        <v>4</v>
      </c>
      <c r="CE113" s="214">
        <v>125</v>
      </c>
      <c r="CF113" s="214"/>
      <c r="CG113" s="201" t="s">
        <v>604</v>
      </c>
      <c r="DH113" s="22"/>
      <c r="DI113" s="22"/>
      <c r="DJ113" s="22"/>
      <c r="DK113" s="344"/>
      <c r="DL113" s="375" t="str">
        <f t="shared" si="35"/>
        <v>TN-S2400</v>
      </c>
      <c r="DM113" s="376" t="s">
        <v>5</v>
      </c>
      <c r="DN113" s="376">
        <v>2</v>
      </c>
      <c r="DO113" s="376">
        <v>400</v>
      </c>
      <c r="DP113" s="376">
        <v>2</v>
      </c>
      <c r="DQ113" s="377" t="s">
        <v>393</v>
      </c>
      <c r="DR113" s="358"/>
      <c r="DS113" s="358"/>
      <c r="DT113" s="358"/>
      <c r="DU113" s="358"/>
      <c r="DV113" s="358"/>
      <c r="DW113" s="358"/>
      <c r="DX113" s="358"/>
      <c r="DY113" s="358"/>
      <c r="DZ113" s="358"/>
      <c r="EA113" s="358"/>
      <c r="EB113" s="358"/>
      <c r="EC113" s="358"/>
      <c r="ED113" s="358"/>
      <c r="EE113" s="358"/>
      <c r="EF113" s="22"/>
      <c r="EG113" s="22"/>
      <c r="EH113" s="22"/>
      <c r="EI113" s="22"/>
      <c r="EJ113" s="22"/>
      <c r="EK113" s="22"/>
      <c r="EL113" s="22"/>
      <c r="EM113" s="22"/>
      <c r="EN113" s="344"/>
      <c r="EO113" s="344"/>
      <c r="EP113" s="22"/>
      <c r="EQ113" s="22"/>
      <c r="ER113" s="22"/>
      <c r="EU113" s="344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</row>
    <row r="114" spans="27:161" x14ac:dyDescent="0.2">
      <c r="AA114" s="8" t="s">
        <v>126</v>
      </c>
      <c r="AB114" s="437">
        <v>2</v>
      </c>
      <c r="AC114" s="8" t="s">
        <v>486</v>
      </c>
      <c r="AD114" s="11">
        <v>4</v>
      </c>
      <c r="AE114" s="116" t="s">
        <v>329</v>
      </c>
      <c r="AF114" s="118">
        <v>80</v>
      </c>
      <c r="AG114" s="232" t="s">
        <v>328</v>
      </c>
      <c r="AH114" s="259">
        <v>80</v>
      </c>
      <c r="AI114" s="102"/>
      <c r="AJ114" s="102" t="str">
        <f t="shared" si="32"/>
        <v>C120</v>
      </c>
      <c r="AK114" s="201" t="s">
        <v>534</v>
      </c>
      <c r="AL114" s="201"/>
      <c r="AM114" s="240">
        <v>80</v>
      </c>
      <c r="AN114" s="102"/>
      <c r="AO114" s="102" t="str">
        <f t="shared" si="33"/>
        <v>iC60L1,6</v>
      </c>
      <c r="AP114" s="222" t="s">
        <v>21</v>
      </c>
      <c r="AQ114" s="221"/>
      <c r="AR114" s="256">
        <v>1.6</v>
      </c>
      <c r="AS114" s="222" t="s">
        <v>58</v>
      </c>
      <c r="AT114" s="102"/>
      <c r="AZ114" s="32">
        <f>Бланк!D23*5</f>
        <v>0</v>
      </c>
      <c r="BA114" s="11">
        <f>Бланк!F23*1.5</f>
        <v>0</v>
      </c>
      <c r="BB114" s="9" t="s">
        <v>71</v>
      </c>
      <c r="BC114" s="11">
        <f>0.92*BC121</f>
        <v>18.400000000000002</v>
      </c>
      <c r="BD114" s="231">
        <v>4</v>
      </c>
      <c r="BE114" s="232" t="s">
        <v>355</v>
      </c>
      <c r="BO114" s="221" t="s">
        <v>90</v>
      </c>
      <c r="BP114" s="830">
        <f t="shared" ca="1" si="70"/>
        <v>0</v>
      </c>
      <c r="BQ114" s="830">
        <f t="shared" ca="1" si="71"/>
        <v>0</v>
      </c>
      <c r="BR114" s="836">
        <f t="shared" ca="1" si="72"/>
        <v>0</v>
      </c>
      <c r="BS114" s="834">
        <f t="shared" ca="1" si="64"/>
        <v>0</v>
      </c>
      <c r="BT114" s="834">
        <f t="shared" ca="1" si="65"/>
        <v>0</v>
      </c>
      <c r="BU114" s="835">
        <f t="shared" ca="1" si="66"/>
        <v>0</v>
      </c>
      <c r="BV114" s="824">
        <f t="shared" ca="1" si="67"/>
        <v>0</v>
      </c>
      <c r="BW114" s="825">
        <f t="shared" ca="1" si="68"/>
        <v>0</v>
      </c>
      <c r="BX114" s="826">
        <f t="shared" ca="1" si="69"/>
        <v>0</v>
      </c>
      <c r="CB114" s="41" t="str">
        <f t="shared" si="34"/>
        <v>iID216</v>
      </c>
      <c r="CC114" s="213" t="s">
        <v>150</v>
      </c>
      <c r="CD114" s="213">
        <v>2</v>
      </c>
      <c r="CE114" s="214">
        <v>16</v>
      </c>
      <c r="CF114" s="214"/>
      <c r="CG114" s="201" t="s">
        <v>599</v>
      </c>
      <c r="DH114" s="22"/>
      <c r="DI114" s="22"/>
      <c r="DJ114" s="22"/>
      <c r="DK114" s="344"/>
      <c r="DL114" s="375" t="str">
        <f t="shared" si="35"/>
        <v>TN-S2630</v>
      </c>
      <c r="DM114" s="376" t="s">
        <v>5</v>
      </c>
      <c r="DN114" s="376">
        <v>2</v>
      </c>
      <c r="DO114" s="376">
        <v>630</v>
      </c>
      <c r="DP114" s="376">
        <v>2</v>
      </c>
      <c r="DQ114" s="377" t="s">
        <v>396</v>
      </c>
      <c r="DR114" s="358"/>
      <c r="DS114" s="358"/>
      <c r="DT114" s="358"/>
      <c r="DU114" s="358"/>
      <c r="DV114" s="358"/>
      <c r="DW114" s="358"/>
      <c r="DX114" s="358"/>
      <c r="DY114" s="358"/>
      <c r="DZ114" s="358"/>
      <c r="EA114" s="358"/>
      <c r="EB114" s="358"/>
      <c r="EC114" s="358"/>
      <c r="ED114" s="358"/>
      <c r="EE114" s="358"/>
      <c r="EF114" s="22"/>
      <c r="EG114" s="22"/>
      <c r="EH114" s="22"/>
      <c r="EI114" s="22"/>
      <c r="EJ114" s="22"/>
      <c r="EK114" s="22"/>
      <c r="EL114" s="22"/>
      <c r="EM114" s="22"/>
      <c r="EN114" s="344"/>
      <c r="EO114" s="344"/>
      <c r="EP114" s="22"/>
      <c r="EQ114" s="22"/>
      <c r="ER114" s="22"/>
      <c r="EU114" s="344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</row>
    <row r="115" spans="27:161" x14ac:dyDescent="0.2">
      <c r="AA115" s="8" t="s">
        <v>126</v>
      </c>
      <c r="AB115" s="437">
        <v>3</v>
      </c>
      <c r="AC115" s="8" t="s">
        <v>24</v>
      </c>
      <c r="AD115" s="11">
        <v>3</v>
      </c>
      <c r="AE115" s="116" t="s">
        <v>329</v>
      </c>
      <c r="AF115" s="118">
        <v>100</v>
      </c>
      <c r="AG115" s="232" t="s">
        <v>328</v>
      </c>
      <c r="AH115" s="259">
        <v>100</v>
      </c>
      <c r="AI115" s="102"/>
      <c r="AJ115" s="102" t="str">
        <f t="shared" si="32"/>
        <v>C120</v>
      </c>
      <c r="AK115" s="201" t="s">
        <v>534</v>
      </c>
      <c r="AL115" s="201"/>
      <c r="AM115" s="240">
        <v>100</v>
      </c>
      <c r="AN115" s="102"/>
      <c r="AO115" s="102" t="str">
        <f t="shared" si="33"/>
        <v>iC60L1,6</v>
      </c>
      <c r="AP115" s="222" t="s">
        <v>21</v>
      </c>
      <c r="AQ115" s="221"/>
      <c r="AR115" s="256">
        <v>1.6</v>
      </c>
      <c r="AS115" s="222" t="s">
        <v>307</v>
      </c>
      <c r="AT115" s="102"/>
      <c r="AZ115" s="32">
        <f>Бланк!D23*6</f>
        <v>0</v>
      </c>
      <c r="BA115" s="11">
        <f>Бланк!F23*2</f>
        <v>0</v>
      </c>
      <c r="BB115" s="9" t="s">
        <v>71</v>
      </c>
      <c r="BC115" s="11">
        <f>0.93*BC121</f>
        <v>18.600000000000001</v>
      </c>
      <c r="BD115" s="231">
        <v>4</v>
      </c>
      <c r="BE115" s="232" t="s">
        <v>352</v>
      </c>
      <c r="BO115" s="221" t="s">
        <v>91</v>
      </c>
      <c r="BP115" s="830">
        <f t="shared" ca="1" si="70"/>
        <v>0</v>
      </c>
      <c r="BQ115" s="830">
        <f t="shared" ca="1" si="71"/>
        <v>0</v>
      </c>
      <c r="BR115" s="836">
        <f t="shared" ca="1" si="72"/>
        <v>0</v>
      </c>
      <c r="BS115" s="834">
        <f t="shared" ca="1" si="64"/>
        <v>0</v>
      </c>
      <c r="BT115" s="834">
        <f t="shared" ca="1" si="65"/>
        <v>0</v>
      </c>
      <c r="BU115" s="835">
        <f t="shared" ca="1" si="66"/>
        <v>0</v>
      </c>
      <c r="BV115" s="824">
        <f t="shared" ca="1" si="67"/>
        <v>0</v>
      </c>
      <c r="BW115" s="825">
        <f t="shared" ca="1" si="68"/>
        <v>0</v>
      </c>
      <c r="BX115" s="826">
        <f t="shared" ca="1" si="69"/>
        <v>0</v>
      </c>
      <c r="CB115" s="41" t="str">
        <f t="shared" si="34"/>
        <v>iID216</v>
      </c>
      <c r="CC115" s="213" t="s">
        <v>150</v>
      </c>
      <c r="CD115" s="213">
        <v>2</v>
      </c>
      <c r="CE115" s="214">
        <v>16</v>
      </c>
      <c r="CF115" s="214"/>
      <c r="CG115" s="201" t="s">
        <v>367</v>
      </c>
      <c r="DH115" s="22"/>
      <c r="DI115" s="22"/>
      <c r="DJ115" s="22"/>
      <c r="DK115" s="344"/>
      <c r="DL115" s="375" t="str">
        <f t="shared" si="35"/>
        <v>TN-S310</v>
      </c>
      <c r="DM115" s="376" t="s">
        <v>5</v>
      </c>
      <c r="DN115" s="376">
        <v>3</v>
      </c>
      <c r="DO115" s="376">
        <v>10</v>
      </c>
      <c r="DP115" s="376">
        <v>1</v>
      </c>
      <c r="DQ115" s="377" t="s">
        <v>412</v>
      </c>
      <c r="DR115" s="358"/>
      <c r="DS115" s="358"/>
      <c r="DT115" s="358"/>
      <c r="DU115" s="358"/>
      <c r="DV115" s="358"/>
      <c r="DW115" s="358"/>
      <c r="DX115" s="358"/>
      <c r="DY115" s="358"/>
      <c r="DZ115" s="358"/>
      <c r="EA115" s="358"/>
      <c r="EB115" s="358"/>
      <c r="EC115" s="358"/>
      <c r="ED115" s="358"/>
      <c r="EE115" s="358"/>
      <c r="EF115" s="22"/>
      <c r="EG115" s="22"/>
      <c r="EH115" s="22"/>
      <c r="EI115" s="22"/>
      <c r="EJ115" s="22"/>
      <c r="EK115" s="22"/>
      <c r="EL115" s="22"/>
      <c r="EM115" s="22"/>
      <c r="EN115" s="344"/>
      <c r="EO115" s="344"/>
      <c r="EP115" s="22"/>
      <c r="EQ115" s="22"/>
      <c r="ER115" s="22"/>
      <c r="EU115" s="344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</row>
    <row r="116" spans="27:161" ht="13.5" thickBot="1" x14ac:dyDescent="0.25">
      <c r="AA116" s="8" t="s">
        <v>126</v>
      </c>
      <c r="AB116" s="437">
        <v>4</v>
      </c>
      <c r="AC116" s="8" t="s">
        <v>24</v>
      </c>
      <c r="AD116" s="11">
        <v>4</v>
      </c>
      <c r="AE116" s="116" t="s">
        <v>329</v>
      </c>
      <c r="AF116" s="118">
        <v>125</v>
      </c>
      <c r="AG116" s="232" t="s">
        <v>328</v>
      </c>
      <c r="AH116" s="259">
        <v>125</v>
      </c>
      <c r="AI116" s="102"/>
      <c r="AJ116" s="102" t="str">
        <f t="shared" si="32"/>
        <v>C120</v>
      </c>
      <c r="AK116" s="217" t="s">
        <v>534</v>
      </c>
      <c r="AL116" s="217"/>
      <c r="AM116" s="241">
        <v>125</v>
      </c>
      <c r="AN116" s="102"/>
      <c r="AO116" s="102" t="str">
        <f t="shared" si="33"/>
        <v>iC60L1,6</v>
      </c>
      <c r="AP116" s="222" t="s">
        <v>21</v>
      </c>
      <c r="AQ116" s="221"/>
      <c r="AR116" s="256">
        <v>1.6</v>
      </c>
      <c r="AS116" s="222" t="s">
        <v>308</v>
      </c>
      <c r="AT116" s="102"/>
      <c r="AZ116" s="32">
        <f>Бланк!D23*7</f>
        <v>0</v>
      </c>
      <c r="BA116" s="11">
        <f>Бланк!F23*3</f>
        <v>0</v>
      </c>
      <c r="BB116" s="9" t="s">
        <v>71</v>
      </c>
      <c r="BC116" s="11">
        <f>0.94*BC121</f>
        <v>18.799999999999997</v>
      </c>
      <c r="BD116" s="231">
        <v>5</v>
      </c>
      <c r="BE116" s="233" t="s">
        <v>30</v>
      </c>
      <c r="BF116" s="18"/>
      <c r="BG116" s="18"/>
      <c r="BH116" s="18"/>
      <c r="BI116" s="18"/>
      <c r="BJ116" s="18"/>
      <c r="BK116" s="18"/>
      <c r="BO116" s="221" t="s">
        <v>92</v>
      </c>
      <c r="BP116" s="830">
        <f t="shared" ca="1" si="70"/>
        <v>0</v>
      </c>
      <c r="BQ116" s="830">
        <f t="shared" ca="1" si="71"/>
        <v>0</v>
      </c>
      <c r="BR116" s="836">
        <f t="shared" ca="1" si="72"/>
        <v>0</v>
      </c>
      <c r="BS116" s="834">
        <f t="shared" ca="1" si="64"/>
        <v>0</v>
      </c>
      <c r="BT116" s="834">
        <f t="shared" ca="1" si="65"/>
        <v>0</v>
      </c>
      <c r="BU116" s="835">
        <f t="shared" ca="1" si="66"/>
        <v>0</v>
      </c>
      <c r="BV116" s="824">
        <f t="shared" ca="1" si="67"/>
        <v>0</v>
      </c>
      <c r="BW116" s="825">
        <f t="shared" ca="1" si="68"/>
        <v>0</v>
      </c>
      <c r="BX116" s="826">
        <f t="shared" ca="1" si="69"/>
        <v>0</v>
      </c>
      <c r="CB116" s="41" t="str">
        <f t="shared" si="34"/>
        <v>iID225</v>
      </c>
      <c r="CC116" s="213" t="s">
        <v>150</v>
      </c>
      <c r="CD116" s="213">
        <v>2</v>
      </c>
      <c r="CE116" s="214">
        <v>25</v>
      </c>
      <c r="CF116" s="214"/>
      <c r="CG116" s="201" t="s">
        <v>599</v>
      </c>
      <c r="CH116" s="18"/>
      <c r="CI116" s="18"/>
      <c r="CJ116" s="18"/>
      <c r="CK116" s="18"/>
      <c r="CL116" s="18"/>
      <c r="CM116" s="18"/>
      <c r="CN116" s="18"/>
      <c r="DH116" s="22"/>
      <c r="DI116" s="22"/>
      <c r="DJ116" s="22"/>
      <c r="DK116" s="344"/>
      <c r="DL116" s="375" t="str">
        <f t="shared" si="35"/>
        <v>TN-S320</v>
      </c>
      <c r="DM116" s="376" t="s">
        <v>5</v>
      </c>
      <c r="DN116" s="376">
        <v>3</v>
      </c>
      <c r="DO116" s="376">
        <v>20</v>
      </c>
      <c r="DP116" s="376">
        <v>1</v>
      </c>
      <c r="DQ116" s="377" t="s">
        <v>350</v>
      </c>
      <c r="DR116" s="358"/>
      <c r="DS116" s="358"/>
      <c r="DT116" s="358"/>
      <c r="DU116" s="358"/>
      <c r="DV116" s="358"/>
      <c r="DW116" s="358"/>
      <c r="DX116" s="358"/>
      <c r="DY116" s="358"/>
      <c r="DZ116" s="358"/>
      <c r="EA116" s="358"/>
      <c r="EB116" s="358"/>
      <c r="EC116" s="358"/>
      <c r="ED116" s="358"/>
      <c r="EE116" s="358"/>
      <c r="EF116" s="22"/>
      <c r="EG116" s="22"/>
      <c r="EH116" s="22"/>
      <c r="EI116" s="22"/>
      <c r="EJ116" s="22"/>
      <c r="EK116" s="22"/>
      <c r="EL116" s="22"/>
      <c r="EM116" s="22"/>
      <c r="EN116" s="344"/>
      <c r="EO116" s="344"/>
      <c r="EP116" s="22"/>
      <c r="EQ116" s="22"/>
      <c r="ER116" s="22"/>
      <c r="EU116" s="344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</row>
    <row r="117" spans="27:161" ht="13.5" thickTop="1" x14ac:dyDescent="0.2">
      <c r="AA117" s="49" t="s">
        <v>337</v>
      </c>
      <c r="AB117" s="437">
        <v>1</v>
      </c>
      <c r="AC117" s="8" t="s">
        <v>25</v>
      </c>
      <c r="AD117" s="11">
        <v>3</v>
      </c>
      <c r="AE117" s="116" t="s">
        <v>330</v>
      </c>
      <c r="AF117" s="118">
        <v>63</v>
      </c>
      <c r="AG117" s="232" t="s">
        <v>329</v>
      </c>
      <c r="AH117" s="259">
        <v>63</v>
      </c>
      <c r="AI117" s="102"/>
      <c r="AJ117" s="102" t="str">
        <f t="shared" si="32"/>
        <v>NG125N1</v>
      </c>
      <c r="AK117" s="190" t="s">
        <v>328</v>
      </c>
      <c r="AL117" s="242">
        <v>1</v>
      </c>
      <c r="AM117" s="242">
        <v>10</v>
      </c>
      <c r="AN117" s="102"/>
      <c r="AO117" s="102" t="str">
        <f t="shared" si="33"/>
        <v>iC60L2</v>
      </c>
      <c r="AP117" s="222" t="s">
        <v>21</v>
      </c>
      <c r="AQ117" s="221"/>
      <c r="AR117" s="256">
        <v>2</v>
      </c>
      <c r="AS117" s="222" t="s">
        <v>57</v>
      </c>
      <c r="AT117" s="102"/>
      <c r="AZ117" s="32">
        <f>Бланк!D23*8</f>
        <v>0</v>
      </c>
      <c r="BA117" s="11">
        <f>Бланк!F23*4</f>
        <v>0</v>
      </c>
      <c r="BB117" s="9" t="s">
        <v>71</v>
      </c>
      <c r="BC117" s="11">
        <f>0.95*BC121</f>
        <v>19</v>
      </c>
      <c r="BD117" s="231">
        <v>5</v>
      </c>
      <c r="BE117" s="232" t="s">
        <v>853</v>
      </c>
      <c r="BO117" s="221" t="s">
        <v>93</v>
      </c>
      <c r="BP117" s="830">
        <f t="shared" ca="1" si="70"/>
        <v>0</v>
      </c>
      <c r="BQ117" s="830">
        <f t="shared" ca="1" si="71"/>
        <v>0</v>
      </c>
      <c r="BR117" s="836">
        <f t="shared" ca="1" si="72"/>
        <v>0</v>
      </c>
      <c r="BS117" s="834">
        <f t="shared" ca="1" si="64"/>
        <v>0</v>
      </c>
      <c r="BT117" s="834">
        <f t="shared" ca="1" si="65"/>
        <v>0</v>
      </c>
      <c r="BU117" s="835">
        <f t="shared" ca="1" si="66"/>
        <v>0</v>
      </c>
      <c r="BV117" s="824">
        <f t="shared" ca="1" si="67"/>
        <v>0</v>
      </c>
      <c r="BW117" s="825">
        <f t="shared" ca="1" si="68"/>
        <v>0</v>
      </c>
      <c r="BX117" s="826">
        <f t="shared" ca="1" si="69"/>
        <v>0</v>
      </c>
      <c r="CB117" s="41" t="str">
        <f t="shared" si="34"/>
        <v>iID225</v>
      </c>
      <c r="CC117" s="213" t="s">
        <v>150</v>
      </c>
      <c r="CD117" s="213">
        <v>2</v>
      </c>
      <c r="CE117" s="214">
        <v>25</v>
      </c>
      <c r="CF117" s="214"/>
      <c r="CG117" s="201" t="s">
        <v>595</v>
      </c>
      <c r="DH117" s="22"/>
      <c r="DI117" s="22"/>
      <c r="DJ117" s="22"/>
      <c r="DK117" s="344"/>
      <c r="DL117" s="375" t="str">
        <f t="shared" si="35"/>
        <v>TN-S325</v>
      </c>
      <c r="DM117" s="376" t="s">
        <v>5</v>
      </c>
      <c r="DN117" s="376">
        <v>3</v>
      </c>
      <c r="DO117" s="376">
        <v>25</v>
      </c>
      <c r="DP117" s="376">
        <v>1</v>
      </c>
      <c r="DQ117" s="377" t="s">
        <v>413</v>
      </c>
      <c r="DR117" s="358"/>
      <c r="DS117" s="358"/>
      <c r="DT117" s="358"/>
      <c r="DU117" s="358"/>
      <c r="DV117" s="358"/>
      <c r="DW117" s="358"/>
      <c r="DX117" s="358"/>
      <c r="DY117" s="358"/>
      <c r="DZ117" s="358"/>
      <c r="EA117" s="358"/>
      <c r="EB117" s="358"/>
      <c r="EC117" s="358"/>
      <c r="ED117" s="358"/>
      <c r="EE117" s="358"/>
      <c r="EF117" s="22"/>
      <c r="EG117" s="22"/>
      <c r="EH117" s="22"/>
      <c r="EI117" s="22"/>
      <c r="EJ117" s="22"/>
      <c r="EK117" s="22"/>
      <c r="EL117" s="22"/>
      <c r="EM117" s="22"/>
      <c r="EN117" s="344"/>
      <c r="EO117" s="344"/>
      <c r="EP117" s="22"/>
      <c r="EQ117" s="22"/>
      <c r="ER117" s="22"/>
      <c r="EU117" s="344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</row>
    <row r="118" spans="27:161" x14ac:dyDescent="0.2">
      <c r="AA118" s="49" t="s">
        <v>337</v>
      </c>
      <c r="AB118" s="437">
        <v>2</v>
      </c>
      <c r="AC118" s="8" t="s">
        <v>25</v>
      </c>
      <c r="AD118" s="11">
        <v>4</v>
      </c>
      <c r="AE118" s="116" t="s">
        <v>330</v>
      </c>
      <c r="AF118" s="118">
        <v>80</v>
      </c>
      <c r="AG118" s="232" t="s">
        <v>329</v>
      </c>
      <c r="AH118" s="259">
        <v>80</v>
      </c>
      <c r="AI118" s="102"/>
      <c r="AJ118" s="102" t="str">
        <f t="shared" si="32"/>
        <v>NG125N1</v>
      </c>
      <c r="AK118" s="201" t="s">
        <v>328</v>
      </c>
      <c r="AL118" s="240">
        <v>1</v>
      </c>
      <c r="AM118" s="240">
        <v>16</v>
      </c>
      <c r="AN118" s="102"/>
      <c r="AO118" s="102" t="str">
        <f t="shared" si="33"/>
        <v>iC60L2</v>
      </c>
      <c r="AP118" s="222" t="s">
        <v>21</v>
      </c>
      <c r="AQ118" s="222"/>
      <c r="AR118" s="256">
        <v>2</v>
      </c>
      <c r="AS118" s="222" t="s">
        <v>58</v>
      </c>
      <c r="AT118" s="102"/>
      <c r="AZ118" s="32">
        <f>Бланк!D23*9</f>
        <v>0</v>
      </c>
      <c r="BA118" s="11">
        <f>Бланк!F23*5</f>
        <v>0</v>
      </c>
      <c r="BB118" s="9" t="s">
        <v>71</v>
      </c>
      <c r="BC118" s="11">
        <f>0.96*BC121</f>
        <v>19.2</v>
      </c>
      <c r="BD118" s="231">
        <v>5</v>
      </c>
      <c r="BE118" s="232" t="s">
        <v>854</v>
      </c>
      <c r="BO118" s="221" t="s">
        <v>94</v>
      </c>
      <c r="BP118" s="830">
        <f t="shared" ca="1" si="70"/>
        <v>0</v>
      </c>
      <c r="BQ118" s="830">
        <f t="shared" ca="1" si="71"/>
        <v>0</v>
      </c>
      <c r="BR118" s="836">
        <f t="shared" ca="1" si="72"/>
        <v>0</v>
      </c>
      <c r="BS118" s="834">
        <f t="shared" ca="1" si="64"/>
        <v>0</v>
      </c>
      <c r="BT118" s="834">
        <f t="shared" ca="1" si="65"/>
        <v>0</v>
      </c>
      <c r="BU118" s="835">
        <f t="shared" ca="1" si="66"/>
        <v>0</v>
      </c>
      <c r="BV118" s="824">
        <f t="shared" ca="1" si="67"/>
        <v>0</v>
      </c>
      <c r="BW118" s="825">
        <f t="shared" ca="1" si="68"/>
        <v>0</v>
      </c>
      <c r="BX118" s="826">
        <f t="shared" ca="1" si="69"/>
        <v>0</v>
      </c>
      <c r="CB118" s="41" t="str">
        <f t="shared" si="34"/>
        <v>iID225</v>
      </c>
      <c r="CC118" s="213" t="s">
        <v>150</v>
      </c>
      <c r="CD118" s="213">
        <v>2</v>
      </c>
      <c r="CE118" s="214">
        <v>25</v>
      </c>
      <c r="CF118" s="214"/>
      <c r="CG118" s="201" t="s">
        <v>597</v>
      </c>
      <c r="DH118" s="22"/>
      <c r="DI118" s="22"/>
      <c r="DJ118" s="22"/>
      <c r="DK118" s="344"/>
      <c r="DL118" s="375" t="str">
        <f t="shared" si="35"/>
        <v>TN-S332</v>
      </c>
      <c r="DM118" s="376" t="s">
        <v>5</v>
      </c>
      <c r="DN118" s="376">
        <v>3</v>
      </c>
      <c r="DO118" s="376">
        <v>32</v>
      </c>
      <c r="DP118" s="376">
        <v>1</v>
      </c>
      <c r="DQ118" s="377" t="s">
        <v>414</v>
      </c>
      <c r="DR118" s="358"/>
      <c r="DS118" s="358"/>
      <c r="DT118" s="358"/>
      <c r="DU118" s="358"/>
      <c r="DV118" s="358"/>
      <c r="DW118" s="358"/>
      <c r="DX118" s="358"/>
      <c r="DY118" s="358"/>
      <c r="DZ118" s="358"/>
      <c r="EA118" s="358"/>
      <c r="EB118" s="358"/>
      <c r="EC118" s="358"/>
      <c r="ED118" s="358"/>
      <c r="EE118" s="358"/>
      <c r="EF118" s="22"/>
      <c r="EG118" s="22"/>
      <c r="EH118" s="22"/>
      <c r="EI118" s="22"/>
      <c r="EJ118" s="22"/>
      <c r="EK118" s="22"/>
      <c r="EL118" s="22"/>
      <c r="EM118" s="22"/>
      <c r="EN118" s="344"/>
      <c r="EO118" s="344"/>
      <c r="EP118" s="22"/>
      <c r="EQ118" s="22"/>
      <c r="ER118" s="22"/>
      <c r="EU118" s="344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</row>
    <row r="119" spans="27:161" x14ac:dyDescent="0.2">
      <c r="AA119" s="49" t="s">
        <v>337</v>
      </c>
      <c r="AB119" s="437">
        <v>3</v>
      </c>
      <c r="AC119" s="8" t="s">
        <v>485</v>
      </c>
      <c r="AD119" s="11">
        <v>3</v>
      </c>
      <c r="AE119" s="116" t="s">
        <v>330</v>
      </c>
      <c r="AF119" s="118">
        <v>100</v>
      </c>
      <c r="AG119" s="232" t="s">
        <v>329</v>
      </c>
      <c r="AH119" s="259">
        <v>100</v>
      </c>
      <c r="AI119" s="102"/>
      <c r="AJ119" s="102" t="str">
        <f t="shared" si="32"/>
        <v>NG125N1</v>
      </c>
      <c r="AK119" s="201" t="s">
        <v>328</v>
      </c>
      <c r="AL119" s="240">
        <v>1</v>
      </c>
      <c r="AM119" s="240">
        <v>20</v>
      </c>
      <c r="AN119" s="102"/>
      <c r="AO119" s="102" t="str">
        <f t="shared" si="33"/>
        <v>iC60L2</v>
      </c>
      <c r="AP119" s="222" t="s">
        <v>21</v>
      </c>
      <c r="AQ119" s="221"/>
      <c r="AR119" s="256">
        <v>2</v>
      </c>
      <c r="AS119" s="222" t="s">
        <v>307</v>
      </c>
      <c r="AT119" s="102"/>
      <c r="AZ119" s="32">
        <f>Бланк!D23*10</f>
        <v>0</v>
      </c>
      <c r="BA119" s="11">
        <f>Бланк!F23*6</f>
        <v>0</v>
      </c>
      <c r="BB119" s="9" t="s">
        <v>71</v>
      </c>
      <c r="BC119" s="11">
        <f>0.97*BC121</f>
        <v>19.399999999999999</v>
      </c>
      <c r="BD119" s="231">
        <v>5</v>
      </c>
      <c r="BE119" s="232" t="s">
        <v>855</v>
      </c>
      <c r="BO119" s="221" t="s">
        <v>162</v>
      </c>
      <c r="BP119" s="830">
        <f t="shared" ca="1" si="70"/>
        <v>0</v>
      </c>
      <c r="BQ119" s="830">
        <f t="shared" ca="1" si="71"/>
        <v>0</v>
      </c>
      <c r="BR119" s="836">
        <f t="shared" ca="1" si="72"/>
        <v>0</v>
      </c>
      <c r="BS119" s="834">
        <f t="shared" ca="1" si="64"/>
        <v>0</v>
      </c>
      <c r="BT119" s="834">
        <f t="shared" ca="1" si="65"/>
        <v>0</v>
      </c>
      <c r="BU119" s="835">
        <f t="shared" ca="1" si="66"/>
        <v>0</v>
      </c>
      <c r="BV119" s="824">
        <f t="shared" ca="1" si="67"/>
        <v>0</v>
      </c>
      <c r="BW119" s="825">
        <f t="shared" ca="1" si="68"/>
        <v>0</v>
      </c>
      <c r="BX119" s="826">
        <f t="shared" ca="1" si="69"/>
        <v>0</v>
      </c>
      <c r="CB119" s="41" t="str">
        <f t="shared" si="34"/>
        <v>iID225</v>
      </c>
      <c r="CC119" s="213" t="s">
        <v>150</v>
      </c>
      <c r="CD119" s="213">
        <v>2</v>
      </c>
      <c r="CE119" s="214">
        <v>25</v>
      </c>
      <c r="CF119" s="214"/>
      <c r="CG119" s="201" t="s">
        <v>367</v>
      </c>
      <c r="DH119" s="22"/>
      <c r="DI119" s="22"/>
      <c r="DJ119" s="22"/>
      <c r="DK119" s="344"/>
      <c r="DL119" s="375" t="str">
        <f t="shared" si="35"/>
        <v>TN-S350</v>
      </c>
      <c r="DM119" s="376" t="s">
        <v>5</v>
      </c>
      <c r="DN119" s="376">
        <v>3</v>
      </c>
      <c r="DO119" s="376">
        <v>50</v>
      </c>
      <c r="DP119" s="376">
        <v>1</v>
      </c>
      <c r="DQ119" s="377" t="s">
        <v>415</v>
      </c>
      <c r="DR119" s="358"/>
      <c r="DS119" s="358"/>
      <c r="DT119" s="358"/>
      <c r="DU119" s="358"/>
      <c r="DV119" s="358"/>
      <c r="DW119" s="358"/>
      <c r="DX119" s="358"/>
      <c r="DY119" s="358"/>
      <c r="DZ119" s="358"/>
      <c r="EA119" s="358"/>
      <c r="EB119" s="358"/>
      <c r="EC119" s="358"/>
      <c r="ED119" s="358"/>
      <c r="EE119" s="358"/>
      <c r="EF119" s="22"/>
      <c r="EG119" s="22"/>
      <c r="EH119" s="22"/>
      <c r="EI119" s="22"/>
      <c r="EJ119" s="22"/>
      <c r="EK119" s="22"/>
      <c r="EL119" s="22"/>
      <c r="EM119" s="22"/>
      <c r="EN119" s="344"/>
      <c r="EO119" s="344"/>
      <c r="EP119" s="22"/>
      <c r="EQ119" s="22"/>
      <c r="ER119" s="22"/>
      <c r="EU119" s="344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</row>
    <row r="120" spans="27:161" x14ac:dyDescent="0.2">
      <c r="AA120" s="49" t="s">
        <v>337</v>
      </c>
      <c r="AB120" s="437">
        <v>4</v>
      </c>
      <c r="AC120" s="8" t="s">
        <v>485</v>
      </c>
      <c r="AD120" s="11">
        <v>4</v>
      </c>
      <c r="AE120" s="116" t="s">
        <v>330</v>
      </c>
      <c r="AF120" s="118">
        <v>125</v>
      </c>
      <c r="AG120" s="232" t="s">
        <v>329</v>
      </c>
      <c r="AH120" s="259">
        <v>125</v>
      </c>
      <c r="AI120" s="102"/>
      <c r="AJ120" s="102" t="str">
        <f t="shared" si="32"/>
        <v>NG125N1</v>
      </c>
      <c r="AK120" s="201" t="s">
        <v>328</v>
      </c>
      <c r="AL120" s="240">
        <v>1</v>
      </c>
      <c r="AM120" s="240">
        <v>25</v>
      </c>
      <c r="AN120" s="102"/>
      <c r="AO120" s="102" t="str">
        <f t="shared" si="33"/>
        <v>iC60L2</v>
      </c>
      <c r="AP120" s="222" t="s">
        <v>21</v>
      </c>
      <c r="AQ120" s="221"/>
      <c r="AR120" s="256">
        <v>2</v>
      </c>
      <c r="AS120" s="222" t="s">
        <v>308</v>
      </c>
      <c r="AT120" s="102"/>
      <c r="AZ120" s="32"/>
      <c r="BA120" s="11">
        <f>Бланк!F23*7</f>
        <v>0</v>
      </c>
      <c r="BB120" s="9" t="s">
        <v>71</v>
      </c>
      <c r="BC120" s="11">
        <f>0.98*BC121</f>
        <v>19.600000000000001</v>
      </c>
      <c r="BD120" s="231">
        <v>5</v>
      </c>
      <c r="BE120" s="232" t="s">
        <v>856</v>
      </c>
      <c r="BO120" s="221" t="s">
        <v>163</v>
      </c>
      <c r="BP120" s="830">
        <f t="shared" ca="1" si="70"/>
        <v>0</v>
      </c>
      <c r="BQ120" s="830">
        <f t="shared" ca="1" si="71"/>
        <v>0</v>
      </c>
      <c r="BR120" s="836">
        <f t="shared" ca="1" si="72"/>
        <v>0</v>
      </c>
      <c r="BS120" s="834">
        <f t="shared" ca="1" si="64"/>
        <v>0</v>
      </c>
      <c r="BT120" s="834">
        <f t="shared" ca="1" si="65"/>
        <v>0</v>
      </c>
      <c r="BU120" s="835">
        <f t="shared" ca="1" si="66"/>
        <v>0</v>
      </c>
      <c r="BV120" s="824">
        <f t="shared" ca="1" si="67"/>
        <v>0</v>
      </c>
      <c r="BW120" s="825">
        <f t="shared" ca="1" si="68"/>
        <v>0</v>
      </c>
      <c r="BX120" s="826">
        <f t="shared" ca="1" si="69"/>
        <v>0</v>
      </c>
      <c r="CB120" s="41" t="str">
        <f t="shared" si="34"/>
        <v>iID225</v>
      </c>
      <c r="CC120" s="213" t="s">
        <v>150</v>
      </c>
      <c r="CD120" s="213">
        <v>2</v>
      </c>
      <c r="CE120" s="214">
        <v>25</v>
      </c>
      <c r="CF120" s="214"/>
      <c r="CG120" s="201" t="s">
        <v>290</v>
      </c>
      <c r="DH120" s="22"/>
      <c r="DI120" s="22"/>
      <c r="DJ120" s="22"/>
      <c r="DK120" s="344"/>
      <c r="DL120" s="375" t="str">
        <f t="shared" si="35"/>
        <v>TN-S363</v>
      </c>
      <c r="DM120" s="376" t="s">
        <v>5</v>
      </c>
      <c r="DN120" s="376">
        <v>3</v>
      </c>
      <c r="DO120" s="376">
        <v>63</v>
      </c>
      <c r="DP120" s="376">
        <v>1</v>
      </c>
      <c r="DQ120" s="377" t="s">
        <v>349</v>
      </c>
      <c r="DR120" s="358"/>
      <c r="DS120" s="358"/>
      <c r="DT120" s="358"/>
      <c r="DU120" s="358"/>
      <c r="DV120" s="358"/>
      <c r="DW120" s="358"/>
      <c r="DX120" s="358"/>
      <c r="DY120" s="358"/>
      <c r="DZ120" s="358"/>
      <c r="EA120" s="358"/>
      <c r="EB120" s="358"/>
      <c r="EC120" s="358"/>
      <c r="ED120" s="358"/>
      <c r="EE120" s="358"/>
      <c r="EF120" s="22"/>
      <c r="EG120" s="22"/>
      <c r="EH120" s="22"/>
      <c r="EI120" s="22"/>
      <c r="EJ120" s="22"/>
      <c r="EK120" s="22"/>
      <c r="EL120" s="22"/>
      <c r="EM120" s="22"/>
      <c r="EN120" s="344"/>
      <c r="EO120" s="344"/>
      <c r="EP120" s="22"/>
      <c r="EQ120" s="22"/>
      <c r="ER120" s="22"/>
      <c r="EU120" s="344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</row>
    <row r="121" spans="27:161" x14ac:dyDescent="0.2">
      <c r="AA121" s="49" t="s">
        <v>332</v>
      </c>
      <c r="AB121" s="437">
        <v>1</v>
      </c>
      <c r="AC121" s="8" t="s">
        <v>26</v>
      </c>
      <c r="AD121" s="11">
        <v>3</v>
      </c>
      <c r="AE121" s="8" t="s">
        <v>22</v>
      </c>
      <c r="AF121" s="107">
        <v>16</v>
      </c>
      <c r="AG121" s="232" t="s">
        <v>330</v>
      </c>
      <c r="AH121" s="259">
        <v>63</v>
      </c>
      <c r="AI121" s="102"/>
      <c r="AJ121" s="102" t="str">
        <f t="shared" si="32"/>
        <v>NG125N1</v>
      </c>
      <c r="AK121" s="201" t="s">
        <v>328</v>
      </c>
      <c r="AL121" s="240">
        <v>1</v>
      </c>
      <c r="AM121" s="240">
        <v>32</v>
      </c>
      <c r="AN121" s="102"/>
      <c r="AO121" s="102" t="str">
        <f t="shared" si="33"/>
        <v>iC60L3</v>
      </c>
      <c r="AP121" s="222" t="s">
        <v>21</v>
      </c>
      <c r="AQ121" s="222"/>
      <c r="AR121" s="256">
        <v>3</v>
      </c>
      <c r="AS121" s="222" t="s">
        <v>57</v>
      </c>
      <c r="AT121" s="102"/>
      <c r="AZ121" s="32"/>
      <c r="BA121" s="11">
        <f>Бланк!F23*8</f>
        <v>0</v>
      </c>
      <c r="BB121" s="9" t="s">
        <v>71</v>
      </c>
      <c r="BC121" s="11">
        <v>20</v>
      </c>
      <c r="BD121" s="231">
        <v>5</v>
      </c>
      <c r="BE121" s="232" t="s">
        <v>353</v>
      </c>
      <c r="BO121" s="221" t="s">
        <v>164</v>
      </c>
      <c r="BP121" s="830">
        <f t="shared" ca="1" si="70"/>
        <v>0</v>
      </c>
      <c r="BQ121" s="830">
        <f t="shared" ca="1" si="71"/>
        <v>0</v>
      </c>
      <c r="BR121" s="836">
        <f t="shared" ca="1" si="72"/>
        <v>0</v>
      </c>
      <c r="BS121" s="834">
        <f t="shared" ca="1" si="64"/>
        <v>0</v>
      </c>
      <c r="BT121" s="834">
        <f t="shared" ca="1" si="65"/>
        <v>0</v>
      </c>
      <c r="BU121" s="835">
        <f t="shared" ca="1" si="66"/>
        <v>0</v>
      </c>
      <c r="BV121" s="824">
        <f t="shared" ca="1" si="67"/>
        <v>0</v>
      </c>
      <c r="BW121" s="825">
        <f t="shared" ca="1" si="68"/>
        <v>0</v>
      </c>
      <c r="BX121" s="826">
        <f t="shared" ca="1" si="69"/>
        <v>0</v>
      </c>
      <c r="CB121" s="41" t="str">
        <f t="shared" si="34"/>
        <v>iID225</v>
      </c>
      <c r="CC121" s="213" t="s">
        <v>150</v>
      </c>
      <c r="CD121" s="213">
        <v>2</v>
      </c>
      <c r="CE121" s="214">
        <v>25</v>
      </c>
      <c r="CF121" s="214"/>
      <c r="CG121" s="201" t="s">
        <v>291</v>
      </c>
      <c r="DH121" s="22"/>
      <c r="DI121" s="22"/>
      <c r="DJ121" s="22"/>
      <c r="DK121" s="344"/>
      <c r="DL121" s="375" t="str">
        <f t="shared" si="35"/>
        <v>TN-S380</v>
      </c>
      <c r="DM121" s="376" t="s">
        <v>5</v>
      </c>
      <c r="DN121" s="376">
        <v>3</v>
      </c>
      <c r="DO121" s="376">
        <v>80</v>
      </c>
      <c r="DP121" s="376">
        <v>1</v>
      </c>
      <c r="DQ121" s="377" t="s">
        <v>416</v>
      </c>
      <c r="DR121" s="358"/>
      <c r="DS121" s="358"/>
      <c r="DT121" s="358"/>
      <c r="DU121" s="358"/>
      <c r="DV121" s="358"/>
      <c r="DW121" s="358"/>
      <c r="DX121" s="358"/>
      <c r="DY121" s="358"/>
      <c r="DZ121" s="358"/>
      <c r="EA121" s="358"/>
      <c r="EB121" s="358"/>
      <c r="EC121" s="358"/>
      <c r="ED121" s="358"/>
      <c r="EE121" s="358"/>
      <c r="EF121" s="22"/>
      <c r="EG121" s="22"/>
      <c r="EH121" s="22"/>
      <c r="EI121" s="22"/>
      <c r="EJ121" s="22"/>
      <c r="EK121" s="22"/>
      <c r="EL121" s="22"/>
      <c r="EM121" s="22"/>
      <c r="EN121" s="344"/>
      <c r="EO121" s="344"/>
      <c r="EP121" s="22"/>
      <c r="EQ121" s="22"/>
      <c r="ER121" s="22"/>
      <c r="EU121" s="344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</row>
    <row r="122" spans="27:161" x14ac:dyDescent="0.2">
      <c r="AA122" s="49" t="s">
        <v>332</v>
      </c>
      <c r="AB122" s="437">
        <v>2</v>
      </c>
      <c r="AC122" s="8" t="s">
        <v>26</v>
      </c>
      <c r="AD122" s="11">
        <v>4</v>
      </c>
      <c r="AE122" s="8" t="s">
        <v>22</v>
      </c>
      <c r="AF122" s="107">
        <v>25</v>
      </c>
      <c r="AG122" s="232" t="s">
        <v>330</v>
      </c>
      <c r="AH122" s="259">
        <v>80</v>
      </c>
      <c r="AI122" s="102"/>
      <c r="AJ122" s="102" t="str">
        <f t="shared" si="32"/>
        <v>NG125N1</v>
      </c>
      <c r="AK122" s="201" t="s">
        <v>328</v>
      </c>
      <c r="AL122" s="240">
        <v>1</v>
      </c>
      <c r="AM122" s="240">
        <v>40</v>
      </c>
      <c r="AN122" s="102"/>
      <c r="AO122" s="102" t="str">
        <f t="shared" si="33"/>
        <v>iC60L3</v>
      </c>
      <c r="AP122" s="222" t="s">
        <v>21</v>
      </c>
      <c r="AQ122" s="221"/>
      <c r="AR122" s="256">
        <v>3</v>
      </c>
      <c r="AS122" s="222" t="s">
        <v>58</v>
      </c>
      <c r="AT122" s="102"/>
      <c r="AZ122" s="32"/>
      <c r="BA122" s="11">
        <f>Бланк!F23*10</f>
        <v>0</v>
      </c>
      <c r="BB122" s="9" t="s">
        <v>71</v>
      </c>
      <c r="BC122" s="11">
        <f>0.9*BC130</f>
        <v>20.7</v>
      </c>
      <c r="BD122" s="231">
        <v>5</v>
      </c>
      <c r="BE122" s="232" t="s">
        <v>354</v>
      </c>
      <c r="BO122" s="221" t="s">
        <v>165</v>
      </c>
      <c r="BP122" s="830">
        <f t="shared" ca="1" si="70"/>
        <v>0</v>
      </c>
      <c r="BQ122" s="830">
        <f t="shared" ca="1" si="71"/>
        <v>0</v>
      </c>
      <c r="BR122" s="836">
        <f t="shared" ca="1" si="72"/>
        <v>0</v>
      </c>
      <c r="BS122" s="834">
        <f t="shared" ca="1" si="64"/>
        <v>0</v>
      </c>
      <c r="BT122" s="834">
        <f t="shared" ca="1" si="65"/>
        <v>0</v>
      </c>
      <c r="BU122" s="835">
        <f t="shared" ca="1" si="66"/>
        <v>0</v>
      </c>
      <c r="BV122" s="824">
        <f t="shared" ca="1" si="67"/>
        <v>0</v>
      </c>
      <c r="BW122" s="825">
        <f t="shared" ca="1" si="68"/>
        <v>0</v>
      </c>
      <c r="BX122" s="826">
        <f t="shared" ca="1" si="69"/>
        <v>0</v>
      </c>
      <c r="CB122" s="41" t="str">
        <f t="shared" si="34"/>
        <v>iID225</v>
      </c>
      <c r="CC122" s="213" t="s">
        <v>150</v>
      </c>
      <c r="CD122" s="213">
        <v>2</v>
      </c>
      <c r="CE122" s="214">
        <v>25</v>
      </c>
      <c r="CF122" s="214"/>
      <c r="CG122" s="201" t="s">
        <v>594</v>
      </c>
      <c r="DH122" s="22"/>
      <c r="DI122" s="22"/>
      <c r="DJ122" s="22"/>
      <c r="DK122" s="344"/>
      <c r="DL122" s="375" t="str">
        <f t="shared" si="35"/>
        <v>TN-S3100</v>
      </c>
      <c r="DM122" s="376" t="s">
        <v>5</v>
      </c>
      <c r="DN122" s="376">
        <v>3</v>
      </c>
      <c r="DO122" s="376">
        <v>100</v>
      </c>
      <c r="DP122" s="376">
        <v>1</v>
      </c>
      <c r="DQ122" s="377" t="s">
        <v>417</v>
      </c>
      <c r="DR122" s="358"/>
      <c r="DS122" s="358"/>
      <c r="DT122" s="358"/>
      <c r="DU122" s="358"/>
      <c r="DV122" s="358"/>
      <c r="DW122" s="358"/>
      <c r="DX122" s="358"/>
      <c r="DY122" s="358"/>
      <c r="DZ122" s="358"/>
      <c r="EA122" s="358"/>
      <c r="EB122" s="358"/>
      <c r="EC122" s="358"/>
      <c r="ED122" s="358"/>
      <c r="EE122" s="358"/>
      <c r="EF122" s="22"/>
      <c r="EG122" s="22"/>
      <c r="EH122" s="22"/>
      <c r="EI122" s="22"/>
      <c r="EJ122" s="22"/>
      <c r="EK122" s="22"/>
      <c r="EL122" s="22"/>
      <c r="EM122" s="22"/>
      <c r="EN122" s="344"/>
      <c r="EO122" s="344"/>
      <c r="EP122" s="22"/>
      <c r="EQ122" s="22"/>
      <c r="ER122" s="22"/>
      <c r="EU122" s="344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</row>
    <row r="123" spans="27:161" x14ac:dyDescent="0.2">
      <c r="AA123" s="49" t="s">
        <v>332</v>
      </c>
      <c r="AB123" s="437">
        <v>3</v>
      </c>
      <c r="AC123" s="8" t="s">
        <v>27</v>
      </c>
      <c r="AD123" s="11">
        <v>3</v>
      </c>
      <c r="AE123" s="8" t="s">
        <v>22</v>
      </c>
      <c r="AF123" s="107">
        <v>32</v>
      </c>
      <c r="AG123" s="232" t="s">
        <v>330</v>
      </c>
      <c r="AH123" s="259">
        <v>100</v>
      </c>
      <c r="AI123" s="102"/>
      <c r="AJ123" s="102" t="str">
        <f t="shared" si="32"/>
        <v>NG125N1</v>
      </c>
      <c r="AK123" s="201" t="s">
        <v>328</v>
      </c>
      <c r="AL123" s="240">
        <v>1</v>
      </c>
      <c r="AM123" s="240">
        <v>50</v>
      </c>
      <c r="AN123" s="102"/>
      <c r="AO123" s="102" t="str">
        <f t="shared" si="33"/>
        <v>iC60L3</v>
      </c>
      <c r="AP123" s="222" t="s">
        <v>21</v>
      </c>
      <c r="AQ123" s="222"/>
      <c r="AR123" s="256">
        <v>3</v>
      </c>
      <c r="AS123" s="222" t="s">
        <v>307</v>
      </c>
      <c r="AT123" s="102"/>
      <c r="AZ123" s="1430" t="s">
        <v>163</v>
      </c>
      <c r="BA123" s="1431"/>
      <c r="BB123" s="9" t="s">
        <v>71</v>
      </c>
      <c r="BC123" s="11">
        <f>0.92*BC130</f>
        <v>21.16</v>
      </c>
      <c r="BD123" s="231">
        <v>5</v>
      </c>
      <c r="BE123" s="232" t="s">
        <v>351</v>
      </c>
      <c r="BO123" s="221" t="s">
        <v>166</v>
      </c>
      <c r="BP123" s="837">
        <f t="shared" ref="BP123:BR123" ca="1" si="73">BP122+$BR98*(BS122+BV122)</f>
        <v>0</v>
      </c>
      <c r="BQ123" s="837">
        <f t="shared" ca="1" si="73"/>
        <v>0</v>
      </c>
      <c r="BR123" s="838">
        <f t="shared" ca="1" si="73"/>
        <v>0</v>
      </c>
      <c r="BS123" s="834">
        <f t="shared" ca="1" si="64"/>
        <v>0</v>
      </c>
      <c r="BT123" s="834">
        <f t="shared" ca="1" si="65"/>
        <v>0</v>
      </c>
      <c r="BU123" s="835">
        <f t="shared" ca="1" si="66"/>
        <v>0</v>
      </c>
      <c r="BV123" s="824">
        <f t="shared" ca="1" si="67"/>
        <v>0</v>
      </c>
      <c r="BW123" s="825">
        <f t="shared" ca="1" si="68"/>
        <v>0</v>
      </c>
      <c r="BX123" s="826">
        <f t="shared" ca="1" si="69"/>
        <v>0</v>
      </c>
      <c r="CB123" s="41" t="str">
        <f t="shared" si="34"/>
        <v>iID225</v>
      </c>
      <c r="CC123" s="213" t="s">
        <v>150</v>
      </c>
      <c r="CD123" s="213">
        <v>2</v>
      </c>
      <c r="CE123" s="214">
        <v>25</v>
      </c>
      <c r="CF123" s="214"/>
      <c r="CG123" s="201" t="s">
        <v>292</v>
      </c>
      <c r="DH123" s="22"/>
      <c r="DI123" s="22"/>
      <c r="DJ123" s="22"/>
      <c r="DK123" s="344"/>
      <c r="DL123" s="375" t="str">
        <f t="shared" si="35"/>
        <v>TN-S3125</v>
      </c>
      <c r="DM123" s="376" t="s">
        <v>5</v>
      </c>
      <c r="DN123" s="376">
        <v>3</v>
      </c>
      <c r="DO123" s="376">
        <v>125</v>
      </c>
      <c r="DP123" s="376">
        <v>1</v>
      </c>
      <c r="DQ123" s="377" t="s">
        <v>418</v>
      </c>
      <c r="DR123" s="358"/>
      <c r="DS123" s="358"/>
      <c r="DT123" s="358"/>
      <c r="DU123" s="358"/>
      <c r="DV123" s="358"/>
      <c r="DW123" s="358"/>
      <c r="DX123" s="358"/>
      <c r="DY123" s="358"/>
      <c r="DZ123" s="358"/>
      <c r="EA123" s="358"/>
      <c r="EB123" s="358"/>
      <c r="EC123" s="358"/>
      <c r="ED123" s="358"/>
      <c r="EE123" s="358"/>
      <c r="EF123" s="22"/>
      <c r="EG123" s="22"/>
      <c r="EH123" s="22"/>
      <c r="EI123" s="22"/>
      <c r="EJ123" s="22"/>
      <c r="EK123" s="22"/>
      <c r="EL123" s="22"/>
      <c r="EM123" s="22"/>
      <c r="EN123" s="344"/>
      <c r="EO123" s="344"/>
      <c r="EP123" s="22"/>
      <c r="EQ123" s="22"/>
      <c r="ER123" s="22"/>
      <c r="EU123" s="344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</row>
    <row r="124" spans="27:161" x14ac:dyDescent="0.2">
      <c r="AA124" s="49" t="s">
        <v>332</v>
      </c>
      <c r="AB124" s="437">
        <v>4</v>
      </c>
      <c r="AC124" s="8" t="s">
        <v>27</v>
      </c>
      <c r="AD124" s="11">
        <v>4</v>
      </c>
      <c r="AE124" s="8" t="s">
        <v>22</v>
      </c>
      <c r="AF124" s="107">
        <v>40</v>
      </c>
      <c r="AG124" s="232" t="s">
        <v>330</v>
      </c>
      <c r="AH124" s="259">
        <v>125</v>
      </c>
      <c r="AI124" s="102"/>
      <c r="AJ124" s="102" t="str">
        <f t="shared" si="32"/>
        <v>NG125N1</v>
      </c>
      <c r="AK124" s="201" t="s">
        <v>328</v>
      </c>
      <c r="AL124" s="240">
        <v>1</v>
      </c>
      <c r="AM124" s="240">
        <v>63</v>
      </c>
      <c r="AN124" s="102"/>
      <c r="AO124" s="102" t="str">
        <f t="shared" si="33"/>
        <v>iC60L3</v>
      </c>
      <c r="AP124" s="222" t="s">
        <v>21</v>
      </c>
      <c r="AQ124" s="222"/>
      <c r="AR124" s="256">
        <v>3</v>
      </c>
      <c r="AS124" s="222" t="s">
        <v>308</v>
      </c>
      <c r="AT124" s="102"/>
      <c r="AZ124" s="32">
        <f>Бланк!D24*5</f>
        <v>0</v>
      </c>
      <c r="BA124" s="11">
        <f>Бланк!F24*1.5</f>
        <v>0</v>
      </c>
      <c r="BB124" s="9" t="s">
        <v>71</v>
      </c>
      <c r="BC124" s="11">
        <f>0.93*BC130</f>
        <v>21.39</v>
      </c>
      <c r="BD124" s="231">
        <v>5</v>
      </c>
      <c r="BE124" s="232" t="s">
        <v>355</v>
      </c>
      <c r="BO124" s="221" t="s">
        <v>1305</v>
      </c>
      <c r="BP124" s="837">
        <f t="shared" ref="BP124:BR124" ca="1" si="74">BP123+$BR99*(BS123+BV123)</f>
        <v>0</v>
      </c>
      <c r="BQ124" s="837">
        <f t="shared" ca="1" si="74"/>
        <v>0</v>
      </c>
      <c r="BR124" s="838">
        <f t="shared" ca="1" si="74"/>
        <v>0</v>
      </c>
      <c r="BS124" s="834">
        <f t="shared" ca="1" si="64"/>
        <v>0</v>
      </c>
      <c r="BT124" s="834">
        <f t="shared" ca="1" si="65"/>
        <v>0</v>
      </c>
      <c r="BU124" s="835">
        <f t="shared" ca="1" si="66"/>
        <v>0</v>
      </c>
      <c r="BV124" s="824">
        <f t="shared" ca="1" si="67"/>
        <v>0</v>
      </c>
      <c r="BW124" s="825">
        <f t="shared" ca="1" si="68"/>
        <v>0</v>
      </c>
      <c r="BX124" s="826">
        <f t="shared" ca="1" si="69"/>
        <v>0</v>
      </c>
      <c r="CB124" s="41" t="str">
        <f t="shared" si="34"/>
        <v>iID240</v>
      </c>
      <c r="CC124" s="213" t="s">
        <v>150</v>
      </c>
      <c r="CD124" s="213">
        <v>2</v>
      </c>
      <c r="CE124" s="214">
        <v>40</v>
      </c>
      <c r="CF124" s="214"/>
      <c r="CG124" s="201" t="s">
        <v>595</v>
      </c>
      <c r="DH124" s="22"/>
      <c r="DI124" s="22"/>
      <c r="DJ124" s="22"/>
      <c r="DK124" s="344"/>
      <c r="DL124" s="375" t="str">
        <f t="shared" si="35"/>
        <v>TN-S3160</v>
      </c>
      <c r="DM124" s="376" t="s">
        <v>5</v>
      </c>
      <c r="DN124" s="376">
        <v>3</v>
      </c>
      <c r="DO124" s="376">
        <v>160</v>
      </c>
      <c r="DP124" s="376">
        <v>1</v>
      </c>
      <c r="DQ124" s="377" t="s">
        <v>419</v>
      </c>
      <c r="DR124" s="358"/>
      <c r="DS124" s="358"/>
      <c r="DT124" s="358"/>
      <c r="DU124" s="358"/>
      <c r="DV124" s="358"/>
      <c r="DW124" s="358"/>
      <c r="DX124" s="358"/>
      <c r="DY124" s="358"/>
      <c r="DZ124" s="358"/>
      <c r="EA124" s="358"/>
      <c r="EB124" s="358"/>
      <c r="EC124" s="358"/>
      <c r="ED124" s="358"/>
      <c r="EE124" s="358"/>
      <c r="EF124" s="22"/>
      <c r="EG124" s="22"/>
      <c r="EH124" s="22"/>
      <c r="EI124" s="22"/>
      <c r="EJ124" s="22"/>
      <c r="EK124" s="22"/>
      <c r="EL124" s="22"/>
      <c r="EM124" s="22"/>
      <c r="EN124" s="344"/>
      <c r="EO124" s="344"/>
      <c r="EP124" s="22"/>
      <c r="EQ124" s="22"/>
      <c r="ER124" s="22"/>
      <c r="EU124" s="344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</row>
    <row r="125" spans="27:161" x14ac:dyDescent="0.2">
      <c r="AA125" s="49" t="s">
        <v>333</v>
      </c>
      <c r="AB125" s="437">
        <v>1</v>
      </c>
      <c r="AC125" s="8" t="s">
        <v>484</v>
      </c>
      <c r="AD125" s="11">
        <v>3</v>
      </c>
      <c r="AE125" s="8" t="s">
        <v>22</v>
      </c>
      <c r="AF125" s="107">
        <v>50</v>
      </c>
      <c r="AG125" s="232" t="s">
        <v>22</v>
      </c>
      <c r="AH125" s="259">
        <v>16</v>
      </c>
      <c r="AI125" s="102"/>
      <c r="AJ125" s="102" t="str">
        <f t="shared" si="32"/>
        <v>NG125N2</v>
      </c>
      <c r="AK125" s="201" t="s">
        <v>328</v>
      </c>
      <c r="AL125" s="240">
        <v>2</v>
      </c>
      <c r="AM125" s="240">
        <v>10</v>
      </c>
      <c r="AN125" s="102"/>
      <c r="AO125" s="102" t="str">
        <f t="shared" si="33"/>
        <v>iC60L4</v>
      </c>
      <c r="AP125" s="222" t="s">
        <v>21</v>
      </c>
      <c r="AQ125" s="221"/>
      <c r="AR125" s="256">
        <v>4</v>
      </c>
      <c r="AS125" s="222" t="s">
        <v>57</v>
      </c>
      <c r="AT125" s="102"/>
      <c r="AZ125" s="32">
        <f>Бланк!D24*6</f>
        <v>0</v>
      </c>
      <c r="BA125" s="11">
        <f>Бланк!F24*2</f>
        <v>0</v>
      </c>
      <c r="BB125" s="9" t="s">
        <v>71</v>
      </c>
      <c r="BC125" s="11">
        <f>0.94*BC130</f>
        <v>21.619999999999997</v>
      </c>
      <c r="BD125" s="231">
        <v>5</v>
      </c>
      <c r="BE125" s="232" t="s">
        <v>352</v>
      </c>
      <c r="BO125" s="221" t="s">
        <v>1306</v>
      </c>
      <c r="BP125" s="837">
        <f t="shared" ref="BP125:BR125" ca="1" si="75">BP124+$BR100*(BS124+BV124)</f>
        <v>0</v>
      </c>
      <c r="BQ125" s="837">
        <f t="shared" ca="1" si="75"/>
        <v>0</v>
      </c>
      <c r="BR125" s="838">
        <f t="shared" ca="1" si="75"/>
        <v>0</v>
      </c>
      <c r="BS125" s="834">
        <f t="shared" ca="1" si="64"/>
        <v>0</v>
      </c>
      <c r="BT125" s="834">
        <f t="shared" ca="1" si="65"/>
        <v>0</v>
      </c>
      <c r="BU125" s="835">
        <f t="shared" ca="1" si="66"/>
        <v>0</v>
      </c>
      <c r="BV125" s="824">
        <f t="shared" ref="BV125:BX125" ca="1" si="76">ROUNDDOWN($BZ149/3,0)+BP149</f>
        <v>0</v>
      </c>
      <c r="BW125" s="825">
        <f t="shared" ca="1" si="76"/>
        <v>0</v>
      </c>
      <c r="BX125" s="826">
        <f t="shared" ca="1" si="76"/>
        <v>0</v>
      </c>
      <c r="CB125" s="41" t="str">
        <f t="shared" si="34"/>
        <v>iID240</v>
      </c>
      <c r="CC125" s="213" t="s">
        <v>150</v>
      </c>
      <c r="CD125" s="213">
        <v>2</v>
      </c>
      <c r="CE125" s="214">
        <v>40</v>
      </c>
      <c r="CF125" s="214"/>
      <c r="CG125" s="201" t="s">
        <v>596</v>
      </c>
      <c r="DH125" s="22"/>
      <c r="DI125" s="22"/>
      <c r="DJ125" s="22"/>
      <c r="DK125" s="344"/>
      <c r="DL125" s="375" t="str">
        <f t="shared" si="35"/>
        <v>TN-S3200</v>
      </c>
      <c r="DM125" s="376" t="s">
        <v>5</v>
      </c>
      <c r="DN125" s="376">
        <v>3</v>
      </c>
      <c r="DO125" s="376">
        <v>200</v>
      </c>
      <c r="DP125" s="376">
        <v>1</v>
      </c>
      <c r="DQ125" s="377" t="s">
        <v>420</v>
      </c>
      <c r="DR125" s="358"/>
      <c r="DS125" s="358"/>
      <c r="DT125" s="358"/>
      <c r="DU125" s="358"/>
      <c r="DV125" s="358"/>
      <c r="DW125" s="358"/>
      <c r="DX125" s="358"/>
      <c r="DY125" s="358"/>
      <c r="DZ125" s="358"/>
      <c r="EA125" s="358"/>
      <c r="EB125" s="358"/>
      <c r="EC125" s="358"/>
      <c r="ED125" s="358"/>
      <c r="EE125" s="358"/>
      <c r="EF125" s="22"/>
      <c r="EG125" s="22"/>
      <c r="EH125" s="22"/>
      <c r="EI125" s="22"/>
      <c r="EJ125" s="22"/>
      <c r="EK125" s="22"/>
      <c r="EL125" s="22"/>
      <c r="EM125" s="22"/>
      <c r="EN125" s="344"/>
      <c r="EO125" s="344"/>
      <c r="EP125" s="22"/>
      <c r="EQ125" s="22"/>
      <c r="ER125" s="22"/>
      <c r="EU125" s="344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</row>
    <row r="126" spans="27:161" x14ac:dyDescent="0.2">
      <c r="AA126" s="49" t="s">
        <v>333</v>
      </c>
      <c r="AB126" s="437">
        <v>2</v>
      </c>
      <c r="AC126" s="8" t="s">
        <v>484</v>
      </c>
      <c r="AD126" s="11">
        <v>4</v>
      </c>
      <c r="AE126" s="8" t="s">
        <v>22</v>
      </c>
      <c r="AF126" s="107">
        <v>63</v>
      </c>
      <c r="AG126" s="232" t="s">
        <v>22</v>
      </c>
      <c r="AH126" s="259">
        <v>25</v>
      </c>
      <c r="AI126" s="102"/>
      <c r="AJ126" s="102" t="str">
        <f t="shared" si="32"/>
        <v>NG125N2</v>
      </c>
      <c r="AK126" s="201" t="s">
        <v>328</v>
      </c>
      <c r="AL126" s="240">
        <v>2</v>
      </c>
      <c r="AM126" s="240">
        <v>16</v>
      </c>
      <c r="AN126" s="102"/>
      <c r="AO126" s="102" t="str">
        <f t="shared" si="33"/>
        <v>iC60L4</v>
      </c>
      <c r="AP126" s="222" t="s">
        <v>21</v>
      </c>
      <c r="AQ126" s="221"/>
      <c r="AR126" s="256">
        <v>4</v>
      </c>
      <c r="AS126" s="222" t="s">
        <v>58</v>
      </c>
      <c r="AT126" s="102"/>
      <c r="AZ126" s="32">
        <f>Бланк!D24*7</f>
        <v>0</v>
      </c>
      <c r="BA126" s="11">
        <f>Бланк!F24*3</f>
        <v>0</v>
      </c>
      <c r="BB126" s="9" t="s">
        <v>71</v>
      </c>
      <c r="BC126" s="11">
        <f>0.95*BC130</f>
        <v>21.849999999999998</v>
      </c>
      <c r="BD126" s="231">
        <v>6</v>
      </c>
      <c r="BE126" s="233" t="s">
        <v>30</v>
      </c>
      <c r="BF126" s="18"/>
      <c r="BG126" s="18"/>
      <c r="BH126" s="18"/>
      <c r="BI126" s="18"/>
      <c r="BJ126" s="18"/>
      <c r="BK126" s="18"/>
      <c r="BO126" s="221" t="s">
        <v>1307</v>
      </c>
      <c r="BP126" s="837">
        <f t="shared" ref="BP126:BR126" ca="1" si="77">BP125+$BR101*(BS125+BV125)</f>
        <v>0</v>
      </c>
      <c r="BQ126" s="837">
        <f t="shared" ca="1" si="77"/>
        <v>0</v>
      </c>
      <c r="BR126" s="838">
        <f t="shared" ca="1" si="77"/>
        <v>0</v>
      </c>
      <c r="BS126" s="834">
        <f t="shared" ref="BS126:BU126" ca="1" si="78">IF($BM102,ROUNDDOWN((MAX($BP126:$BR126)-BP126)/$BR102,0),0)</f>
        <v>0</v>
      </c>
      <c r="BT126" s="834">
        <f t="shared" ca="1" si="78"/>
        <v>0</v>
      </c>
      <c r="BU126" s="835">
        <f t="shared" ca="1" si="78"/>
        <v>0</v>
      </c>
      <c r="BV126" s="824">
        <f t="shared" ref="BV126:BX126" ca="1" si="79">ROUNDDOWN($BZ150/3,0)+BP150</f>
        <v>0</v>
      </c>
      <c r="BW126" s="825">
        <f t="shared" ca="1" si="79"/>
        <v>0</v>
      </c>
      <c r="BX126" s="826">
        <f t="shared" ca="1" si="79"/>
        <v>0</v>
      </c>
      <c r="CB126" s="41" t="str">
        <f t="shared" si="34"/>
        <v>iID240</v>
      </c>
      <c r="CC126" s="213" t="s">
        <v>150</v>
      </c>
      <c r="CD126" s="213">
        <v>2</v>
      </c>
      <c r="CE126" s="214">
        <v>40</v>
      </c>
      <c r="CF126" s="214"/>
      <c r="CG126" s="201" t="s">
        <v>597</v>
      </c>
      <c r="CH126" s="18"/>
      <c r="CI126" s="18"/>
      <c r="CJ126" s="18"/>
      <c r="CK126" s="18"/>
      <c r="CL126" s="18"/>
      <c r="CM126" s="18"/>
      <c r="CN126" s="18"/>
      <c r="DH126" s="22"/>
      <c r="DI126" s="22"/>
      <c r="DJ126" s="22"/>
      <c r="DK126" s="344"/>
      <c r="DL126" s="375" t="str">
        <f t="shared" si="35"/>
        <v>TN-S3250</v>
      </c>
      <c r="DM126" s="376" t="s">
        <v>5</v>
      </c>
      <c r="DN126" s="376">
        <v>3</v>
      </c>
      <c r="DO126" s="376">
        <v>250</v>
      </c>
      <c r="DP126" s="376">
        <v>1</v>
      </c>
      <c r="DQ126" s="377" t="s">
        <v>421</v>
      </c>
      <c r="DR126" s="358"/>
      <c r="DS126" s="358"/>
      <c r="DT126" s="358"/>
      <c r="DU126" s="358"/>
      <c r="DV126" s="358"/>
      <c r="DW126" s="358"/>
      <c r="DX126" s="358"/>
      <c r="DY126" s="358"/>
      <c r="DZ126" s="358"/>
      <c r="EA126" s="358"/>
      <c r="EB126" s="358"/>
      <c r="EC126" s="358"/>
      <c r="ED126" s="358"/>
      <c r="EE126" s="358"/>
      <c r="EF126" s="22"/>
      <c r="EG126" s="22"/>
      <c r="EH126" s="22"/>
      <c r="EI126" s="22"/>
      <c r="EJ126" s="22"/>
      <c r="EK126" s="22"/>
      <c r="EL126" s="22"/>
      <c r="EM126" s="22"/>
      <c r="EN126" s="344"/>
      <c r="EO126" s="344"/>
      <c r="EP126" s="22"/>
      <c r="EQ126" s="22"/>
      <c r="ER126" s="22"/>
      <c r="EU126" s="344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</row>
    <row r="127" spans="27:161" x14ac:dyDescent="0.2">
      <c r="AA127" s="49" t="s">
        <v>333</v>
      </c>
      <c r="AB127" s="437">
        <v>3</v>
      </c>
      <c r="AC127" s="8" t="s">
        <v>28</v>
      </c>
      <c r="AD127" s="11">
        <v>3</v>
      </c>
      <c r="AE127" s="8" t="s">
        <v>22</v>
      </c>
      <c r="AF127" s="107">
        <v>80</v>
      </c>
      <c r="AG127" s="232" t="s">
        <v>22</v>
      </c>
      <c r="AH127" s="259">
        <v>32</v>
      </c>
      <c r="AI127" s="102"/>
      <c r="AJ127" s="102" t="str">
        <f t="shared" si="32"/>
        <v>NG125N2</v>
      </c>
      <c r="AK127" s="201" t="s">
        <v>328</v>
      </c>
      <c r="AL127" s="240">
        <v>2</v>
      </c>
      <c r="AM127" s="240">
        <v>20</v>
      </c>
      <c r="AN127" s="102"/>
      <c r="AO127" s="102" t="str">
        <f t="shared" si="33"/>
        <v>iC60L4</v>
      </c>
      <c r="AP127" s="222" t="s">
        <v>21</v>
      </c>
      <c r="AQ127" s="221"/>
      <c r="AR127" s="256">
        <v>4</v>
      </c>
      <c r="AS127" s="222" t="s">
        <v>307</v>
      </c>
      <c r="AT127" s="102"/>
      <c r="AZ127" s="32">
        <f>Бланк!D24*8</f>
        <v>0</v>
      </c>
      <c r="BA127" s="11">
        <f>Бланк!F24*4</f>
        <v>0</v>
      </c>
      <c r="BB127" s="9" t="s">
        <v>71</v>
      </c>
      <c r="BC127" s="11">
        <f>0.96*BC130</f>
        <v>22.08</v>
      </c>
      <c r="BD127" s="231">
        <v>6</v>
      </c>
      <c r="BE127" s="232" t="s">
        <v>853</v>
      </c>
      <c r="BO127" s="221" t="s">
        <v>1308</v>
      </c>
      <c r="BP127" s="837">
        <f t="shared" ref="BP127:BR127" ca="1" si="80">BP126+$BR102*(BS126+BV126)</f>
        <v>0</v>
      </c>
      <c r="BQ127" s="837">
        <f t="shared" ca="1" si="80"/>
        <v>0</v>
      </c>
      <c r="BR127" s="838">
        <f t="shared" ca="1" si="80"/>
        <v>0</v>
      </c>
      <c r="BS127" s="834">
        <f t="shared" ref="BS127:BU127" ca="1" si="81">IF($BM103,ROUNDDOWN((MAX($BP127:$BR127)-BP127)/$BR103,0),0)</f>
        <v>0</v>
      </c>
      <c r="BT127" s="834">
        <f t="shared" ca="1" si="81"/>
        <v>0</v>
      </c>
      <c r="BU127" s="835">
        <f t="shared" ca="1" si="81"/>
        <v>0</v>
      </c>
      <c r="BV127" s="824">
        <f t="shared" ref="BV127:BX127" ca="1" si="82">ROUNDDOWN($BZ151/3,0)+BP151</f>
        <v>1</v>
      </c>
      <c r="BW127" s="825">
        <f t="shared" ca="1" si="82"/>
        <v>1</v>
      </c>
      <c r="BX127" s="826">
        <f t="shared" ca="1" si="82"/>
        <v>1</v>
      </c>
      <c r="CB127" s="41" t="str">
        <f t="shared" si="34"/>
        <v>iID240</v>
      </c>
      <c r="CC127" s="213" t="s">
        <v>150</v>
      </c>
      <c r="CD127" s="213">
        <v>2</v>
      </c>
      <c r="CE127" s="214">
        <v>40</v>
      </c>
      <c r="CF127" s="214"/>
      <c r="CG127" s="201" t="s">
        <v>290</v>
      </c>
      <c r="DH127" s="22"/>
      <c r="DI127" s="22"/>
      <c r="DJ127" s="22"/>
      <c r="DK127" s="344"/>
      <c r="DL127" s="375" t="str">
        <f t="shared" si="35"/>
        <v>TN-S3400</v>
      </c>
      <c r="DM127" s="376" t="s">
        <v>5</v>
      </c>
      <c r="DN127" s="376">
        <v>3</v>
      </c>
      <c r="DO127" s="376">
        <v>400</v>
      </c>
      <c r="DP127" s="376">
        <v>2</v>
      </c>
      <c r="DQ127" s="377" t="s">
        <v>420</v>
      </c>
      <c r="DR127" s="358"/>
      <c r="DS127" s="358"/>
      <c r="DT127" s="358"/>
      <c r="DU127" s="358"/>
      <c r="DV127" s="358"/>
      <c r="DW127" s="358"/>
      <c r="DX127" s="358"/>
      <c r="DY127" s="358"/>
      <c r="DZ127" s="358"/>
      <c r="EA127" s="358"/>
      <c r="EB127" s="358"/>
      <c r="EC127" s="358"/>
      <c r="ED127" s="358"/>
      <c r="EE127" s="358"/>
      <c r="EF127" s="22"/>
      <c r="EG127" s="22"/>
      <c r="EH127" s="22"/>
      <c r="EI127" s="22"/>
      <c r="EJ127" s="22"/>
      <c r="EK127" s="22"/>
      <c r="EL127" s="22"/>
      <c r="EM127" s="22"/>
      <c r="EN127" s="344"/>
      <c r="EO127" s="344"/>
      <c r="EP127" s="22"/>
      <c r="EQ127" s="22"/>
      <c r="ER127" s="22"/>
      <c r="EU127" s="344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</row>
    <row r="128" spans="27:161" ht="13.5" thickBot="1" x14ac:dyDescent="0.25">
      <c r="AA128" s="49" t="s">
        <v>333</v>
      </c>
      <c r="AB128" s="437">
        <v>4</v>
      </c>
      <c r="AC128" s="8" t="s">
        <v>28</v>
      </c>
      <c r="AD128" s="11">
        <v>4</v>
      </c>
      <c r="AE128" s="8" t="s">
        <v>22</v>
      </c>
      <c r="AF128" s="107">
        <v>100</v>
      </c>
      <c r="AG128" s="232" t="s">
        <v>22</v>
      </c>
      <c r="AH128" s="259">
        <v>40</v>
      </c>
      <c r="AI128" s="102"/>
      <c r="AJ128" s="102" t="str">
        <f t="shared" si="32"/>
        <v>NG125N2</v>
      </c>
      <c r="AK128" s="201" t="s">
        <v>328</v>
      </c>
      <c r="AL128" s="240">
        <v>2</v>
      </c>
      <c r="AM128" s="240">
        <v>25</v>
      </c>
      <c r="AN128" s="102"/>
      <c r="AO128" s="102" t="str">
        <f t="shared" si="33"/>
        <v>iC60L4</v>
      </c>
      <c r="AP128" s="222" t="s">
        <v>21</v>
      </c>
      <c r="AQ128" s="221"/>
      <c r="AR128" s="256">
        <v>4</v>
      </c>
      <c r="AS128" s="222" t="s">
        <v>308</v>
      </c>
      <c r="AT128" s="102"/>
      <c r="AZ128" s="32">
        <f>Бланк!D24*9</f>
        <v>0</v>
      </c>
      <c r="BA128" s="11">
        <f>Бланк!F24*5</f>
        <v>0</v>
      </c>
      <c r="BB128" s="9" t="s">
        <v>71</v>
      </c>
      <c r="BC128" s="11">
        <f>0.97*BC130</f>
        <v>22.31</v>
      </c>
      <c r="BD128" s="231">
        <v>6</v>
      </c>
      <c r="BE128" s="232" t="s">
        <v>854</v>
      </c>
      <c r="BO128" s="221" t="s">
        <v>1309</v>
      </c>
      <c r="BP128" s="837">
        <f t="shared" ref="BP128:BR128" ca="1" si="83">BP127+$BR103*(BS127+BV127)</f>
        <v>40</v>
      </c>
      <c r="BQ128" s="837">
        <f t="shared" ca="1" si="83"/>
        <v>40</v>
      </c>
      <c r="BR128" s="838">
        <f t="shared" ca="1" si="83"/>
        <v>40</v>
      </c>
      <c r="BS128" s="839">
        <f t="shared" ref="BS128:BU128" ca="1" si="84">IF($BM104,ROUNDDOWN((MAX($BP128:$BR128)-BP128)/$BR104,0),0)</f>
        <v>0</v>
      </c>
      <c r="BT128" s="839">
        <f t="shared" ca="1" si="84"/>
        <v>0</v>
      </c>
      <c r="BU128" s="840">
        <f t="shared" ca="1" si="84"/>
        <v>0</v>
      </c>
      <c r="BV128" s="827">
        <f t="shared" ref="BV128:BX128" ca="1" si="85">ROUNDDOWN($BZ152/3,0)+BP152</f>
        <v>3</v>
      </c>
      <c r="BW128" s="828">
        <f t="shared" ca="1" si="85"/>
        <v>3</v>
      </c>
      <c r="BX128" s="829">
        <f t="shared" ca="1" si="85"/>
        <v>3</v>
      </c>
      <c r="CB128" s="41" t="str">
        <f t="shared" si="34"/>
        <v>iID240</v>
      </c>
      <c r="CC128" s="213" t="s">
        <v>150</v>
      </c>
      <c r="CD128" s="213">
        <v>2</v>
      </c>
      <c r="CE128" s="214">
        <v>40</v>
      </c>
      <c r="CF128" s="214"/>
      <c r="CG128" s="201" t="s">
        <v>291</v>
      </c>
      <c r="DH128" s="22"/>
      <c r="DI128" s="22"/>
      <c r="DJ128" s="22"/>
      <c r="DK128" s="344"/>
      <c r="DL128" s="375" t="str">
        <f t="shared" si="35"/>
        <v>TN-S3630</v>
      </c>
      <c r="DM128" s="376" t="s">
        <v>5</v>
      </c>
      <c r="DN128" s="376">
        <v>3</v>
      </c>
      <c r="DO128" s="376">
        <v>630</v>
      </c>
      <c r="DP128" s="376">
        <v>2</v>
      </c>
      <c r="DQ128" s="377" t="s">
        <v>423</v>
      </c>
      <c r="DR128" s="358"/>
      <c r="DS128" s="358"/>
      <c r="DT128" s="358"/>
      <c r="DU128" s="358"/>
      <c r="DV128" s="358"/>
      <c r="DW128" s="358"/>
      <c r="DX128" s="358"/>
      <c r="DY128" s="358"/>
      <c r="DZ128" s="358"/>
      <c r="EA128" s="358"/>
      <c r="EB128" s="358"/>
      <c r="EC128" s="358"/>
      <c r="ED128" s="358"/>
      <c r="EE128" s="358"/>
      <c r="EF128" s="22"/>
      <c r="EG128" s="22"/>
      <c r="EH128" s="22"/>
      <c r="EI128" s="22"/>
      <c r="EJ128" s="22"/>
      <c r="EK128" s="22"/>
      <c r="EL128" s="22"/>
      <c r="EM128" s="22"/>
      <c r="EN128" s="344"/>
      <c r="EO128" s="344"/>
      <c r="EP128" s="22"/>
      <c r="EQ128" s="22"/>
      <c r="ER128" s="22"/>
      <c r="EU128" s="344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</row>
    <row r="129" spans="27:161" ht="13.5" thickBot="1" x14ac:dyDescent="0.25">
      <c r="AA129" s="49" t="s">
        <v>334</v>
      </c>
      <c r="AB129" s="437">
        <v>1</v>
      </c>
      <c r="AC129" s="8" t="s">
        <v>487</v>
      </c>
      <c r="AD129" s="11">
        <v>3</v>
      </c>
      <c r="AE129" s="8" t="s">
        <v>23</v>
      </c>
      <c r="AF129" s="107">
        <v>16</v>
      </c>
      <c r="AG129" s="232" t="s">
        <v>22</v>
      </c>
      <c r="AH129" s="259">
        <v>50</v>
      </c>
      <c r="AI129" s="102"/>
      <c r="AJ129" s="102" t="str">
        <f t="shared" si="32"/>
        <v>NG125N2</v>
      </c>
      <c r="AK129" s="201" t="s">
        <v>328</v>
      </c>
      <c r="AL129" s="240">
        <v>2</v>
      </c>
      <c r="AM129" s="240">
        <v>32</v>
      </c>
      <c r="AN129" s="102"/>
      <c r="AO129" s="102" t="str">
        <f t="shared" si="33"/>
        <v>iC60L5</v>
      </c>
      <c r="AP129" s="222" t="s">
        <v>21</v>
      </c>
      <c r="AQ129" s="256"/>
      <c r="AR129" s="256">
        <v>5</v>
      </c>
      <c r="AS129" s="222" t="s">
        <v>57</v>
      </c>
      <c r="AT129" s="102"/>
      <c r="AZ129" s="32">
        <f>Бланк!D24*10</f>
        <v>0</v>
      </c>
      <c r="BA129" s="11">
        <f>Бланк!F24*6</f>
        <v>0</v>
      </c>
      <c r="BB129" s="9" t="s">
        <v>71</v>
      </c>
      <c r="BC129" s="11">
        <f>0.98*BC130</f>
        <v>22.54</v>
      </c>
      <c r="BD129" s="231">
        <v>6</v>
      </c>
      <c r="BE129" s="232" t="s">
        <v>855</v>
      </c>
      <c r="BO129" s="858" t="s">
        <v>1031</v>
      </c>
      <c r="BP129" s="841">
        <f t="shared" ref="BP129:BR129" ca="1" si="86">BP128+$BR104*(BS128+BV128)</f>
        <v>88</v>
      </c>
      <c r="BQ129" s="842">
        <f t="shared" ca="1" si="86"/>
        <v>88</v>
      </c>
      <c r="BR129" s="843">
        <f t="shared" ca="1" si="86"/>
        <v>88</v>
      </c>
      <c r="BS129" s="831"/>
      <c r="BT129" s="831"/>
      <c r="BU129" s="844"/>
      <c r="BV129" s="831"/>
      <c r="BW129" s="831"/>
      <c r="BX129" s="831"/>
      <c r="CB129" s="41" t="str">
        <f t="shared" si="34"/>
        <v>iID240</v>
      </c>
      <c r="CC129" s="213" t="s">
        <v>150</v>
      </c>
      <c r="CD129" s="213">
        <v>2</v>
      </c>
      <c r="CE129" s="214">
        <v>40</v>
      </c>
      <c r="CF129" s="214"/>
      <c r="CG129" s="201" t="s">
        <v>292</v>
      </c>
      <c r="DH129" s="22"/>
      <c r="DI129" s="22"/>
      <c r="DJ129" s="22"/>
      <c r="DK129" s="344"/>
      <c r="DL129" s="375" t="str">
        <f t="shared" si="35"/>
        <v>TN-S410</v>
      </c>
      <c r="DM129" s="376" t="s">
        <v>5</v>
      </c>
      <c r="DN129" s="376">
        <v>4</v>
      </c>
      <c r="DO129" s="376">
        <v>10</v>
      </c>
      <c r="DP129" s="376">
        <v>1</v>
      </c>
      <c r="DQ129" s="377" t="s">
        <v>412</v>
      </c>
      <c r="DR129" s="358"/>
      <c r="DS129" s="358"/>
      <c r="DT129" s="358"/>
      <c r="DU129" s="358"/>
      <c r="DV129" s="358"/>
      <c r="DW129" s="358"/>
      <c r="DX129" s="358"/>
      <c r="DY129" s="358"/>
      <c r="DZ129" s="358"/>
      <c r="EA129" s="358"/>
      <c r="EB129" s="358"/>
      <c r="EC129" s="358"/>
      <c r="ED129" s="358"/>
      <c r="EE129" s="358"/>
      <c r="EF129" s="22"/>
      <c r="EG129" s="22"/>
      <c r="EH129" s="22"/>
      <c r="EI129" s="22"/>
      <c r="EJ129" s="22"/>
      <c r="EK129" s="22"/>
      <c r="EL129" s="22"/>
      <c r="EM129" s="22"/>
      <c r="EN129" s="344"/>
      <c r="EO129" s="344"/>
      <c r="EP129" s="22"/>
      <c r="EQ129" s="22"/>
      <c r="ER129" s="22"/>
      <c r="EU129" s="344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</row>
    <row r="130" spans="27:161" ht="13.5" thickBot="1" x14ac:dyDescent="0.25">
      <c r="AA130" s="49" t="s">
        <v>334</v>
      </c>
      <c r="AB130" s="437">
        <v>2</v>
      </c>
      <c r="AC130" s="8" t="s">
        <v>487</v>
      </c>
      <c r="AD130" s="11">
        <v>4</v>
      </c>
      <c r="AE130" s="8" t="s">
        <v>23</v>
      </c>
      <c r="AF130" s="107">
        <v>25</v>
      </c>
      <c r="AG130" s="232" t="s">
        <v>22</v>
      </c>
      <c r="AH130" s="259">
        <v>63</v>
      </c>
      <c r="AI130" s="102"/>
      <c r="AJ130" s="102" t="str">
        <f t="shared" si="32"/>
        <v>NG125N2</v>
      </c>
      <c r="AK130" s="201" t="s">
        <v>328</v>
      </c>
      <c r="AL130" s="240">
        <v>2</v>
      </c>
      <c r="AM130" s="240">
        <v>40</v>
      </c>
      <c r="AN130" s="102"/>
      <c r="AO130" s="102" t="str">
        <f t="shared" si="33"/>
        <v>iC60L5</v>
      </c>
      <c r="AP130" s="222" t="s">
        <v>21</v>
      </c>
      <c r="AQ130" s="256"/>
      <c r="AR130" s="256">
        <v>5</v>
      </c>
      <c r="AS130" s="222" t="s">
        <v>58</v>
      </c>
      <c r="AT130" s="102"/>
      <c r="AZ130" s="32"/>
      <c r="BA130" s="11">
        <f>Бланк!F24*7</f>
        <v>0</v>
      </c>
      <c r="BB130" s="9" t="s">
        <v>71</v>
      </c>
      <c r="BC130" s="11">
        <v>23</v>
      </c>
      <c r="BD130" s="231">
        <v>6</v>
      </c>
      <c r="BE130" s="232" t="s">
        <v>856</v>
      </c>
      <c r="BU130" s="18"/>
      <c r="BV130" s="1313" t="s">
        <v>1031</v>
      </c>
      <c r="BW130" s="1313"/>
      <c r="BX130" s="1313"/>
      <c r="BY130" s="1313"/>
      <c r="BZ130" s="1313"/>
      <c r="CB130" s="41" t="str">
        <f t="shared" si="34"/>
        <v>iID240</v>
      </c>
      <c r="CC130" s="213" t="s">
        <v>150</v>
      </c>
      <c r="CD130" s="213">
        <v>2</v>
      </c>
      <c r="CE130" s="214">
        <v>40</v>
      </c>
      <c r="CF130" s="214"/>
      <c r="CG130" s="201" t="s">
        <v>293</v>
      </c>
      <c r="DH130" s="22"/>
      <c r="DI130" s="22"/>
      <c r="DJ130" s="22"/>
      <c r="DK130" s="344"/>
      <c r="DL130" s="375" t="str">
        <f t="shared" si="35"/>
        <v>TN-S420</v>
      </c>
      <c r="DM130" s="376" t="s">
        <v>5</v>
      </c>
      <c r="DN130" s="376">
        <v>4</v>
      </c>
      <c r="DO130" s="376">
        <v>20</v>
      </c>
      <c r="DP130" s="376">
        <v>1</v>
      </c>
      <c r="DQ130" s="377" t="s">
        <v>350</v>
      </c>
      <c r="DR130" s="358"/>
      <c r="DS130" s="358"/>
      <c r="DT130" s="358"/>
      <c r="DU130" s="358"/>
      <c r="DV130" s="358"/>
      <c r="DW130" s="358"/>
      <c r="DX130" s="358"/>
      <c r="DY130" s="358"/>
      <c r="DZ130" s="358"/>
      <c r="EA130" s="358"/>
      <c r="EB130" s="358"/>
      <c r="EC130" s="358"/>
      <c r="ED130" s="358"/>
      <c r="EE130" s="358"/>
      <c r="EF130" s="22"/>
      <c r="EG130" s="22"/>
      <c r="EH130" s="22"/>
      <c r="EI130" s="22"/>
      <c r="EJ130" s="22"/>
      <c r="EK130" s="22"/>
      <c r="EL130" s="22"/>
      <c r="EM130" s="22"/>
      <c r="EN130" s="344"/>
      <c r="EO130" s="344"/>
      <c r="EP130" s="22"/>
      <c r="EQ130" s="22"/>
      <c r="ER130" s="22"/>
      <c r="EU130" s="344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</row>
    <row r="131" spans="27:161" x14ac:dyDescent="0.2">
      <c r="AA131" s="49" t="s">
        <v>334</v>
      </c>
      <c r="AB131" s="437">
        <v>3</v>
      </c>
      <c r="AC131" s="8" t="s">
        <v>29</v>
      </c>
      <c r="AD131" s="11">
        <v>3</v>
      </c>
      <c r="AE131" s="8" t="s">
        <v>23</v>
      </c>
      <c r="AF131" s="107">
        <v>32</v>
      </c>
      <c r="AG131" s="232" t="s">
        <v>22</v>
      </c>
      <c r="AH131" s="259">
        <v>80</v>
      </c>
      <c r="AI131" s="102"/>
      <c r="AJ131" s="102" t="str">
        <f t="shared" ref="AJ131:AJ194" si="87">AK131&amp;AL131</f>
        <v>NG125N2</v>
      </c>
      <c r="AK131" s="201" t="s">
        <v>328</v>
      </c>
      <c r="AL131" s="240">
        <v>2</v>
      </c>
      <c r="AM131" s="240">
        <v>50</v>
      </c>
      <c r="AN131" s="102"/>
      <c r="AO131" s="102" t="str">
        <f t="shared" ref="AO131:AO194" si="88">AP131&amp;AQ131&amp;AR131</f>
        <v>iC60L5</v>
      </c>
      <c r="AP131" s="222" t="s">
        <v>21</v>
      </c>
      <c r="AQ131" s="256"/>
      <c r="AR131" s="256">
        <v>5</v>
      </c>
      <c r="AS131" s="222" t="s">
        <v>307</v>
      </c>
      <c r="AT131" s="102"/>
      <c r="AZ131" s="32"/>
      <c r="BA131" s="11">
        <f>Бланк!F24*8</f>
        <v>0</v>
      </c>
      <c r="BB131" s="9" t="s">
        <v>71</v>
      </c>
      <c r="BC131" s="11">
        <f>0.9*BC138</f>
        <v>22.5</v>
      </c>
      <c r="BD131" s="231">
        <v>6</v>
      </c>
      <c r="BE131" s="232" t="s">
        <v>353</v>
      </c>
      <c r="BO131" s="1455" t="s">
        <v>1034</v>
      </c>
      <c r="BP131" s="1411" t="s">
        <v>456</v>
      </c>
      <c r="BQ131" s="1412"/>
      <c r="BR131" s="1413"/>
      <c r="BS131" s="1245" t="s">
        <v>1049</v>
      </c>
      <c r="BT131" s="1213"/>
      <c r="BU131" s="1213"/>
      <c r="BV131" s="1417" t="s">
        <v>1053</v>
      </c>
      <c r="BW131" s="1418"/>
      <c r="BX131" s="1419"/>
      <c r="BY131" s="1319" t="s">
        <v>1033</v>
      </c>
      <c r="BZ131" s="1319" t="s">
        <v>1032</v>
      </c>
      <c r="CB131" s="41" t="str">
        <f t="shared" ref="CB131:CB194" si="89">CC131&amp;CD131&amp;CE131&amp;CF131</f>
        <v>iID263</v>
      </c>
      <c r="CC131" s="213" t="s">
        <v>150</v>
      </c>
      <c r="CD131" s="213">
        <v>2</v>
      </c>
      <c r="CE131" s="214">
        <v>63</v>
      </c>
      <c r="CF131" s="214"/>
      <c r="CG131" s="201" t="s">
        <v>595</v>
      </c>
      <c r="DH131" s="22"/>
      <c r="DI131" s="22"/>
      <c r="DJ131" s="22"/>
      <c r="DK131" s="344"/>
      <c r="DL131" s="375" t="str">
        <f t="shared" si="35"/>
        <v>TN-S425</v>
      </c>
      <c r="DM131" s="376" t="s">
        <v>5</v>
      </c>
      <c r="DN131" s="376">
        <v>4</v>
      </c>
      <c r="DO131" s="376">
        <v>25</v>
      </c>
      <c r="DP131" s="376">
        <v>1</v>
      </c>
      <c r="DQ131" s="377" t="s">
        <v>413</v>
      </c>
      <c r="DR131" s="358"/>
      <c r="DS131" s="358"/>
      <c r="DT131" s="358"/>
      <c r="DU131" s="358"/>
      <c r="DV131" s="358"/>
      <c r="DW131" s="358"/>
      <c r="DX131" s="358"/>
      <c r="DY131" s="358"/>
      <c r="DZ131" s="358"/>
      <c r="EA131" s="358"/>
      <c r="EB131" s="358"/>
      <c r="EC131" s="358"/>
      <c r="ED131" s="358"/>
      <c r="EE131" s="358"/>
      <c r="EF131" s="22"/>
      <c r="EG131" s="22"/>
      <c r="EH131" s="22"/>
      <c r="EI131" s="22"/>
      <c r="EJ131" s="22"/>
      <c r="EK131" s="22"/>
      <c r="EL131" s="22"/>
      <c r="EM131" s="22"/>
      <c r="EN131" s="344"/>
      <c r="EO131" s="344"/>
      <c r="EP131" s="22"/>
      <c r="EQ131" s="22"/>
      <c r="ER131" s="22"/>
      <c r="EU131" s="344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</row>
    <row r="132" spans="27:161" x14ac:dyDescent="0.2">
      <c r="AA132" s="49" t="s">
        <v>334</v>
      </c>
      <c r="AB132" s="437">
        <v>4</v>
      </c>
      <c r="AC132" s="8" t="s">
        <v>29</v>
      </c>
      <c r="AD132" s="11">
        <v>4</v>
      </c>
      <c r="AE132" s="8" t="s">
        <v>23</v>
      </c>
      <c r="AF132" s="107">
        <v>40</v>
      </c>
      <c r="AG132" s="232" t="s">
        <v>22</v>
      </c>
      <c r="AH132" s="259">
        <v>100</v>
      </c>
      <c r="AI132" s="102"/>
      <c r="AJ132" s="102" t="str">
        <f t="shared" si="87"/>
        <v>NG125N2</v>
      </c>
      <c r="AK132" s="201" t="s">
        <v>328</v>
      </c>
      <c r="AL132" s="240">
        <v>2</v>
      </c>
      <c r="AM132" s="240">
        <v>63</v>
      </c>
      <c r="AN132" s="102"/>
      <c r="AO132" s="102" t="str">
        <f t="shared" si="88"/>
        <v>iC60L5</v>
      </c>
      <c r="AP132" s="222" t="s">
        <v>21</v>
      </c>
      <c r="AQ132" s="256"/>
      <c r="AR132" s="256">
        <v>5</v>
      </c>
      <c r="AS132" s="222" t="s">
        <v>308</v>
      </c>
      <c r="AT132" s="102"/>
      <c r="AZ132" s="32"/>
      <c r="BA132" s="11">
        <f>Бланк!F24*10</f>
        <v>0</v>
      </c>
      <c r="BB132" s="9" t="s">
        <v>71</v>
      </c>
      <c r="BC132" s="11">
        <f>0.93*BC138</f>
        <v>23.25</v>
      </c>
      <c r="BD132" s="231">
        <v>6</v>
      </c>
      <c r="BE132" s="232" t="s">
        <v>354</v>
      </c>
      <c r="BF132" s="6"/>
      <c r="BG132" s="6"/>
      <c r="BH132" s="6"/>
      <c r="BI132" s="6"/>
      <c r="BJ132" s="6"/>
      <c r="BK132" s="6"/>
      <c r="BO132" s="1455"/>
      <c r="BP132" s="396" t="s">
        <v>1002</v>
      </c>
      <c r="BQ132" s="296" t="s">
        <v>1004</v>
      </c>
      <c r="BR132" s="397" t="s">
        <v>1003</v>
      </c>
      <c r="BS132" s="1245"/>
      <c r="BT132" s="1213"/>
      <c r="BU132" s="1213"/>
      <c r="BV132" s="1420"/>
      <c r="BW132" s="1421"/>
      <c r="BX132" s="1332"/>
      <c r="BY132" s="1320"/>
      <c r="BZ132" s="1320"/>
      <c r="CB132" s="41" t="str">
        <f t="shared" si="89"/>
        <v>iID263</v>
      </c>
      <c r="CC132" s="213" t="s">
        <v>150</v>
      </c>
      <c r="CD132" s="213">
        <v>2</v>
      </c>
      <c r="CE132" s="214">
        <v>63</v>
      </c>
      <c r="CF132" s="214"/>
      <c r="CG132" s="201" t="s">
        <v>596</v>
      </c>
      <c r="CH132" s="6"/>
      <c r="CI132" s="6"/>
      <c r="CJ132" s="6"/>
      <c r="CK132" s="6"/>
      <c r="CL132" s="6"/>
      <c r="CM132" s="6"/>
      <c r="CN132" s="6"/>
      <c r="DH132" s="22"/>
      <c r="DI132" s="22"/>
      <c r="DJ132" s="22"/>
      <c r="DK132" s="344"/>
      <c r="DL132" s="375" t="str">
        <f t="shared" ref="DL132:DL195" si="90">$DM132&amp;$DN132&amp;$DO132</f>
        <v>TN-S432</v>
      </c>
      <c r="DM132" s="376" t="s">
        <v>5</v>
      </c>
      <c r="DN132" s="376">
        <v>4</v>
      </c>
      <c r="DO132" s="376">
        <v>32</v>
      </c>
      <c r="DP132" s="376">
        <v>1</v>
      </c>
      <c r="DQ132" s="377" t="s">
        <v>414</v>
      </c>
      <c r="DR132" s="358"/>
      <c r="DS132" s="358"/>
      <c r="DT132" s="358"/>
      <c r="DU132" s="358"/>
      <c r="DV132" s="358"/>
      <c r="DW132" s="358"/>
      <c r="DX132" s="358"/>
      <c r="DY132" s="358"/>
      <c r="DZ132" s="358"/>
      <c r="EA132" s="358"/>
      <c r="EB132" s="358"/>
      <c r="EC132" s="358"/>
      <c r="ED132" s="358"/>
      <c r="EE132" s="358"/>
      <c r="EF132" s="22"/>
      <c r="EG132" s="22"/>
      <c r="EH132" s="22"/>
      <c r="EI132" s="22"/>
      <c r="EJ132" s="22"/>
      <c r="EK132" s="22"/>
      <c r="EL132" s="22"/>
      <c r="EM132" s="22"/>
      <c r="EN132" s="344"/>
      <c r="EO132" s="344"/>
      <c r="EP132" s="22"/>
      <c r="EQ132" s="22"/>
      <c r="ER132" s="22"/>
      <c r="EU132" s="344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</row>
    <row r="133" spans="27:161" x14ac:dyDescent="0.2">
      <c r="AA133" s="49" t="s">
        <v>335</v>
      </c>
      <c r="AB133" s="437">
        <v>1</v>
      </c>
      <c r="AC133" s="8" t="s">
        <v>488</v>
      </c>
      <c r="AD133" s="11">
        <v>3</v>
      </c>
      <c r="AE133" s="8" t="s">
        <v>23</v>
      </c>
      <c r="AF133" s="107">
        <v>50</v>
      </c>
      <c r="AG133" s="232" t="s">
        <v>23</v>
      </c>
      <c r="AH133" s="259">
        <v>16</v>
      </c>
      <c r="AI133" s="102"/>
      <c r="AJ133" s="102" t="str">
        <f t="shared" si="87"/>
        <v>NG125N3</v>
      </c>
      <c r="AK133" s="201" t="s">
        <v>328</v>
      </c>
      <c r="AL133" s="240">
        <v>3</v>
      </c>
      <c r="AM133" s="240">
        <v>10</v>
      </c>
      <c r="AN133" s="102"/>
      <c r="AO133" s="102" t="str">
        <f t="shared" si="88"/>
        <v>iC60L6</v>
      </c>
      <c r="AP133" s="222" t="s">
        <v>21</v>
      </c>
      <c r="AQ133" s="256"/>
      <c r="AR133" s="256">
        <v>6</v>
      </c>
      <c r="AS133" s="222" t="s">
        <v>57</v>
      </c>
      <c r="AT133" s="102"/>
      <c r="AZ133" s="1430" t="s">
        <v>164</v>
      </c>
      <c r="BA133" s="1431"/>
      <c r="BB133" s="9" t="s">
        <v>71</v>
      </c>
      <c r="BC133" s="11">
        <f>0.94*BC138</f>
        <v>23.5</v>
      </c>
      <c r="BD133" s="231">
        <v>6</v>
      </c>
      <c r="BE133" s="232" t="s">
        <v>351</v>
      </c>
      <c r="BF133" s="6"/>
      <c r="BG133" s="6"/>
      <c r="BH133" s="6"/>
      <c r="BI133" s="6"/>
      <c r="BJ133" s="6"/>
      <c r="BK133" s="6"/>
      <c r="BO133" s="363" t="str">
        <f t="shared" ref="BO133:BO147" ca="1" si="91">BY133&amp;BS133&amp;BT133&amp;BU133</f>
        <v>0000</v>
      </c>
      <c r="BP133" s="854">
        <f t="shared" ref="BP133:BP147" ca="1" si="92">_xlfn.IFNA(VLOOKUP($BO133,$BO$182:$BR$207,2,FALSE),0)</f>
        <v>0</v>
      </c>
      <c r="BQ133" s="781">
        <f t="shared" ref="BQ133:BQ147" ca="1" si="93">_xlfn.IFNA(VLOOKUP($BO133,$BO$182:$BR$207,3,FALSE),0)</f>
        <v>0</v>
      </c>
      <c r="BR133" s="333">
        <f t="shared" ref="BR133:BR147" ca="1" si="94">_xlfn.IFNA(VLOOKUP($BO133,$BO$182:$BR$207,4,FALSE),0)</f>
        <v>0</v>
      </c>
      <c r="BS133" s="336">
        <f t="shared" ref="BS133:BS147" ca="1" si="95">IF(BV133=MIN($BV133:$BX133),0,IF(BV133=MAX($BV133:$BX133),2,1))</f>
        <v>0</v>
      </c>
      <c r="BT133" s="781">
        <f t="shared" ref="BT133:BT147" ca="1" si="96">IF(BW133=MIN($BV133:$BX133),0,IF(BW133=MAX($BV133:$BX133),2,1))</f>
        <v>0</v>
      </c>
      <c r="BU133" s="781">
        <f t="shared" ref="BU133:BU147" ca="1" si="97">IF(BX133=MIN($BV133:$BX133),0,IF(BX133=MAX($BV133:$BX133),2,1))</f>
        <v>0</v>
      </c>
      <c r="BV133" s="782">
        <f t="shared" ref="BV133:BV144" ca="1" si="98">BP109+BS109*$BR85</f>
        <v>0</v>
      </c>
      <c r="BW133" s="782">
        <f t="shared" ref="BW133:BW144" ca="1" si="99">BQ109+BT109*$BR85</f>
        <v>0</v>
      </c>
      <c r="BX133" s="782">
        <f t="shared" ref="BX133:BX144" ca="1" si="100">BR109+BU109*$BR85</f>
        <v>0</v>
      </c>
      <c r="BY133" s="783">
        <f t="shared" ref="BY133:BY147" ca="1" si="101">MOD(BZ133,3)</f>
        <v>0</v>
      </c>
      <c r="BZ133" s="782">
        <f t="shared" ref="BZ133:BZ147" ca="1" si="102">IF($BM85,MAX(BO85-SUM(BS109:BU109),0),0)</f>
        <v>0</v>
      </c>
      <c r="CB133" s="41" t="str">
        <f t="shared" si="89"/>
        <v>iID263</v>
      </c>
      <c r="CC133" s="213" t="s">
        <v>150</v>
      </c>
      <c r="CD133" s="213">
        <v>2</v>
      </c>
      <c r="CE133" s="214">
        <v>63</v>
      </c>
      <c r="CF133" s="214"/>
      <c r="CG133" s="201" t="s">
        <v>597</v>
      </c>
      <c r="CH133" s="6"/>
      <c r="CI133" s="6"/>
      <c r="CJ133" s="6"/>
      <c r="CK133" s="6"/>
      <c r="CL133" s="6"/>
      <c r="CM133" s="6"/>
      <c r="CN133" s="6"/>
      <c r="DH133" s="22"/>
      <c r="DI133" s="22"/>
      <c r="DJ133" s="22"/>
      <c r="DK133" s="344"/>
      <c r="DL133" s="375" t="str">
        <f t="shared" si="90"/>
        <v>TN-S450</v>
      </c>
      <c r="DM133" s="376" t="s">
        <v>5</v>
      </c>
      <c r="DN133" s="376">
        <v>4</v>
      </c>
      <c r="DO133" s="376">
        <v>50</v>
      </c>
      <c r="DP133" s="376">
        <v>1</v>
      </c>
      <c r="DQ133" s="377" t="s">
        <v>415</v>
      </c>
      <c r="DR133" s="358"/>
      <c r="DS133" s="358"/>
      <c r="DT133" s="358"/>
      <c r="DU133" s="358"/>
      <c r="DV133" s="358"/>
      <c r="DW133" s="358"/>
      <c r="DX133" s="358"/>
      <c r="DY133" s="358"/>
      <c r="DZ133" s="358"/>
      <c r="EA133" s="358"/>
      <c r="EB133" s="358"/>
      <c r="EC133" s="358"/>
      <c r="ED133" s="358"/>
      <c r="EE133" s="358"/>
      <c r="EF133" s="22"/>
      <c r="EG133" s="22"/>
      <c r="EH133" s="22"/>
      <c r="EI133" s="22"/>
      <c r="EJ133" s="22"/>
      <c r="EK133" s="22"/>
      <c r="EL133" s="22"/>
      <c r="EM133" s="22"/>
      <c r="EN133" s="344"/>
      <c r="EO133" s="344"/>
      <c r="EP133" s="22"/>
      <c r="EQ133" s="22"/>
      <c r="ER133" s="22"/>
      <c r="EU133" s="344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</row>
    <row r="134" spans="27:161" x14ac:dyDescent="0.2">
      <c r="AA134" s="49" t="s">
        <v>335</v>
      </c>
      <c r="AB134" s="437">
        <v>2</v>
      </c>
      <c r="AC134" s="8" t="s">
        <v>488</v>
      </c>
      <c r="AD134" s="11">
        <v>4</v>
      </c>
      <c r="AE134" s="8" t="s">
        <v>23</v>
      </c>
      <c r="AF134" s="107">
        <v>63</v>
      </c>
      <c r="AG134" s="232" t="s">
        <v>23</v>
      </c>
      <c r="AH134" s="259">
        <v>25</v>
      </c>
      <c r="AI134" s="102"/>
      <c r="AJ134" s="102" t="str">
        <f t="shared" si="87"/>
        <v>NG125N3</v>
      </c>
      <c r="AK134" s="201" t="s">
        <v>328</v>
      </c>
      <c r="AL134" s="240">
        <v>3</v>
      </c>
      <c r="AM134" s="240">
        <v>16</v>
      </c>
      <c r="AN134" s="102"/>
      <c r="AO134" s="102" t="str">
        <f t="shared" si="88"/>
        <v>iC60L6</v>
      </c>
      <c r="AP134" s="222" t="s">
        <v>21</v>
      </c>
      <c r="AQ134" s="256"/>
      <c r="AR134" s="256">
        <v>6</v>
      </c>
      <c r="AS134" s="222" t="s">
        <v>58</v>
      </c>
      <c r="AT134" s="102"/>
      <c r="AZ134" s="32">
        <f>Бланк!D25*5</f>
        <v>0</v>
      </c>
      <c r="BA134" s="11">
        <f>Бланк!F25*1.5</f>
        <v>0</v>
      </c>
      <c r="BB134" s="9" t="s">
        <v>71</v>
      </c>
      <c r="BC134" s="11">
        <f>0.95*BC138</f>
        <v>23.75</v>
      </c>
      <c r="BD134" s="231">
        <v>6</v>
      </c>
      <c r="BE134" s="232" t="s">
        <v>355</v>
      </c>
      <c r="BF134" s="6"/>
      <c r="BG134" s="6"/>
      <c r="BH134" s="6"/>
      <c r="BI134" s="6"/>
      <c r="BJ134" s="6"/>
      <c r="BK134" s="6"/>
      <c r="BO134" s="363" t="str">
        <f t="shared" ca="1" si="91"/>
        <v>0000</v>
      </c>
      <c r="BP134" s="854">
        <f t="shared" ca="1" si="92"/>
        <v>0</v>
      </c>
      <c r="BQ134" s="781">
        <f t="shared" ca="1" si="93"/>
        <v>0</v>
      </c>
      <c r="BR134" s="333">
        <f t="shared" ca="1" si="94"/>
        <v>0</v>
      </c>
      <c r="BS134" s="336">
        <f t="shared" ca="1" si="95"/>
        <v>0</v>
      </c>
      <c r="BT134" s="781">
        <f t="shared" ca="1" si="96"/>
        <v>0</v>
      </c>
      <c r="BU134" s="781">
        <f t="shared" ca="1" si="97"/>
        <v>0</v>
      </c>
      <c r="BV134" s="782">
        <f t="shared" ca="1" si="98"/>
        <v>0</v>
      </c>
      <c r="BW134" s="782">
        <f t="shared" ca="1" si="99"/>
        <v>0</v>
      </c>
      <c r="BX134" s="782">
        <f t="shared" ca="1" si="100"/>
        <v>0</v>
      </c>
      <c r="BY134" s="783">
        <f t="shared" ca="1" si="101"/>
        <v>0</v>
      </c>
      <c r="BZ134" s="782">
        <f t="shared" ca="1" si="102"/>
        <v>0</v>
      </c>
      <c r="CB134" s="41" t="str">
        <f t="shared" si="89"/>
        <v>iID263</v>
      </c>
      <c r="CC134" s="213" t="s">
        <v>150</v>
      </c>
      <c r="CD134" s="213">
        <v>2</v>
      </c>
      <c r="CE134" s="214">
        <v>63</v>
      </c>
      <c r="CF134" s="214"/>
      <c r="CG134" s="201" t="s">
        <v>290</v>
      </c>
      <c r="CH134" s="6"/>
      <c r="CI134" s="6"/>
      <c r="CJ134" s="6"/>
      <c r="CK134" s="6"/>
      <c r="CL134" s="6"/>
      <c r="CM134" s="6"/>
      <c r="CN134" s="6"/>
      <c r="DH134" s="22"/>
      <c r="DI134" s="22"/>
      <c r="DJ134" s="22"/>
      <c r="DK134" s="344"/>
      <c r="DL134" s="375" t="str">
        <f t="shared" si="90"/>
        <v>TN-S463</v>
      </c>
      <c r="DM134" s="376" t="s">
        <v>5</v>
      </c>
      <c r="DN134" s="376">
        <v>4</v>
      </c>
      <c r="DO134" s="376">
        <v>63</v>
      </c>
      <c r="DP134" s="376">
        <v>1</v>
      </c>
      <c r="DQ134" s="377" t="s">
        <v>349</v>
      </c>
      <c r="DR134" s="358"/>
      <c r="DS134" s="358"/>
      <c r="DT134" s="358"/>
      <c r="DU134" s="358"/>
      <c r="DV134" s="358"/>
      <c r="DW134" s="358"/>
      <c r="DX134" s="358"/>
      <c r="DY134" s="358"/>
      <c r="DZ134" s="358"/>
      <c r="EA134" s="358"/>
      <c r="EB134" s="358"/>
      <c r="EC134" s="358"/>
      <c r="ED134" s="358"/>
      <c r="EE134" s="358"/>
      <c r="EF134" s="22"/>
      <c r="EG134" s="22"/>
      <c r="EH134" s="22"/>
      <c r="EI134" s="22"/>
      <c r="EJ134" s="22"/>
      <c r="EK134" s="22"/>
      <c r="EL134" s="22"/>
      <c r="EM134" s="22"/>
      <c r="EN134" s="344"/>
      <c r="EO134" s="344"/>
      <c r="EP134" s="22"/>
      <c r="EQ134" s="22"/>
      <c r="ER134" s="22"/>
      <c r="EU134" s="344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</row>
    <row r="135" spans="27:161" x14ac:dyDescent="0.2">
      <c r="AA135" s="49" t="s">
        <v>335</v>
      </c>
      <c r="AB135" s="437">
        <v>3</v>
      </c>
      <c r="AC135" s="8" t="s">
        <v>143</v>
      </c>
      <c r="AD135" s="11">
        <v>3</v>
      </c>
      <c r="AE135" s="8" t="s">
        <v>23</v>
      </c>
      <c r="AF135" s="107">
        <v>80</v>
      </c>
      <c r="AG135" s="232" t="s">
        <v>23</v>
      </c>
      <c r="AH135" s="259">
        <v>32</v>
      </c>
      <c r="AI135" s="102"/>
      <c r="AJ135" s="102" t="str">
        <f t="shared" si="87"/>
        <v>NG125N3</v>
      </c>
      <c r="AK135" s="201" t="s">
        <v>328</v>
      </c>
      <c r="AL135" s="240">
        <v>3</v>
      </c>
      <c r="AM135" s="240">
        <v>20</v>
      </c>
      <c r="AN135" s="102"/>
      <c r="AO135" s="102" t="str">
        <f t="shared" si="88"/>
        <v>iC60L6</v>
      </c>
      <c r="AP135" s="222" t="s">
        <v>21</v>
      </c>
      <c r="AQ135" s="256"/>
      <c r="AR135" s="256">
        <v>6</v>
      </c>
      <c r="AS135" s="222" t="s">
        <v>307</v>
      </c>
      <c r="AT135" s="102"/>
      <c r="AZ135" s="32">
        <f>Бланк!D25*6</f>
        <v>0</v>
      </c>
      <c r="BA135" s="11">
        <f>Бланк!F25*2</f>
        <v>0</v>
      </c>
      <c r="BB135" s="9" t="s">
        <v>71</v>
      </c>
      <c r="BC135" s="11">
        <f>0.96*BC138</f>
        <v>24</v>
      </c>
      <c r="BD135" s="231">
        <v>6</v>
      </c>
      <c r="BE135" s="232" t="s">
        <v>352</v>
      </c>
      <c r="BF135" s="6"/>
      <c r="BG135" s="6"/>
      <c r="BH135" s="6"/>
      <c r="BI135" s="6"/>
      <c r="BJ135" s="6"/>
      <c r="BK135" s="6"/>
      <c r="BO135" s="363" t="str">
        <f t="shared" ca="1" si="91"/>
        <v>0000</v>
      </c>
      <c r="BP135" s="854">
        <f t="shared" ca="1" si="92"/>
        <v>0</v>
      </c>
      <c r="BQ135" s="781">
        <f t="shared" ca="1" si="93"/>
        <v>0</v>
      </c>
      <c r="BR135" s="333">
        <f t="shared" ca="1" si="94"/>
        <v>0</v>
      </c>
      <c r="BS135" s="336">
        <f t="shared" ca="1" si="95"/>
        <v>0</v>
      </c>
      <c r="BT135" s="781">
        <f t="shared" ca="1" si="96"/>
        <v>0</v>
      </c>
      <c r="BU135" s="781">
        <f t="shared" ca="1" si="97"/>
        <v>0</v>
      </c>
      <c r="BV135" s="782">
        <f t="shared" ca="1" si="98"/>
        <v>0</v>
      </c>
      <c r="BW135" s="782">
        <f t="shared" ca="1" si="99"/>
        <v>0</v>
      </c>
      <c r="BX135" s="782">
        <f t="shared" ca="1" si="100"/>
        <v>0</v>
      </c>
      <c r="BY135" s="783">
        <f t="shared" ca="1" si="101"/>
        <v>0</v>
      </c>
      <c r="BZ135" s="782">
        <f t="shared" ca="1" si="102"/>
        <v>0</v>
      </c>
      <c r="CB135" s="41" t="str">
        <f t="shared" si="89"/>
        <v>iID263</v>
      </c>
      <c r="CC135" s="213" t="s">
        <v>150</v>
      </c>
      <c r="CD135" s="213">
        <v>2</v>
      </c>
      <c r="CE135" s="214">
        <v>63</v>
      </c>
      <c r="CF135" s="214"/>
      <c r="CG135" s="201" t="s">
        <v>291</v>
      </c>
      <c r="CH135" s="6"/>
      <c r="CI135" s="6"/>
      <c r="CJ135" s="6"/>
      <c r="CK135" s="6"/>
      <c r="CL135" s="6"/>
      <c r="CM135" s="6"/>
      <c r="CN135" s="6"/>
      <c r="DH135" s="22"/>
      <c r="DI135" s="22"/>
      <c r="DJ135" s="22"/>
      <c r="DK135" s="344"/>
      <c r="DL135" s="375" t="str">
        <f t="shared" si="90"/>
        <v>TN-S480</v>
      </c>
      <c r="DM135" s="376" t="s">
        <v>5</v>
      </c>
      <c r="DN135" s="376">
        <v>4</v>
      </c>
      <c r="DO135" s="376">
        <v>80</v>
      </c>
      <c r="DP135" s="376">
        <v>1</v>
      </c>
      <c r="DQ135" s="377" t="s">
        <v>416</v>
      </c>
      <c r="DR135" s="358"/>
      <c r="DS135" s="358"/>
      <c r="DT135" s="358"/>
      <c r="DU135" s="358"/>
      <c r="DV135" s="358"/>
      <c r="DW135" s="358"/>
      <c r="DX135" s="358"/>
      <c r="DY135" s="358"/>
      <c r="DZ135" s="358"/>
      <c r="EA135" s="358"/>
      <c r="EB135" s="358"/>
      <c r="EC135" s="358"/>
      <c r="ED135" s="358"/>
      <c r="EE135" s="358"/>
      <c r="EF135" s="22"/>
      <c r="EG135" s="22"/>
      <c r="EH135" s="22"/>
      <c r="EI135" s="22"/>
      <c r="EJ135" s="22"/>
      <c r="EK135" s="22"/>
      <c r="EL135" s="22"/>
      <c r="EM135" s="22"/>
      <c r="EN135" s="344"/>
      <c r="EO135" s="344"/>
      <c r="EP135" s="22"/>
      <c r="EQ135" s="22"/>
      <c r="ER135" s="22"/>
      <c r="EU135" s="344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</row>
    <row r="136" spans="27:161" x14ac:dyDescent="0.2">
      <c r="AA136" s="49" t="s">
        <v>335</v>
      </c>
      <c r="AB136" s="437">
        <v>4</v>
      </c>
      <c r="AC136" s="8" t="s">
        <v>143</v>
      </c>
      <c r="AD136" s="11">
        <v>4</v>
      </c>
      <c r="AE136" s="8" t="s">
        <v>23</v>
      </c>
      <c r="AF136" s="107">
        <v>100</v>
      </c>
      <c r="AG136" s="232" t="s">
        <v>23</v>
      </c>
      <c r="AH136" s="259">
        <v>40</v>
      </c>
      <c r="AI136" s="102"/>
      <c r="AJ136" s="102" t="str">
        <f t="shared" si="87"/>
        <v>NG125N3</v>
      </c>
      <c r="AK136" s="201" t="s">
        <v>328</v>
      </c>
      <c r="AL136" s="240">
        <v>3</v>
      </c>
      <c r="AM136" s="240">
        <v>25</v>
      </c>
      <c r="AN136" s="102"/>
      <c r="AO136" s="102" t="str">
        <f t="shared" si="88"/>
        <v>iC60L6</v>
      </c>
      <c r="AP136" s="222" t="s">
        <v>21</v>
      </c>
      <c r="AQ136" s="256"/>
      <c r="AR136" s="256">
        <v>6</v>
      </c>
      <c r="AS136" s="222" t="s">
        <v>308</v>
      </c>
      <c r="AT136" s="102"/>
      <c r="AZ136" s="32">
        <f>Бланк!D25*7</f>
        <v>0</v>
      </c>
      <c r="BA136" s="11">
        <f>Бланк!F25*3</f>
        <v>0</v>
      </c>
      <c r="BB136" s="9" t="s">
        <v>71</v>
      </c>
      <c r="BC136" s="11">
        <f>0.97*BC138</f>
        <v>24.25</v>
      </c>
      <c r="BD136" s="231">
        <v>10</v>
      </c>
      <c r="BE136" s="233" t="s">
        <v>30</v>
      </c>
      <c r="BF136" s="42"/>
      <c r="BG136" s="42"/>
      <c r="BH136" s="42"/>
      <c r="BI136" s="42"/>
      <c r="BJ136" s="42"/>
      <c r="BK136" s="42"/>
      <c r="BO136" s="363" t="str">
        <f t="shared" ca="1" si="91"/>
        <v>0000</v>
      </c>
      <c r="BP136" s="854">
        <f t="shared" ca="1" si="92"/>
        <v>0</v>
      </c>
      <c r="BQ136" s="781">
        <f t="shared" ca="1" si="93"/>
        <v>0</v>
      </c>
      <c r="BR136" s="333">
        <f t="shared" ca="1" si="94"/>
        <v>0</v>
      </c>
      <c r="BS136" s="336">
        <f t="shared" ca="1" si="95"/>
        <v>0</v>
      </c>
      <c r="BT136" s="781">
        <f t="shared" ca="1" si="96"/>
        <v>0</v>
      </c>
      <c r="BU136" s="781">
        <f t="shared" ca="1" si="97"/>
        <v>0</v>
      </c>
      <c r="BV136" s="782">
        <f t="shared" ca="1" si="98"/>
        <v>0</v>
      </c>
      <c r="BW136" s="782">
        <f t="shared" ca="1" si="99"/>
        <v>0</v>
      </c>
      <c r="BX136" s="782">
        <f t="shared" ca="1" si="100"/>
        <v>0</v>
      </c>
      <c r="BY136" s="783">
        <f t="shared" ca="1" si="101"/>
        <v>0</v>
      </c>
      <c r="BZ136" s="782">
        <f t="shared" ca="1" si="102"/>
        <v>0</v>
      </c>
      <c r="CB136" s="41" t="str">
        <f t="shared" si="89"/>
        <v>iID263</v>
      </c>
      <c r="CC136" s="213" t="s">
        <v>150</v>
      </c>
      <c r="CD136" s="213">
        <v>2</v>
      </c>
      <c r="CE136" s="214">
        <v>63</v>
      </c>
      <c r="CF136" s="214"/>
      <c r="CG136" s="201" t="s">
        <v>292</v>
      </c>
      <c r="CH136" s="42"/>
      <c r="CI136" s="42"/>
      <c r="CJ136" s="42"/>
      <c r="CK136" s="42"/>
      <c r="CL136" s="42"/>
      <c r="CM136" s="42"/>
      <c r="CN136" s="42"/>
      <c r="DH136" s="22"/>
      <c r="DI136" s="22"/>
      <c r="DJ136" s="22"/>
      <c r="DK136" s="344"/>
      <c r="DL136" s="375" t="str">
        <f t="shared" si="90"/>
        <v>TN-S4100</v>
      </c>
      <c r="DM136" s="376" t="s">
        <v>5</v>
      </c>
      <c r="DN136" s="376">
        <v>4</v>
      </c>
      <c r="DO136" s="376">
        <v>100</v>
      </c>
      <c r="DP136" s="376">
        <v>1</v>
      </c>
      <c r="DQ136" s="377" t="s">
        <v>417</v>
      </c>
      <c r="DR136" s="358"/>
      <c r="DS136" s="358"/>
      <c r="DT136" s="358"/>
      <c r="DU136" s="358"/>
      <c r="DV136" s="358"/>
      <c r="DW136" s="358"/>
      <c r="DX136" s="358"/>
      <c r="DY136" s="358"/>
      <c r="DZ136" s="358"/>
      <c r="EA136" s="358"/>
      <c r="EB136" s="358"/>
      <c r="EC136" s="358"/>
      <c r="ED136" s="358"/>
      <c r="EE136" s="358"/>
      <c r="EF136" s="22"/>
      <c r="EG136" s="22"/>
      <c r="EH136" s="22"/>
      <c r="EI136" s="22"/>
      <c r="EJ136" s="22"/>
      <c r="EK136" s="22"/>
      <c r="EL136" s="22"/>
      <c r="EM136" s="22"/>
      <c r="EN136" s="344"/>
      <c r="EO136" s="344"/>
      <c r="EP136" s="22"/>
      <c r="EQ136" s="22"/>
      <c r="ER136" s="22"/>
      <c r="EU136" s="344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</row>
    <row r="137" spans="27:161" x14ac:dyDescent="0.2">
      <c r="AA137" s="49" t="s">
        <v>336</v>
      </c>
      <c r="AB137" s="437">
        <v>1</v>
      </c>
      <c r="AC137" s="8" t="s">
        <v>144</v>
      </c>
      <c r="AD137" s="11">
        <v>3</v>
      </c>
      <c r="AE137" s="8" t="s">
        <v>486</v>
      </c>
      <c r="AF137" s="107">
        <v>16</v>
      </c>
      <c r="AG137" s="232" t="s">
        <v>23</v>
      </c>
      <c r="AH137" s="259">
        <v>50</v>
      </c>
      <c r="AI137" s="102"/>
      <c r="AJ137" s="102" t="str">
        <f t="shared" si="87"/>
        <v>NG125N3</v>
      </c>
      <c r="AK137" s="201" t="s">
        <v>328</v>
      </c>
      <c r="AL137" s="240">
        <v>3</v>
      </c>
      <c r="AM137" s="240">
        <v>32</v>
      </c>
      <c r="AN137" s="102"/>
      <c r="AO137" s="102" t="str">
        <f t="shared" si="88"/>
        <v>iC60L10</v>
      </c>
      <c r="AP137" s="222" t="s">
        <v>21</v>
      </c>
      <c r="AQ137" s="256"/>
      <c r="AR137" s="256">
        <v>10</v>
      </c>
      <c r="AS137" s="222" t="s">
        <v>57</v>
      </c>
      <c r="AT137" s="102"/>
      <c r="AZ137" s="32">
        <f>Бланк!D25*8</f>
        <v>0</v>
      </c>
      <c r="BA137" s="11">
        <f>Бланк!F25*4</f>
        <v>0</v>
      </c>
      <c r="BB137" s="9" t="s">
        <v>71</v>
      </c>
      <c r="BC137" s="11">
        <f>0.98*BC138</f>
        <v>24.5</v>
      </c>
      <c r="BD137" s="231">
        <v>10</v>
      </c>
      <c r="BE137" s="232" t="s">
        <v>853</v>
      </c>
      <c r="BF137" s="6"/>
      <c r="BG137" s="6"/>
      <c r="BH137" s="6"/>
      <c r="BI137" s="6"/>
      <c r="BJ137" s="6"/>
      <c r="BK137" s="6"/>
      <c r="BO137" s="363" t="str">
        <f t="shared" ca="1" si="91"/>
        <v>0000</v>
      </c>
      <c r="BP137" s="854">
        <f t="shared" ca="1" si="92"/>
        <v>0</v>
      </c>
      <c r="BQ137" s="781">
        <f t="shared" ca="1" si="93"/>
        <v>0</v>
      </c>
      <c r="BR137" s="333">
        <f t="shared" ca="1" si="94"/>
        <v>0</v>
      </c>
      <c r="BS137" s="336">
        <f t="shared" ca="1" si="95"/>
        <v>0</v>
      </c>
      <c r="BT137" s="781">
        <f t="shared" ca="1" si="96"/>
        <v>0</v>
      </c>
      <c r="BU137" s="781">
        <f t="shared" ca="1" si="97"/>
        <v>0</v>
      </c>
      <c r="BV137" s="782">
        <f t="shared" ca="1" si="98"/>
        <v>0</v>
      </c>
      <c r="BW137" s="782">
        <f t="shared" ca="1" si="99"/>
        <v>0</v>
      </c>
      <c r="BX137" s="782">
        <f t="shared" ca="1" si="100"/>
        <v>0</v>
      </c>
      <c r="BY137" s="783">
        <f t="shared" ca="1" si="101"/>
        <v>0</v>
      </c>
      <c r="BZ137" s="782">
        <f t="shared" ca="1" si="102"/>
        <v>0</v>
      </c>
      <c r="CB137" s="41" t="str">
        <f t="shared" si="89"/>
        <v>iID263</v>
      </c>
      <c r="CC137" s="213" t="s">
        <v>150</v>
      </c>
      <c r="CD137" s="213">
        <v>2</v>
      </c>
      <c r="CE137" s="214">
        <v>63</v>
      </c>
      <c r="CF137" s="214"/>
      <c r="CG137" s="201" t="s">
        <v>293</v>
      </c>
      <c r="CH137" s="6"/>
      <c r="CI137" s="6"/>
      <c r="CJ137" s="6"/>
      <c r="CK137" s="6"/>
      <c r="CL137" s="6"/>
      <c r="CM137" s="6"/>
      <c r="CN137" s="6"/>
      <c r="DH137" s="22"/>
      <c r="DI137" s="22"/>
      <c r="DJ137" s="22"/>
      <c r="DK137" s="344"/>
      <c r="DL137" s="375" t="str">
        <f t="shared" si="90"/>
        <v>TN-S4125</v>
      </c>
      <c r="DM137" s="376" t="s">
        <v>5</v>
      </c>
      <c r="DN137" s="376">
        <v>4</v>
      </c>
      <c r="DO137" s="376">
        <v>125</v>
      </c>
      <c r="DP137" s="376">
        <v>1</v>
      </c>
      <c r="DQ137" s="377" t="s">
        <v>418</v>
      </c>
      <c r="DR137" s="358"/>
      <c r="DS137" s="358"/>
      <c r="DT137" s="358"/>
      <c r="DU137" s="358"/>
      <c r="DV137" s="358"/>
      <c r="DW137" s="358"/>
      <c r="DX137" s="358"/>
      <c r="DY137" s="358"/>
      <c r="DZ137" s="358"/>
      <c r="EA137" s="358"/>
      <c r="EB137" s="358"/>
      <c r="EC137" s="358"/>
      <c r="ED137" s="358"/>
      <c r="EE137" s="358"/>
      <c r="EF137" s="22"/>
      <c r="EG137" s="22"/>
      <c r="EH137" s="22"/>
      <c r="EI137" s="22"/>
      <c r="EJ137" s="22"/>
      <c r="EK137" s="22"/>
      <c r="EL137" s="22"/>
      <c r="EM137" s="22"/>
      <c r="EN137" s="344"/>
      <c r="EO137" s="344"/>
      <c r="EP137" s="22"/>
      <c r="EQ137" s="22"/>
      <c r="ER137" s="22"/>
      <c r="EU137" s="344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</row>
    <row r="138" spans="27:161" x14ac:dyDescent="0.2">
      <c r="AA138" s="49" t="s">
        <v>336</v>
      </c>
      <c r="AB138" s="437">
        <v>2</v>
      </c>
      <c r="AC138" s="8" t="s">
        <v>144</v>
      </c>
      <c r="AD138" s="11">
        <v>4</v>
      </c>
      <c r="AE138" s="8" t="s">
        <v>486</v>
      </c>
      <c r="AF138" s="107">
        <v>25</v>
      </c>
      <c r="AG138" s="232" t="s">
        <v>23</v>
      </c>
      <c r="AH138" s="259">
        <v>63</v>
      </c>
      <c r="AI138" s="102"/>
      <c r="AJ138" s="102" t="str">
        <f t="shared" si="87"/>
        <v>NG125N3</v>
      </c>
      <c r="AK138" s="201" t="s">
        <v>328</v>
      </c>
      <c r="AL138" s="240">
        <v>3</v>
      </c>
      <c r="AM138" s="240">
        <v>40</v>
      </c>
      <c r="AN138" s="102"/>
      <c r="AO138" s="102" t="str">
        <f t="shared" si="88"/>
        <v>iC60L10</v>
      </c>
      <c r="AP138" s="222" t="s">
        <v>21</v>
      </c>
      <c r="AQ138" s="256"/>
      <c r="AR138" s="256">
        <v>10</v>
      </c>
      <c r="AS138" s="222" t="s">
        <v>58</v>
      </c>
      <c r="AT138" s="102"/>
      <c r="AZ138" s="32">
        <f>Бланк!D25*9</f>
        <v>0</v>
      </c>
      <c r="BA138" s="11">
        <f>Бланк!F25*5</f>
        <v>0</v>
      </c>
      <c r="BB138" s="9" t="s">
        <v>71</v>
      </c>
      <c r="BC138" s="11">
        <v>25</v>
      </c>
      <c r="BD138" s="231">
        <v>10</v>
      </c>
      <c r="BE138" s="232" t="s">
        <v>854</v>
      </c>
      <c r="BF138" s="6"/>
      <c r="BG138" s="6"/>
      <c r="BH138" s="6"/>
      <c r="BI138" s="6"/>
      <c r="BJ138" s="6"/>
      <c r="BK138" s="6"/>
      <c r="BO138" s="363" t="str">
        <f t="shared" ca="1" si="91"/>
        <v>0000</v>
      </c>
      <c r="BP138" s="854">
        <f t="shared" ca="1" si="92"/>
        <v>0</v>
      </c>
      <c r="BQ138" s="781">
        <f t="shared" ca="1" si="93"/>
        <v>0</v>
      </c>
      <c r="BR138" s="333">
        <f t="shared" ca="1" si="94"/>
        <v>0</v>
      </c>
      <c r="BS138" s="336">
        <f t="shared" ca="1" si="95"/>
        <v>0</v>
      </c>
      <c r="BT138" s="781">
        <f t="shared" ca="1" si="96"/>
        <v>0</v>
      </c>
      <c r="BU138" s="781">
        <f t="shared" ca="1" si="97"/>
        <v>0</v>
      </c>
      <c r="BV138" s="782">
        <f t="shared" ca="1" si="98"/>
        <v>0</v>
      </c>
      <c r="BW138" s="782">
        <f t="shared" ca="1" si="99"/>
        <v>0</v>
      </c>
      <c r="BX138" s="782">
        <f t="shared" ca="1" si="100"/>
        <v>0</v>
      </c>
      <c r="BY138" s="783">
        <f t="shared" ca="1" si="101"/>
        <v>0</v>
      </c>
      <c r="BZ138" s="782">
        <f t="shared" ca="1" si="102"/>
        <v>0</v>
      </c>
      <c r="CB138" s="41" t="str">
        <f t="shared" si="89"/>
        <v>iID280</v>
      </c>
      <c r="CC138" s="213" t="s">
        <v>150</v>
      </c>
      <c r="CD138" s="213">
        <v>2</v>
      </c>
      <c r="CE138" s="214">
        <v>80</v>
      </c>
      <c r="CF138" s="214"/>
      <c r="CG138" s="201" t="s">
        <v>595</v>
      </c>
      <c r="CH138" s="6"/>
      <c r="CI138" s="6"/>
      <c r="CJ138" s="6"/>
      <c r="CK138" s="6"/>
      <c r="CL138" s="6"/>
      <c r="CM138" s="6"/>
      <c r="CN138" s="6"/>
      <c r="DH138" s="22"/>
      <c r="DI138" s="22"/>
      <c r="DJ138" s="22"/>
      <c r="DK138" s="344"/>
      <c r="DL138" s="375" t="str">
        <f t="shared" si="90"/>
        <v>TN-S4160</v>
      </c>
      <c r="DM138" s="376" t="s">
        <v>5</v>
      </c>
      <c r="DN138" s="376">
        <v>4</v>
      </c>
      <c r="DO138" s="376">
        <v>160</v>
      </c>
      <c r="DP138" s="376">
        <v>1</v>
      </c>
      <c r="DQ138" s="377" t="s">
        <v>419</v>
      </c>
      <c r="DR138" s="358"/>
      <c r="DS138" s="358"/>
      <c r="DT138" s="358"/>
      <c r="DU138" s="358"/>
      <c r="DV138" s="358"/>
      <c r="DW138" s="358"/>
      <c r="DX138" s="358"/>
      <c r="DY138" s="358"/>
      <c r="DZ138" s="358"/>
      <c r="EA138" s="358"/>
      <c r="EB138" s="358"/>
      <c r="EC138" s="358"/>
      <c r="ED138" s="358"/>
      <c r="EE138" s="358"/>
      <c r="EF138" s="22"/>
      <c r="EG138" s="22"/>
      <c r="EH138" s="22"/>
      <c r="EI138" s="22"/>
      <c r="EJ138" s="22"/>
      <c r="EK138" s="22"/>
      <c r="EL138" s="22"/>
      <c r="EM138" s="22"/>
      <c r="EN138" s="344"/>
      <c r="EO138" s="344"/>
      <c r="EP138" s="22"/>
      <c r="EQ138" s="22"/>
      <c r="ER138" s="22"/>
      <c r="EU138" s="344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</row>
    <row r="139" spans="27:161" x14ac:dyDescent="0.2">
      <c r="AA139" s="49" t="s">
        <v>336</v>
      </c>
      <c r="AB139" s="437">
        <v>3</v>
      </c>
      <c r="AC139" s="8" t="s">
        <v>145</v>
      </c>
      <c r="AD139" s="11">
        <v>3</v>
      </c>
      <c r="AE139" s="8" t="s">
        <v>486</v>
      </c>
      <c r="AF139" s="107">
        <v>32</v>
      </c>
      <c r="AG139" s="232" t="s">
        <v>23</v>
      </c>
      <c r="AH139" s="259">
        <v>80</v>
      </c>
      <c r="AI139" s="102"/>
      <c r="AJ139" s="102" t="str">
        <f t="shared" si="87"/>
        <v>NG125N3</v>
      </c>
      <c r="AK139" s="201" t="s">
        <v>328</v>
      </c>
      <c r="AL139" s="240">
        <v>3</v>
      </c>
      <c r="AM139" s="240">
        <v>50</v>
      </c>
      <c r="AN139" s="102"/>
      <c r="AO139" s="102" t="str">
        <f t="shared" si="88"/>
        <v>iC60L10</v>
      </c>
      <c r="AP139" s="222" t="s">
        <v>21</v>
      </c>
      <c r="AQ139" s="256"/>
      <c r="AR139" s="256">
        <v>10</v>
      </c>
      <c r="AS139" s="222" t="s">
        <v>307</v>
      </c>
      <c r="AT139" s="102"/>
      <c r="AZ139" s="32">
        <f>Бланк!D25*10</f>
        <v>0</v>
      </c>
      <c r="BA139" s="11">
        <f>Бланк!F25*6</f>
        <v>0</v>
      </c>
      <c r="BB139" s="9" t="s">
        <v>71</v>
      </c>
      <c r="BC139" s="11">
        <f>0.9*BC147</f>
        <v>25.2</v>
      </c>
      <c r="BD139" s="231">
        <v>10</v>
      </c>
      <c r="BE139" s="232" t="s">
        <v>855</v>
      </c>
      <c r="BF139" s="6"/>
      <c r="BG139" s="6"/>
      <c r="BH139" s="6"/>
      <c r="BI139" s="6"/>
      <c r="BJ139" s="6"/>
      <c r="BK139" s="6"/>
      <c r="BO139" s="363" t="str">
        <f t="shared" ca="1" si="91"/>
        <v>0000</v>
      </c>
      <c r="BP139" s="854">
        <f t="shared" ca="1" si="92"/>
        <v>0</v>
      </c>
      <c r="BQ139" s="781">
        <f t="shared" ca="1" si="93"/>
        <v>0</v>
      </c>
      <c r="BR139" s="333">
        <f t="shared" ca="1" si="94"/>
        <v>0</v>
      </c>
      <c r="BS139" s="336">
        <f t="shared" ca="1" si="95"/>
        <v>0</v>
      </c>
      <c r="BT139" s="781">
        <f t="shared" ca="1" si="96"/>
        <v>0</v>
      </c>
      <c r="BU139" s="781">
        <f t="shared" ca="1" si="97"/>
        <v>0</v>
      </c>
      <c r="BV139" s="782">
        <f t="shared" ca="1" si="98"/>
        <v>0</v>
      </c>
      <c r="BW139" s="782">
        <f t="shared" ca="1" si="99"/>
        <v>0</v>
      </c>
      <c r="BX139" s="782">
        <f t="shared" ca="1" si="100"/>
        <v>0</v>
      </c>
      <c r="BY139" s="783">
        <f t="shared" ca="1" si="101"/>
        <v>0</v>
      </c>
      <c r="BZ139" s="782">
        <f t="shared" ca="1" si="102"/>
        <v>0</v>
      </c>
      <c r="CB139" s="41" t="str">
        <f t="shared" si="89"/>
        <v>iID280</v>
      </c>
      <c r="CC139" s="213" t="s">
        <v>150</v>
      </c>
      <c r="CD139" s="213">
        <v>2</v>
      </c>
      <c r="CE139" s="214">
        <v>80</v>
      </c>
      <c r="CF139" s="214"/>
      <c r="CG139" s="201" t="s">
        <v>596</v>
      </c>
      <c r="CH139" s="6"/>
      <c r="CI139" s="6"/>
      <c r="CJ139" s="6"/>
      <c r="CK139" s="6"/>
      <c r="CL139" s="6"/>
      <c r="CM139" s="6"/>
      <c r="CN139" s="6"/>
      <c r="DH139" s="22"/>
      <c r="DI139" s="22"/>
      <c r="DJ139" s="22"/>
      <c r="DK139" s="344"/>
      <c r="DL139" s="375" t="str">
        <f t="shared" si="90"/>
        <v>TN-S4200</v>
      </c>
      <c r="DM139" s="376" t="s">
        <v>5</v>
      </c>
      <c r="DN139" s="376">
        <v>4</v>
      </c>
      <c r="DO139" s="376">
        <v>200</v>
      </c>
      <c r="DP139" s="376">
        <v>1</v>
      </c>
      <c r="DQ139" s="377" t="s">
        <v>420</v>
      </c>
      <c r="DR139" s="358"/>
      <c r="DS139" s="358"/>
      <c r="DT139" s="358"/>
      <c r="DU139" s="358"/>
      <c r="DV139" s="358"/>
      <c r="DW139" s="358"/>
      <c r="DX139" s="358"/>
      <c r="DY139" s="358"/>
      <c r="DZ139" s="358"/>
      <c r="EA139" s="358"/>
      <c r="EB139" s="358"/>
      <c r="EC139" s="358"/>
      <c r="ED139" s="358"/>
      <c r="EE139" s="358"/>
      <c r="EF139" s="22"/>
      <c r="EG139" s="22"/>
      <c r="EH139" s="22"/>
      <c r="EI139" s="22"/>
      <c r="EJ139" s="22"/>
      <c r="EK139" s="22"/>
      <c r="EL139" s="22"/>
      <c r="EM139" s="22"/>
      <c r="EN139" s="344"/>
      <c r="EO139" s="344"/>
      <c r="EP139" s="22"/>
      <c r="EQ139" s="22"/>
      <c r="ER139" s="22"/>
      <c r="EU139" s="344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</row>
    <row r="140" spans="27:161" x14ac:dyDescent="0.2">
      <c r="AA140" s="49" t="s">
        <v>336</v>
      </c>
      <c r="AB140" s="437">
        <v>4</v>
      </c>
      <c r="AC140" s="8" t="s">
        <v>145</v>
      </c>
      <c r="AD140" s="11">
        <v>4</v>
      </c>
      <c r="AE140" s="8" t="s">
        <v>486</v>
      </c>
      <c r="AF140" s="107">
        <v>40</v>
      </c>
      <c r="AG140" s="232" t="s">
        <v>23</v>
      </c>
      <c r="AH140" s="259">
        <v>100</v>
      </c>
      <c r="AI140" s="102"/>
      <c r="AJ140" s="102" t="str">
        <f t="shared" si="87"/>
        <v>NG125N3</v>
      </c>
      <c r="AK140" s="201" t="s">
        <v>328</v>
      </c>
      <c r="AL140" s="240">
        <v>3</v>
      </c>
      <c r="AM140" s="240">
        <v>63</v>
      </c>
      <c r="AN140" s="102"/>
      <c r="AO140" s="102" t="str">
        <f t="shared" si="88"/>
        <v>iC60L10</v>
      </c>
      <c r="AP140" s="222" t="s">
        <v>21</v>
      </c>
      <c r="AQ140" s="256"/>
      <c r="AR140" s="256">
        <v>10</v>
      </c>
      <c r="AS140" s="222" t="s">
        <v>308</v>
      </c>
      <c r="AT140" s="102"/>
      <c r="AZ140" s="32"/>
      <c r="BA140" s="11">
        <f>Бланк!F25*7</f>
        <v>0</v>
      </c>
      <c r="BB140" s="9" t="s">
        <v>71</v>
      </c>
      <c r="BC140" s="11">
        <f>0.92*BC147</f>
        <v>25.76</v>
      </c>
      <c r="BD140" s="231">
        <v>10</v>
      </c>
      <c r="BE140" s="232" t="s">
        <v>856</v>
      </c>
      <c r="BF140" s="6"/>
      <c r="BG140" s="6"/>
      <c r="BH140" s="6"/>
      <c r="BI140" s="6"/>
      <c r="BJ140" s="6"/>
      <c r="BK140" s="6"/>
      <c r="BO140" s="363" t="str">
        <f t="shared" ca="1" si="91"/>
        <v>0000</v>
      </c>
      <c r="BP140" s="854">
        <f t="shared" ca="1" si="92"/>
        <v>0</v>
      </c>
      <c r="BQ140" s="781">
        <f t="shared" ca="1" si="93"/>
        <v>0</v>
      </c>
      <c r="BR140" s="333">
        <f t="shared" ca="1" si="94"/>
        <v>0</v>
      </c>
      <c r="BS140" s="336">
        <f t="shared" ca="1" si="95"/>
        <v>0</v>
      </c>
      <c r="BT140" s="781">
        <f t="shared" ca="1" si="96"/>
        <v>0</v>
      </c>
      <c r="BU140" s="781">
        <f t="shared" ca="1" si="97"/>
        <v>0</v>
      </c>
      <c r="BV140" s="782">
        <f t="shared" ca="1" si="98"/>
        <v>0</v>
      </c>
      <c r="BW140" s="782">
        <f t="shared" ca="1" si="99"/>
        <v>0</v>
      </c>
      <c r="BX140" s="782">
        <f t="shared" ca="1" si="100"/>
        <v>0</v>
      </c>
      <c r="BY140" s="783">
        <f t="shared" ca="1" si="101"/>
        <v>0</v>
      </c>
      <c r="BZ140" s="782">
        <f t="shared" ca="1" si="102"/>
        <v>0</v>
      </c>
      <c r="CB140" s="41" t="str">
        <f t="shared" si="89"/>
        <v>iID280</v>
      </c>
      <c r="CC140" s="213" t="s">
        <v>150</v>
      </c>
      <c r="CD140" s="213">
        <v>2</v>
      </c>
      <c r="CE140" s="214">
        <v>80</v>
      </c>
      <c r="CF140" s="214"/>
      <c r="CG140" s="201" t="s">
        <v>597</v>
      </c>
      <c r="CH140" s="6"/>
      <c r="CI140" s="6"/>
      <c r="CJ140" s="6"/>
      <c r="CK140" s="6"/>
      <c r="CL140" s="6"/>
      <c r="CM140" s="6"/>
      <c r="CN140" s="6"/>
      <c r="DH140" s="22"/>
      <c r="DI140" s="22"/>
      <c r="DJ140" s="22"/>
      <c r="DK140" s="344"/>
      <c r="DL140" s="375" t="str">
        <f t="shared" si="90"/>
        <v>TN-S4250</v>
      </c>
      <c r="DM140" s="376" t="s">
        <v>5</v>
      </c>
      <c r="DN140" s="376">
        <v>4</v>
      </c>
      <c r="DO140" s="376">
        <v>250</v>
      </c>
      <c r="DP140" s="376">
        <v>1</v>
      </c>
      <c r="DQ140" s="377" t="s">
        <v>421</v>
      </c>
      <c r="DR140" s="358"/>
      <c r="DS140" s="358"/>
      <c r="DT140" s="358"/>
      <c r="DU140" s="358"/>
      <c r="DV140" s="358"/>
      <c r="DW140" s="358"/>
      <c r="DX140" s="358"/>
      <c r="DY140" s="358"/>
      <c r="DZ140" s="358"/>
      <c r="EA140" s="358"/>
      <c r="EB140" s="358"/>
      <c r="EC140" s="358"/>
      <c r="ED140" s="358"/>
      <c r="EE140" s="358"/>
      <c r="EF140" s="22"/>
      <c r="EG140" s="22"/>
      <c r="EH140" s="22"/>
      <c r="EI140" s="22"/>
      <c r="EJ140" s="22"/>
      <c r="EK140" s="22"/>
      <c r="EL140" s="22"/>
      <c r="EM140" s="22"/>
      <c r="EN140" s="344"/>
      <c r="EO140" s="344"/>
      <c r="EP140" s="22"/>
      <c r="EQ140" s="22"/>
      <c r="ER140" s="22"/>
      <c r="EU140" s="344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</row>
    <row r="141" spans="27:161" x14ac:dyDescent="0.2">
      <c r="AA141" s="155" t="s">
        <v>493</v>
      </c>
      <c r="AB141" s="437">
        <v>1</v>
      </c>
      <c r="AC141" s="8" t="s">
        <v>146</v>
      </c>
      <c r="AD141" s="11">
        <v>3</v>
      </c>
      <c r="AE141" s="8" t="s">
        <v>486</v>
      </c>
      <c r="AF141" s="107">
        <v>50</v>
      </c>
      <c r="AG141" s="232" t="s">
        <v>486</v>
      </c>
      <c r="AH141" s="259">
        <v>16</v>
      </c>
      <c r="AI141" s="102"/>
      <c r="AJ141" s="102" t="str">
        <f t="shared" si="87"/>
        <v>NG125N3</v>
      </c>
      <c r="AK141" s="201" t="s">
        <v>328</v>
      </c>
      <c r="AL141" s="240">
        <v>3</v>
      </c>
      <c r="AM141" s="240">
        <v>80</v>
      </c>
      <c r="AN141" s="102"/>
      <c r="AO141" s="102" t="str">
        <f t="shared" si="88"/>
        <v>iC60L13</v>
      </c>
      <c r="AP141" s="222" t="s">
        <v>21</v>
      </c>
      <c r="AQ141" s="256"/>
      <c r="AR141" s="256">
        <v>13</v>
      </c>
      <c r="AS141" s="222" t="s">
        <v>57</v>
      </c>
      <c r="AT141" s="102"/>
      <c r="AZ141" s="32"/>
      <c r="BA141" s="11">
        <f>Бланк!F25*8</f>
        <v>0</v>
      </c>
      <c r="BB141" s="9" t="s">
        <v>71</v>
      </c>
      <c r="BC141" s="11">
        <f>0.93*BC147</f>
        <v>26.040000000000003</v>
      </c>
      <c r="BD141" s="231">
        <v>10</v>
      </c>
      <c r="BE141" s="232" t="s">
        <v>353</v>
      </c>
      <c r="BF141" s="6"/>
      <c r="BG141" s="6"/>
      <c r="BH141" s="6"/>
      <c r="BI141" s="6"/>
      <c r="BJ141" s="6"/>
      <c r="BK141" s="6"/>
      <c r="BO141" s="363" t="str">
        <f t="shared" ca="1" si="91"/>
        <v>0000</v>
      </c>
      <c r="BP141" s="854">
        <f t="shared" ca="1" si="92"/>
        <v>0</v>
      </c>
      <c r="BQ141" s="781">
        <f t="shared" ca="1" si="93"/>
        <v>0</v>
      </c>
      <c r="BR141" s="333">
        <f t="shared" ca="1" si="94"/>
        <v>0</v>
      </c>
      <c r="BS141" s="336">
        <f t="shared" ca="1" si="95"/>
        <v>0</v>
      </c>
      <c r="BT141" s="781">
        <f t="shared" ca="1" si="96"/>
        <v>0</v>
      </c>
      <c r="BU141" s="781">
        <f t="shared" ca="1" si="97"/>
        <v>0</v>
      </c>
      <c r="BV141" s="782">
        <f t="shared" ca="1" si="98"/>
        <v>0</v>
      </c>
      <c r="BW141" s="782">
        <f t="shared" ca="1" si="99"/>
        <v>0</v>
      </c>
      <c r="BX141" s="782">
        <f t="shared" ca="1" si="100"/>
        <v>0</v>
      </c>
      <c r="BY141" s="783">
        <f t="shared" ca="1" si="101"/>
        <v>0</v>
      </c>
      <c r="BZ141" s="782">
        <f t="shared" ca="1" si="102"/>
        <v>0</v>
      </c>
      <c r="CB141" s="41" t="str">
        <f t="shared" si="89"/>
        <v>iID2100</v>
      </c>
      <c r="CC141" s="213" t="s">
        <v>150</v>
      </c>
      <c r="CD141" s="213">
        <v>2</v>
      </c>
      <c r="CE141" s="214">
        <v>100</v>
      </c>
      <c r="CF141" s="214"/>
      <c r="CG141" s="201" t="s">
        <v>595</v>
      </c>
      <c r="CH141" s="6"/>
      <c r="CI141" s="6"/>
      <c r="CJ141" s="6"/>
      <c r="CK141" s="6"/>
      <c r="CL141" s="6"/>
      <c r="CM141" s="6"/>
      <c r="CN141" s="6"/>
      <c r="DH141" s="22"/>
      <c r="DI141" s="22"/>
      <c r="DJ141" s="22"/>
      <c r="DK141" s="344"/>
      <c r="DL141" s="375" t="str">
        <f t="shared" si="90"/>
        <v>TN-S4400</v>
      </c>
      <c r="DM141" s="376" t="s">
        <v>5</v>
      </c>
      <c r="DN141" s="376">
        <v>4</v>
      </c>
      <c r="DO141" s="376">
        <v>400</v>
      </c>
      <c r="DP141" s="376">
        <v>2</v>
      </c>
      <c r="DQ141" s="377" t="s">
        <v>420</v>
      </c>
      <c r="DR141" s="358"/>
      <c r="DS141" s="358"/>
      <c r="DT141" s="358"/>
      <c r="DU141" s="358"/>
      <c r="DV141" s="358"/>
      <c r="DW141" s="358"/>
      <c r="DX141" s="358"/>
      <c r="DY141" s="358"/>
      <c r="DZ141" s="358"/>
      <c r="EA141" s="358"/>
      <c r="EB141" s="358"/>
      <c r="EC141" s="358"/>
      <c r="ED141" s="358"/>
      <c r="EE141" s="358"/>
      <c r="EF141" s="22"/>
      <c r="EG141" s="22"/>
      <c r="EH141" s="22"/>
      <c r="EI141" s="22"/>
      <c r="EJ141" s="22"/>
      <c r="EK141" s="22"/>
      <c r="EL141" s="22"/>
      <c r="EM141" s="22"/>
      <c r="EN141" s="344"/>
      <c r="EO141" s="344"/>
      <c r="EP141" s="22"/>
      <c r="EQ141" s="22"/>
      <c r="ER141" s="22"/>
      <c r="EU141" s="344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</row>
    <row r="142" spans="27:161" x14ac:dyDescent="0.2">
      <c r="AA142" s="155" t="s">
        <v>493</v>
      </c>
      <c r="AB142" s="437">
        <v>2</v>
      </c>
      <c r="AC142" s="8" t="s">
        <v>146</v>
      </c>
      <c r="AD142" s="11">
        <v>4</v>
      </c>
      <c r="AE142" s="8" t="s">
        <v>486</v>
      </c>
      <c r="AF142" s="107">
        <v>63</v>
      </c>
      <c r="AG142" s="232" t="s">
        <v>486</v>
      </c>
      <c r="AH142" s="259">
        <v>25</v>
      </c>
      <c r="AI142" s="102"/>
      <c r="AJ142" s="102" t="str">
        <f t="shared" si="87"/>
        <v>NG125N3</v>
      </c>
      <c r="AK142" s="201" t="s">
        <v>328</v>
      </c>
      <c r="AL142" s="240">
        <v>3</v>
      </c>
      <c r="AM142" s="240">
        <v>100</v>
      </c>
      <c r="AN142" s="102"/>
      <c r="AO142" s="102" t="str">
        <f t="shared" si="88"/>
        <v>iC60L13</v>
      </c>
      <c r="AP142" s="222" t="s">
        <v>21</v>
      </c>
      <c r="AQ142" s="256"/>
      <c r="AR142" s="256">
        <v>13</v>
      </c>
      <c r="AS142" s="222" t="s">
        <v>58</v>
      </c>
      <c r="AT142" s="102"/>
      <c r="AZ142" s="32"/>
      <c r="BA142" s="11">
        <f>Бланк!F25*10</f>
        <v>0</v>
      </c>
      <c r="BB142" s="9" t="s">
        <v>71</v>
      </c>
      <c r="BC142" s="11">
        <f>0.94*BC147</f>
        <v>26.32</v>
      </c>
      <c r="BD142" s="231">
        <v>10</v>
      </c>
      <c r="BE142" s="232" t="s">
        <v>354</v>
      </c>
      <c r="BF142" s="6"/>
      <c r="BG142" s="6"/>
      <c r="BH142" s="6"/>
      <c r="BI142" s="6"/>
      <c r="BJ142" s="6"/>
      <c r="BK142" s="6"/>
      <c r="BO142" s="363" t="str">
        <f t="shared" ca="1" si="91"/>
        <v>0000</v>
      </c>
      <c r="BP142" s="854">
        <f t="shared" ca="1" si="92"/>
        <v>0</v>
      </c>
      <c r="BQ142" s="781">
        <f t="shared" ca="1" si="93"/>
        <v>0</v>
      </c>
      <c r="BR142" s="333">
        <f t="shared" ca="1" si="94"/>
        <v>0</v>
      </c>
      <c r="BS142" s="336">
        <f t="shared" ca="1" si="95"/>
        <v>0</v>
      </c>
      <c r="BT142" s="781">
        <f t="shared" ca="1" si="96"/>
        <v>0</v>
      </c>
      <c r="BU142" s="781">
        <f t="shared" ca="1" si="97"/>
        <v>0</v>
      </c>
      <c r="BV142" s="782">
        <f t="shared" ca="1" si="98"/>
        <v>0</v>
      </c>
      <c r="BW142" s="782">
        <f t="shared" ca="1" si="99"/>
        <v>0</v>
      </c>
      <c r="BX142" s="782">
        <f t="shared" ca="1" si="100"/>
        <v>0</v>
      </c>
      <c r="BY142" s="783">
        <f t="shared" ca="1" si="101"/>
        <v>0</v>
      </c>
      <c r="BZ142" s="782">
        <f t="shared" ca="1" si="102"/>
        <v>0</v>
      </c>
      <c r="CB142" s="41" t="str">
        <f t="shared" si="89"/>
        <v>iID2100</v>
      </c>
      <c r="CC142" s="213" t="s">
        <v>150</v>
      </c>
      <c r="CD142" s="213">
        <v>2</v>
      </c>
      <c r="CE142" s="214">
        <v>100</v>
      </c>
      <c r="CF142" s="214"/>
      <c r="CG142" s="201" t="s">
        <v>596</v>
      </c>
      <c r="CH142" s="6"/>
      <c r="CI142" s="6"/>
      <c r="CJ142" s="6"/>
      <c r="CK142" s="6"/>
      <c r="CL142" s="6"/>
      <c r="CM142" s="6"/>
      <c r="CN142" s="6"/>
      <c r="DH142" s="22"/>
      <c r="DI142" s="22"/>
      <c r="DJ142" s="22"/>
      <c r="DK142" s="344"/>
      <c r="DL142" s="375" t="str">
        <f t="shared" si="90"/>
        <v>TN-S4630</v>
      </c>
      <c r="DM142" s="376" t="s">
        <v>5</v>
      </c>
      <c r="DN142" s="376">
        <v>4</v>
      </c>
      <c r="DO142" s="376">
        <v>630</v>
      </c>
      <c r="DP142" s="376">
        <v>2</v>
      </c>
      <c r="DQ142" s="377" t="s">
        <v>423</v>
      </c>
      <c r="DR142" s="358"/>
      <c r="DS142" s="358"/>
      <c r="DT142" s="358"/>
      <c r="DU142" s="358"/>
      <c r="DV142" s="358"/>
      <c r="DW142" s="358"/>
      <c r="DX142" s="358"/>
      <c r="DY142" s="358"/>
      <c r="DZ142" s="358"/>
      <c r="EA142" s="358"/>
      <c r="EB142" s="358"/>
      <c r="EC142" s="358"/>
      <c r="ED142" s="358"/>
      <c r="EE142" s="358"/>
      <c r="EF142" s="22"/>
      <c r="EG142" s="22"/>
      <c r="EH142" s="22"/>
      <c r="EI142" s="22"/>
      <c r="EJ142" s="22"/>
      <c r="EK142" s="22"/>
      <c r="EL142" s="22"/>
      <c r="EM142" s="22"/>
      <c r="EN142" s="344"/>
      <c r="EO142" s="344"/>
      <c r="EP142" s="22"/>
      <c r="EQ142" s="22"/>
      <c r="ER142" s="22"/>
      <c r="EU142" s="344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</row>
    <row r="143" spans="27:161" x14ac:dyDescent="0.2">
      <c r="AA143" s="155" t="s">
        <v>493</v>
      </c>
      <c r="AB143" s="437">
        <v>3</v>
      </c>
      <c r="AC143" s="8" t="s">
        <v>147</v>
      </c>
      <c r="AD143" s="11">
        <v>3</v>
      </c>
      <c r="AE143" s="8" t="s">
        <v>486</v>
      </c>
      <c r="AF143" s="107">
        <v>80</v>
      </c>
      <c r="AG143" s="232" t="s">
        <v>486</v>
      </c>
      <c r="AH143" s="259">
        <v>32</v>
      </c>
      <c r="AI143" s="102"/>
      <c r="AJ143" s="102" t="str">
        <f t="shared" si="87"/>
        <v>NG125N3</v>
      </c>
      <c r="AK143" s="201" t="s">
        <v>328</v>
      </c>
      <c r="AL143" s="240">
        <v>3</v>
      </c>
      <c r="AM143" s="240">
        <v>125</v>
      </c>
      <c r="AN143" s="102"/>
      <c r="AO143" s="102" t="str">
        <f t="shared" si="88"/>
        <v>iC60L13</v>
      </c>
      <c r="AP143" s="222" t="s">
        <v>21</v>
      </c>
      <c r="AQ143" s="256"/>
      <c r="AR143" s="256">
        <v>13</v>
      </c>
      <c r="AS143" s="222" t="s">
        <v>307</v>
      </c>
      <c r="AT143" s="102"/>
      <c r="AZ143" s="1430" t="s">
        <v>165</v>
      </c>
      <c r="BA143" s="1431"/>
      <c r="BB143" s="9" t="s">
        <v>71</v>
      </c>
      <c r="BC143" s="11">
        <f>0.95*BC147</f>
        <v>26.599999999999998</v>
      </c>
      <c r="BD143" s="231">
        <v>10</v>
      </c>
      <c r="BE143" s="232" t="s">
        <v>351</v>
      </c>
      <c r="BF143" s="6"/>
      <c r="BG143" s="6"/>
      <c r="BH143" s="6"/>
      <c r="BI143" s="6"/>
      <c r="BJ143" s="6"/>
      <c r="BK143" s="6"/>
      <c r="BO143" s="363" t="str">
        <f t="shared" ca="1" si="91"/>
        <v>0000</v>
      </c>
      <c r="BP143" s="854">
        <f t="shared" ca="1" si="92"/>
        <v>0</v>
      </c>
      <c r="BQ143" s="781">
        <f t="shared" ca="1" si="93"/>
        <v>0</v>
      </c>
      <c r="BR143" s="333">
        <f t="shared" ca="1" si="94"/>
        <v>0</v>
      </c>
      <c r="BS143" s="336">
        <f t="shared" ca="1" si="95"/>
        <v>0</v>
      </c>
      <c r="BT143" s="781">
        <f t="shared" ca="1" si="96"/>
        <v>0</v>
      </c>
      <c r="BU143" s="781">
        <f t="shared" ca="1" si="97"/>
        <v>0</v>
      </c>
      <c r="BV143" s="782">
        <f t="shared" ca="1" si="98"/>
        <v>0</v>
      </c>
      <c r="BW143" s="782">
        <f t="shared" ca="1" si="99"/>
        <v>0</v>
      </c>
      <c r="BX143" s="782">
        <f t="shared" ca="1" si="100"/>
        <v>0</v>
      </c>
      <c r="BY143" s="783">
        <f t="shared" ca="1" si="101"/>
        <v>0</v>
      </c>
      <c r="BZ143" s="782">
        <f t="shared" ca="1" si="102"/>
        <v>0</v>
      </c>
      <c r="CB143" s="41" t="str">
        <f t="shared" si="89"/>
        <v>iID2100</v>
      </c>
      <c r="CC143" s="213" t="s">
        <v>150</v>
      </c>
      <c r="CD143" s="213">
        <v>2</v>
      </c>
      <c r="CE143" s="214">
        <v>100</v>
      </c>
      <c r="CF143" s="214"/>
      <c r="CG143" s="201" t="s">
        <v>597</v>
      </c>
      <c r="CH143" s="6"/>
      <c r="CI143" s="6"/>
      <c r="CJ143" s="6"/>
      <c r="CK143" s="6"/>
      <c r="CL143" s="6"/>
      <c r="CM143" s="6"/>
      <c r="CN143" s="6"/>
      <c r="DH143" s="22"/>
      <c r="DI143" s="22"/>
      <c r="DJ143" s="22"/>
      <c r="DK143" s="344"/>
      <c r="DL143" s="375" t="str">
        <f t="shared" si="90"/>
        <v>TT110</v>
      </c>
      <c r="DM143" s="376" t="s">
        <v>763</v>
      </c>
      <c r="DN143" s="376">
        <v>1</v>
      </c>
      <c r="DO143" s="376">
        <v>10</v>
      </c>
      <c r="DP143" s="376">
        <v>1</v>
      </c>
      <c r="DQ143" s="377" t="s">
        <v>369</v>
      </c>
      <c r="DR143" s="358"/>
      <c r="DS143" s="358"/>
      <c r="DT143" s="358"/>
      <c r="DU143" s="358"/>
      <c r="DV143" s="358"/>
      <c r="DW143" s="358"/>
      <c r="DX143" s="358"/>
      <c r="DY143" s="358"/>
      <c r="DZ143" s="358"/>
      <c r="EA143" s="358"/>
      <c r="EB143" s="358"/>
      <c r="EC143" s="358"/>
      <c r="ED143" s="358"/>
      <c r="EE143" s="358"/>
      <c r="EF143" s="22"/>
      <c r="EG143" s="22"/>
      <c r="EH143" s="22"/>
      <c r="EI143" s="22"/>
      <c r="EJ143" s="22"/>
      <c r="EK143" s="22"/>
      <c r="EL143" s="22"/>
      <c r="EM143" s="22"/>
      <c r="EN143" s="344"/>
      <c r="EO143" s="344"/>
      <c r="EP143" s="22"/>
      <c r="EQ143" s="22"/>
      <c r="ER143" s="22"/>
      <c r="EU143" s="344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</row>
    <row r="144" spans="27:161" x14ac:dyDescent="0.2">
      <c r="AA144" s="155" t="s">
        <v>493</v>
      </c>
      <c r="AB144" s="437">
        <v>4</v>
      </c>
      <c r="AC144" s="116" t="s">
        <v>147</v>
      </c>
      <c r="AD144" s="117">
        <v>4</v>
      </c>
      <c r="AE144" s="8" t="s">
        <v>486</v>
      </c>
      <c r="AF144" s="107">
        <v>100</v>
      </c>
      <c r="AG144" s="232" t="s">
        <v>486</v>
      </c>
      <c r="AH144" s="259">
        <v>40</v>
      </c>
      <c r="AI144" s="102"/>
      <c r="AJ144" s="102" t="str">
        <f t="shared" si="87"/>
        <v>NG125N4</v>
      </c>
      <c r="AK144" s="201" t="s">
        <v>328</v>
      </c>
      <c r="AL144" s="240">
        <v>4</v>
      </c>
      <c r="AM144" s="240">
        <v>10</v>
      </c>
      <c r="AN144" s="102"/>
      <c r="AO144" s="102" t="str">
        <f t="shared" si="88"/>
        <v>iC60L13</v>
      </c>
      <c r="AP144" s="222" t="s">
        <v>21</v>
      </c>
      <c r="AQ144" s="256"/>
      <c r="AR144" s="256">
        <v>13</v>
      </c>
      <c r="AS144" s="222" t="s">
        <v>308</v>
      </c>
      <c r="AT144" s="102"/>
      <c r="AZ144" s="32">
        <f>Бланк!D26*5</f>
        <v>0</v>
      </c>
      <c r="BA144" s="11">
        <f>Бланк!F26*1.5</f>
        <v>0</v>
      </c>
      <c r="BB144" s="9" t="s">
        <v>71</v>
      </c>
      <c r="BC144" s="11">
        <f>0.96*BC147</f>
        <v>26.88</v>
      </c>
      <c r="BD144" s="231">
        <v>10</v>
      </c>
      <c r="BE144" s="232" t="s">
        <v>355</v>
      </c>
      <c r="BF144" s="6"/>
      <c r="BG144" s="6"/>
      <c r="BH144" s="6"/>
      <c r="BI144" s="6"/>
      <c r="BJ144" s="6"/>
      <c r="BK144" s="6"/>
      <c r="BO144" s="363" t="str">
        <f t="shared" ca="1" si="91"/>
        <v>0000</v>
      </c>
      <c r="BP144" s="854">
        <f t="shared" ca="1" si="92"/>
        <v>0</v>
      </c>
      <c r="BQ144" s="781">
        <f t="shared" ca="1" si="93"/>
        <v>0</v>
      </c>
      <c r="BR144" s="333">
        <f t="shared" ca="1" si="94"/>
        <v>0</v>
      </c>
      <c r="BS144" s="336">
        <f t="shared" ca="1" si="95"/>
        <v>0</v>
      </c>
      <c r="BT144" s="781">
        <f t="shared" ca="1" si="96"/>
        <v>0</v>
      </c>
      <c r="BU144" s="781">
        <f t="shared" ca="1" si="97"/>
        <v>0</v>
      </c>
      <c r="BV144" s="782">
        <f t="shared" ca="1" si="98"/>
        <v>0</v>
      </c>
      <c r="BW144" s="782">
        <f t="shared" ca="1" si="99"/>
        <v>0</v>
      </c>
      <c r="BX144" s="782">
        <f t="shared" ca="1" si="100"/>
        <v>0</v>
      </c>
      <c r="BY144" s="783">
        <f t="shared" ca="1" si="101"/>
        <v>0</v>
      </c>
      <c r="BZ144" s="782">
        <f t="shared" ca="1" si="102"/>
        <v>0</v>
      </c>
      <c r="CB144" s="41" t="str">
        <f t="shared" si="89"/>
        <v>iID2100</v>
      </c>
      <c r="CC144" s="213" t="s">
        <v>150</v>
      </c>
      <c r="CD144" s="213">
        <v>2</v>
      </c>
      <c r="CE144" s="214">
        <v>100</v>
      </c>
      <c r="CF144" s="214"/>
      <c r="CG144" s="201" t="s">
        <v>290</v>
      </c>
      <c r="CH144" s="6"/>
      <c r="CI144" s="6"/>
      <c r="CJ144" s="6"/>
      <c r="CK144" s="6"/>
      <c r="CL144" s="6"/>
      <c r="CM144" s="6"/>
      <c r="CN144" s="6"/>
      <c r="DH144" s="22"/>
      <c r="DI144" s="22"/>
      <c r="DJ144" s="22"/>
      <c r="DK144" s="344"/>
      <c r="DL144" s="375" t="str">
        <f t="shared" si="90"/>
        <v>TT120</v>
      </c>
      <c r="DM144" s="376" t="s">
        <v>763</v>
      </c>
      <c r="DN144" s="376">
        <v>1</v>
      </c>
      <c r="DO144" s="376">
        <v>20</v>
      </c>
      <c r="DP144" s="376">
        <v>1</v>
      </c>
      <c r="DQ144" s="377" t="s">
        <v>370</v>
      </c>
      <c r="DR144" s="358"/>
      <c r="DS144" s="358"/>
      <c r="DT144" s="358"/>
      <c r="DU144" s="358"/>
      <c r="DV144" s="358"/>
      <c r="DW144" s="358"/>
      <c r="DX144" s="358"/>
      <c r="DY144" s="358"/>
      <c r="DZ144" s="358"/>
      <c r="EA144" s="358"/>
      <c r="EB144" s="358"/>
      <c r="EC144" s="358"/>
      <c r="ED144" s="358"/>
      <c r="EE144" s="358"/>
      <c r="EF144" s="22"/>
      <c r="EG144" s="22"/>
      <c r="EH144" s="22"/>
      <c r="EI144" s="22"/>
      <c r="EJ144" s="22"/>
      <c r="EK144" s="22"/>
      <c r="EL144" s="22"/>
      <c r="EM144" s="22"/>
      <c r="EN144" s="344"/>
      <c r="EO144" s="344"/>
      <c r="EP144" s="22"/>
      <c r="EQ144" s="22"/>
      <c r="ER144" s="22"/>
      <c r="EU144" s="344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</row>
    <row r="145" spans="27:161" x14ac:dyDescent="0.2">
      <c r="AA145" s="155" t="s">
        <v>495</v>
      </c>
      <c r="AB145" s="437">
        <v>1</v>
      </c>
      <c r="AE145" s="8" t="s">
        <v>24</v>
      </c>
      <c r="AF145" s="107">
        <v>125</v>
      </c>
      <c r="AG145" s="232" t="s">
        <v>486</v>
      </c>
      <c r="AH145" s="259">
        <v>50</v>
      </c>
      <c r="AI145" s="102"/>
      <c r="AJ145" s="102" t="str">
        <f t="shared" si="87"/>
        <v>NG125N4</v>
      </c>
      <c r="AK145" s="201" t="s">
        <v>328</v>
      </c>
      <c r="AL145" s="240">
        <v>4</v>
      </c>
      <c r="AM145" s="240">
        <v>16</v>
      </c>
      <c r="AN145" s="102"/>
      <c r="AO145" s="102" t="str">
        <f t="shared" si="88"/>
        <v>iC60L15</v>
      </c>
      <c r="AP145" s="222" t="s">
        <v>21</v>
      </c>
      <c r="AQ145" s="256"/>
      <c r="AR145" s="256">
        <v>15</v>
      </c>
      <c r="AS145" s="222" t="s">
        <v>57</v>
      </c>
      <c r="AT145" s="102"/>
      <c r="AZ145" s="32">
        <f>Бланк!D26*6</f>
        <v>0</v>
      </c>
      <c r="BA145" s="11">
        <f>Бланк!F26*2</f>
        <v>0</v>
      </c>
      <c r="BB145" s="9" t="s">
        <v>71</v>
      </c>
      <c r="BC145" s="11">
        <f>0.97*BC147</f>
        <v>27.16</v>
      </c>
      <c r="BD145" s="231">
        <v>10</v>
      </c>
      <c r="BE145" s="232" t="s">
        <v>352</v>
      </c>
      <c r="BO145" s="363" t="str">
        <f t="shared" ca="1" si="91"/>
        <v>0022</v>
      </c>
      <c r="BP145" s="854">
        <f t="shared" ca="1" si="92"/>
        <v>0</v>
      </c>
      <c r="BQ145" s="781">
        <f t="shared" ca="1" si="93"/>
        <v>0</v>
      </c>
      <c r="BR145" s="333">
        <f t="shared" ca="1" si="94"/>
        <v>0</v>
      </c>
      <c r="BS145" s="336">
        <f t="shared" ca="1" si="95"/>
        <v>0</v>
      </c>
      <c r="BT145" s="781">
        <f t="shared" ca="1" si="96"/>
        <v>2</v>
      </c>
      <c r="BU145" s="781">
        <f t="shared" ca="1" si="97"/>
        <v>2</v>
      </c>
      <c r="BV145" s="830">
        <f ca="1">BP121+BS121*$BR97</f>
        <v>0</v>
      </c>
      <c r="BW145" s="830">
        <v>361</v>
      </c>
      <c r="BX145" s="830">
        <v>361</v>
      </c>
      <c r="BY145" s="783">
        <f t="shared" ca="1" si="101"/>
        <v>0</v>
      </c>
      <c r="BZ145" s="782">
        <f t="shared" ca="1" si="102"/>
        <v>0</v>
      </c>
      <c r="CB145" s="41" t="str">
        <f t="shared" si="89"/>
        <v>iID2100</v>
      </c>
      <c r="CC145" s="213" t="s">
        <v>150</v>
      </c>
      <c r="CD145" s="213">
        <v>2</v>
      </c>
      <c r="CE145" s="214">
        <v>100</v>
      </c>
      <c r="CF145" s="214"/>
      <c r="CG145" s="201" t="s">
        <v>291</v>
      </c>
      <c r="DH145" s="22"/>
      <c r="DI145" s="22"/>
      <c r="DJ145" s="22"/>
      <c r="DK145" s="344"/>
      <c r="DL145" s="375" t="str">
        <f t="shared" si="90"/>
        <v>TT125</v>
      </c>
      <c r="DM145" s="376" t="s">
        <v>763</v>
      </c>
      <c r="DN145" s="376">
        <v>1</v>
      </c>
      <c r="DO145" s="376">
        <v>25</v>
      </c>
      <c r="DP145" s="376">
        <v>1</v>
      </c>
      <c r="DQ145" s="377" t="s">
        <v>371</v>
      </c>
      <c r="DR145" s="358"/>
      <c r="DS145" s="358"/>
      <c r="DT145" s="358"/>
      <c r="DU145" s="358"/>
      <c r="DV145" s="358"/>
      <c r="DW145" s="358"/>
      <c r="DX145" s="358"/>
      <c r="DY145" s="358"/>
      <c r="DZ145" s="358"/>
      <c r="EA145" s="358"/>
      <c r="EB145" s="358"/>
      <c r="EC145" s="358"/>
      <c r="ED145" s="358"/>
      <c r="EE145" s="358"/>
      <c r="EF145" s="22"/>
      <c r="EG145" s="22"/>
      <c r="EH145" s="22"/>
      <c r="EI145" s="22"/>
      <c r="EJ145" s="22"/>
      <c r="EK145" s="22"/>
      <c r="EL145" s="22"/>
      <c r="EM145" s="22"/>
      <c r="EN145" s="344"/>
      <c r="EO145" s="344"/>
      <c r="EP145" s="22"/>
      <c r="EQ145" s="22"/>
      <c r="ER145" s="22"/>
      <c r="EU145" s="344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</row>
    <row r="146" spans="27:161" x14ac:dyDescent="0.2">
      <c r="AA146" s="155" t="s">
        <v>495</v>
      </c>
      <c r="AB146" s="437">
        <v>2</v>
      </c>
      <c r="AE146" s="8" t="s">
        <v>24</v>
      </c>
      <c r="AF146" s="107">
        <v>160</v>
      </c>
      <c r="AG146" s="232" t="s">
        <v>486</v>
      </c>
      <c r="AH146" s="259">
        <v>63</v>
      </c>
      <c r="AI146" s="102"/>
      <c r="AJ146" s="102" t="str">
        <f t="shared" si="87"/>
        <v>NG125N4</v>
      </c>
      <c r="AK146" s="201" t="s">
        <v>328</v>
      </c>
      <c r="AL146" s="240">
        <v>4</v>
      </c>
      <c r="AM146" s="240">
        <v>20</v>
      </c>
      <c r="AN146" s="102"/>
      <c r="AO146" s="102" t="str">
        <f t="shared" si="88"/>
        <v>iC60L15</v>
      </c>
      <c r="AP146" s="222" t="s">
        <v>21</v>
      </c>
      <c r="AQ146" s="256"/>
      <c r="AR146" s="256">
        <v>15</v>
      </c>
      <c r="AS146" s="222" t="s">
        <v>58</v>
      </c>
      <c r="AT146" s="102"/>
      <c r="AZ146" s="32">
        <f>Бланк!D26*7</f>
        <v>0</v>
      </c>
      <c r="BA146" s="11">
        <f>Бланк!F26*3</f>
        <v>0</v>
      </c>
      <c r="BB146" s="9" t="s">
        <v>71</v>
      </c>
      <c r="BC146" s="11">
        <f>0.98*BC147</f>
        <v>27.439999999999998</v>
      </c>
      <c r="BD146" s="231">
        <v>13</v>
      </c>
      <c r="BE146" s="233" t="s">
        <v>30</v>
      </c>
      <c r="BF146" s="18"/>
      <c r="BG146" s="18"/>
      <c r="BH146" s="18"/>
      <c r="BI146" s="18"/>
      <c r="BJ146" s="18"/>
      <c r="BK146" s="18"/>
      <c r="BO146" s="363" t="str">
        <f t="shared" ca="1" si="91"/>
        <v>0000</v>
      </c>
      <c r="BP146" s="854">
        <f t="shared" ca="1" si="92"/>
        <v>0</v>
      </c>
      <c r="BQ146" s="781">
        <f t="shared" ca="1" si="93"/>
        <v>0</v>
      </c>
      <c r="BR146" s="333">
        <f t="shared" ca="1" si="94"/>
        <v>0</v>
      </c>
      <c r="BS146" s="336">
        <f t="shared" ca="1" si="95"/>
        <v>0</v>
      </c>
      <c r="BT146" s="781">
        <f t="shared" ca="1" si="96"/>
        <v>0</v>
      </c>
      <c r="BU146" s="781">
        <f t="shared" ca="1" si="97"/>
        <v>0</v>
      </c>
      <c r="BV146" s="782">
        <f ca="1">BP122+BS122*$BR98</f>
        <v>0</v>
      </c>
      <c r="BW146" s="782">
        <f ca="1">BQ122+BT122*$BR98</f>
        <v>0</v>
      </c>
      <c r="BX146" s="782">
        <f ca="1">BR122+BU122*$BR98</f>
        <v>0</v>
      </c>
      <c r="BY146" s="783">
        <f t="shared" ca="1" si="101"/>
        <v>0</v>
      </c>
      <c r="BZ146" s="782">
        <f t="shared" ca="1" si="102"/>
        <v>0</v>
      </c>
      <c r="CB146" s="41" t="str">
        <f t="shared" si="89"/>
        <v>iID2100</v>
      </c>
      <c r="CC146" s="213" t="s">
        <v>150</v>
      </c>
      <c r="CD146" s="213">
        <v>2</v>
      </c>
      <c r="CE146" s="214">
        <v>100</v>
      </c>
      <c r="CF146" s="214"/>
      <c r="CG146" s="201" t="s">
        <v>292</v>
      </c>
      <c r="CH146" s="18"/>
      <c r="CI146" s="18"/>
      <c r="CJ146" s="18"/>
      <c r="CK146" s="18"/>
      <c r="CL146" s="18"/>
      <c r="CM146" s="18"/>
      <c r="CN146" s="18"/>
      <c r="DH146" s="22"/>
      <c r="DI146" s="22"/>
      <c r="DJ146" s="22"/>
      <c r="DK146" s="344"/>
      <c r="DL146" s="375" t="str">
        <f t="shared" si="90"/>
        <v>TT132</v>
      </c>
      <c r="DM146" s="376" t="s">
        <v>763</v>
      </c>
      <c r="DN146" s="376">
        <v>1</v>
      </c>
      <c r="DO146" s="376">
        <v>32</v>
      </c>
      <c r="DP146" s="376">
        <v>1</v>
      </c>
      <c r="DQ146" s="377" t="s">
        <v>372</v>
      </c>
      <c r="DR146" s="358"/>
      <c r="DS146" s="358"/>
      <c r="DT146" s="358"/>
      <c r="DU146" s="358"/>
      <c r="DV146" s="358"/>
      <c r="DW146" s="358"/>
      <c r="DX146" s="358"/>
      <c r="DY146" s="358"/>
      <c r="DZ146" s="358"/>
      <c r="EA146" s="358"/>
      <c r="EB146" s="358"/>
      <c r="EC146" s="358"/>
      <c r="ED146" s="358"/>
      <c r="EE146" s="358"/>
      <c r="EF146" s="22"/>
      <c r="EG146" s="22"/>
      <c r="EH146" s="22"/>
      <c r="EI146" s="22"/>
      <c r="EJ146" s="22"/>
      <c r="EK146" s="22"/>
      <c r="EL146" s="22"/>
      <c r="EM146" s="22"/>
      <c r="EN146" s="344"/>
      <c r="EO146" s="344"/>
      <c r="EP146" s="22"/>
      <c r="EQ146" s="22"/>
      <c r="ER146" s="22"/>
      <c r="EU146" s="344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</row>
    <row r="147" spans="27:161" x14ac:dyDescent="0.2">
      <c r="AA147" s="155" t="s">
        <v>495</v>
      </c>
      <c r="AB147" s="437">
        <v>3</v>
      </c>
      <c r="AE147" s="8" t="s">
        <v>25</v>
      </c>
      <c r="AF147" s="107">
        <v>125</v>
      </c>
      <c r="AG147" s="232" t="s">
        <v>486</v>
      </c>
      <c r="AH147" s="259">
        <v>80</v>
      </c>
      <c r="AI147" s="102"/>
      <c r="AJ147" s="102" t="str">
        <f t="shared" si="87"/>
        <v>NG125N4</v>
      </c>
      <c r="AK147" s="201" t="s">
        <v>328</v>
      </c>
      <c r="AL147" s="240">
        <v>4</v>
      </c>
      <c r="AM147" s="240">
        <v>25</v>
      </c>
      <c r="AN147" s="102"/>
      <c r="AO147" s="102" t="str">
        <f t="shared" si="88"/>
        <v>iC60L15</v>
      </c>
      <c r="AP147" s="222" t="s">
        <v>21</v>
      </c>
      <c r="AQ147" s="256"/>
      <c r="AR147" s="256">
        <v>15</v>
      </c>
      <c r="AS147" s="222" t="s">
        <v>307</v>
      </c>
      <c r="AT147" s="102"/>
      <c r="AZ147" s="32">
        <f>Бланк!D26*8</f>
        <v>0</v>
      </c>
      <c r="BA147" s="11">
        <f>Бланк!F26*4</f>
        <v>0</v>
      </c>
      <c r="BB147" s="9" t="s">
        <v>71</v>
      </c>
      <c r="BC147" s="11">
        <v>28</v>
      </c>
      <c r="BD147" s="231">
        <v>13</v>
      </c>
      <c r="BE147" s="232" t="s">
        <v>853</v>
      </c>
      <c r="BO147" s="363" t="str">
        <f t="shared" ca="1" si="91"/>
        <v>0000</v>
      </c>
      <c r="BP147" s="854">
        <f t="shared" ca="1" si="92"/>
        <v>0</v>
      </c>
      <c r="BQ147" s="1024">
        <f t="shared" ca="1" si="93"/>
        <v>0</v>
      </c>
      <c r="BR147" s="333">
        <f t="shared" ca="1" si="94"/>
        <v>0</v>
      </c>
      <c r="BS147" s="336">
        <f t="shared" ca="1" si="95"/>
        <v>0</v>
      </c>
      <c r="BT147" s="1024">
        <f t="shared" ca="1" si="96"/>
        <v>0</v>
      </c>
      <c r="BU147" s="1024">
        <f t="shared" ca="1" si="97"/>
        <v>0</v>
      </c>
      <c r="BV147" s="1025">
        <f ca="1">BP123+BS123*$BR99</f>
        <v>0</v>
      </c>
      <c r="BW147" s="1025">
        <f ca="1">BQ123+BT123*$BR99</f>
        <v>0</v>
      </c>
      <c r="BX147" s="1025">
        <f ca="1">BR123+BU123*$BR99</f>
        <v>0</v>
      </c>
      <c r="BY147" s="1025">
        <f t="shared" ca="1" si="101"/>
        <v>0</v>
      </c>
      <c r="BZ147" s="1025">
        <f t="shared" ca="1" si="102"/>
        <v>0</v>
      </c>
      <c r="CB147" s="41" t="str">
        <f t="shared" si="89"/>
        <v>iID2100</v>
      </c>
      <c r="CC147" s="213" t="s">
        <v>150</v>
      </c>
      <c r="CD147" s="213">
        <v>2</v>
      </c>
      <c r="CE147" s="214">
        <v>100</v>
      </c>
      <c r="CF147" s="214"/>
      <c r="CG147" s="201" t="s">
        <v>293</v>
      </c>
      <c r="DH147" s="22"/>
      <c r="DI147" s="22"/>
      <c r="DJ147" s="22"/>
      <c r="DK147" s="344"/>
      <c r="DL147" s="375" t="str">
        <f t="shared" si="90"/>
        <v>TT150</v>
      </c>
      <c r="DM147" s="376" t="s">
        <v>763</v>
      </c>
      <c r="DN147" s="376">
        <v>1</v>
      </c>
      <c r="DO147" s="376">
        <v>50</v>
      </c>
      <c r="DP147" s="376">
        <v>1</v>
      </c>
      <c r="DQ147" s="377" t="s">
        <v>373</v>
      </c>
      <c r="DR147" s="358"/>
      <c r="DS147" s="358"/>
      <c r="DT147" s="358"/>
      <c r="DU147" s="358"/>
      <c r="DV147" s="358"/>
      <c r="DW147" s="358"/>
      <c r="DX147" s="358"/>
      <c r="DY147" s="358"/>
      <c r="DZ147" s="358"/>
      <c r="EA147" s="358"/>
      <c r="EB147" s="358"/>
      <c r="EC147" s="358"/>
      <c r="ED147" s="358"/>
      <c r="EE147" s="358"/>
      <c r="EF147" s="22"/>
      <c r="EG147" s="22"/>
      <c r="EH147" s="22"/>
      <c r="EI147" s="22"/>
      <c r="EJ147" s="22"/>
      <c r="EK147" s="22"/>
      <c r="EL147" s="22"/>
      <c r="EM147" s="22"/>
      <c r="EN147" s="344"/>
      <c r="EO147" s="344"/>
      <c r="EP147" s="22"/>
      <c r="EQ147" s="22"/>
      <c r="ER147" s="22"/>
      <c r="EU147" s="344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</row>
    <row r="148" spans="27:161" x14ac:dyDescent="0.2">
      <c r="AA148" s="155" t="s">
        <v>495</v>
      </c>
      <c r="AB148" s="437">
        <v>4</v>
      </c>
      <c r="AE148" s="8" t="s">
        <v>25</v>
      </c>
      <c r="AF148" s="107">
        <v>160</v>
      </c>
      <c r="AG148" s="232" t="s">
        <v>486</v>
      </c>
      <c r="AH148" s="259">
        <v>100</v>
      </c>
      <c r="AI148" s="102"/>
      <c r="AJ148" s="102" t="str">
        <f t="shared" si="87"/>
        <v>NG125N4</v>
      </c>
      <c r="AK148" s="201" t="s">
        <v>328</v>
      </c>
      <c r="AL148" s="240">
        <v>4</v>
      </c>
      <c r="AM148" s="240">
        <v>32</v>
      </c>
      <c r="AN148" s="102"/>
      <c r="AO148" s="102" t="str">
        <f t="shared" si="88"/>
        <v>iC60L15</v>
      </c>
      <c r="AP148" s="222" t="s">
        <v>21</v>
      </c>
      <c r="AQ148" s="256"/>
      <c r="AR148" s="256">
        <v>15</v>
      </c>
      <c r="AS148" s="222" t="s">
        <v>308</v>
      </c>
      <c r="AT148" s="102"/>
      <c r="AZ148" s="32">
        <f>Бланк!D26*9</f>
        <v>0</v>
      </c>
      <c r="BA148" s="11">
        <f>Бланк!F26*5</f>
        <v>0</v>
      </c>
      <c r="BB148" s="9" t="s">
        <v>71</v>
      </c>
      <c r="BC148" s="11">
        <f>0.9*BC156</f>
        <v>28.8</v>
      </c>
      <c r="BD148" s="231">
        <v>13</v>
      </c>
      <c r="BE148" s="232" t="s">
        <v>854</v>
      </c>
      <c r="BO148" s="363" t="str">
        <f t="shared" ref="BO148:BO152" ca="1" si="103">BY148&amp;BS148&amp;BT148&amp;BU148</f>
        <v>0000</v>
      </c>
      <c r="BP148" s="854">
        <f t="shared" ref="BP148:BP152" ca="1" si="104">_xlfn.IFNA(VLOOKUP($BO148,$BO$182:$BR$207,2,FALSE),0)</f>
        <v>0</v>
      </c>
      <c r="BQ148" s="1024">
        <f t="shared" ref="BQ148:BQ152" ca="1" si="105">_xlfn.IFNA(VLOOKUP($BO148,$BO$182:$BR$207,3,FALSE),0)</f>
        <v>0</v>
      </c>
      <c r="BR148" s="333">
        <f t="shared" ref="BR148:BR152" ca="1" si="106">_xlfn.IFNA(VLOOKUP($BO148,$BO$182:$BR$207,4,FALSE),0)</f>
        <v>0</v>
      </c>
      <c r="BS148" s="336">
        <f t="shared" ref="BS148:BS152" ca="1" si="107">IF(BV148=MIN($BV148:$BX148),0,IF(BV148=MAX($BV148:$BX148),2,1))</f>
        <v>0</v>
      </c>
      <c r="BT148" s="1024">
        <f t="shared" ref="BT148:BT152" ca="1" si="108">IF(BW148=MIN($BV148:$BX148),0,IF(BW148=MAX($BV148:$BX148),2,1))</f>
        <v>0</v>
      </c>
      <c r="BU148" s="1024">
        <f t="shared" ref="BU148:BU152" ca="1" si="109">IF(BX148=MIN($BV148:$BX148),0,IF(BX148=MAX($BV148:$BX148),2,1))</f>
        <v>0</v>
      </c>
      <c r="BV148" s="1025">
        <f t="shared" ref="BV148:BX148" ca="1" si="110">BP124+BS124*$BR100</f>
        <v>0</v>
      </c>
      <c r="BW148" s="1025">
        <f t="shared" ca="1" si="110"/>
        <v>0</v>
      </c>
      <c r="BX148" s="1025">
        <f t="shared" ca="1" si="110"/>
        <v>0</v>
      </c>
      <c r="BY148" s="1025">
        <f t="shared" ref="BY148:BY152" ca="1" si="111">MOD(BZ148,3)</f>
        <v>0</v>
      </c>
      <c r="BZ148" s="1025">
        <f t="shared" ref="BZ148:BZ152" ca="1" si="112">IF($BM100,MAX(BO100-SUM(BS124:BU124),0),0)</f>
        <v>0</v>
      </c>
      <c r="CB148" s="41" t="str">
        <f t="shared" si="89"/>
        <v>iID425</v>
      </c>
      <c r="CC148" s="213" t="s">
        <v>150</v>
      </c>
      <c r="CD148" s="213">
        <v>4</v>
      </c>
      <c r="CE148" s="214">
        <v>25</v>
      </c>
      <c r="CF148" s="214"/>
      <c r="CG148" s="201" t="s">
        <v>595</v>
      </c>
      <c r="DH148" s="22"/>
      <c r="DI148" s="22"/>
      <c r="DJ148" s="22"/>
      <c r="DK148" s="344"/>
      <c r="DL148" s="375" t="str">
        <f t="shared" si="90"/>
        <v>TT163</v>
      </c>
      <c r="DM148" s="376" t="s">
        <v>763</v>
      </c>
      <c r="DN148" s="376">
        <v>1</v>
      </c>
      <c r="DO148" s="376">
        <v>63</v>
      </c>
      <c r="DP148" s="376">
        <v>1</v>
      </c>
      <c r="DQ148" s="377" t="s">
        <v>374</v>
      </c>
      <c r="DR148" s="358"/>
      <c r="DS148" s="358"/>
      <c r="DT148" s="358"/>
      <c r="DU148" s="358"/>
      <c r="DV148" s="358"/>
      <c r="DW148" s="358"/>
      <c r="DX148" s="358"/>
      <c r="DY148" s="358"/>
      <c r="DZ148" s="358"/>
      <c r="EA148" s="358"/>
      <c r="EB148" s="358"/>
      <c r="EC148" s="358"/>
      <c r="ED148" s="358"/>
      <c r="EE148" s="358"/>
      <c r="EF148" s="22"/>
      <c r="EG148" s="22"/>
      <c r="EH148" s="22"/>
      <c r="EI148" s="22"/>
      <c r="EJ148" s="22"/>
      <c r="EK148" s="22"/>
      <c r="EL148" s="22"/>
      <c r="EM148" s="22"/>
      <c r="EN148" s="344"/>
      <c r="EO148" s="344"/>
      <c r="EP148" s="22"/>
      <c r="EQ148" s="22"/>
      <c r="ER148" s="22"/>
      <c r="EU148" s="344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</row>
    <row r="149" spans="27:161" x14ac:dyDescent="0.2">
      <c r="AA149" s="155" t="s">
        <v>497</v>
      </c>
      <c r="AB149" s="437">
        <v>1</v>
      </c>
      <c r="AE149" s="8" t="s">
        <v>485</v>
      </c>
      <c r="AF149" s="107">
        <v>125</v>
      </c>
      <c r="AG149" s="232" t="s">
        <v>24</v>
      </c>
      <c r="AH149" s="259">
        <v>125</v>
      </c>
      <c r="AI149" s="102"/>
      <c r="AJ149" s="102" t="str">
        <f t="shared" si="87"/>
        <v>NG125N4</v>
      </c>
      <c r="AK149" s="201" t="s">
        <v>328</v>
      </c>
      <c r="AL149" s="240">
        <v>4</v>
      </c>
      <c r="AM149" s="240">
        <v>40</v>
      </c>
      <c r="AN149" s="102"/>
      <c r="AO149" s="102" t="str">
        <f t="shared" si="88"/>
        <v>iC60L16</v>
      </c>
      <c r="AP149" s="222" t="s">
        <v>21</v>
      </c>
      <c r="AQ149" s="256"/>
      <c r="AR149" s="256">
        <v>16</v>
      </c>
      <c r="AS149" s="222" t="s">
        <v>57</v>
      </c>
      <c r="AT149" s="102"/>
      <c r="AZ149" s="32">
        <f>Бланк!D26*10</f>
        <v>0</v>
      </c>
      <c r="BA149" s="11">
        <f>Бланк!F26*6</f>
        <v>0</v>
      </c>
      <c r="BB149" s="9" t="s">
        <v>71</v>
      </c>
      <c r="BC149" s="11">
        <f>0.92*BC156</f>
        <v>29.44</v>
      </c>
      <c r="BD149" s="231">
        <v>13</v>
      </c>
      <c r="BE149" s="232" t="s">
        <v>855</v>
      </c>
      <c r="BO149" s="363" t="str">
        <f t="shared" ca="1" si="103"/>
        <v>0000</v>
      </c>
      <c r="BP149" s="854">
        <f t="shared" ca="1" si="104"/>
        <v>0</v>
      </c>
      <c r="BQ149" s="1024">
        <f t="shared" ca="1" si="105"/>
        <v>0</v>
      </c>
      <c r="BR149" s="333">
        <f t="shared" ca="1" si="106"/>
        <v>0</v>
      </c>
      <c r="BS149" s="336">
        <f t="shared" ca="1" si="107"/>
        <v>0</v>
      </c>
      <c r="BT149" s="1024">
        <f t="shared" ca="1" si="108"/>
        <v>0</v>
      </c>
      <c r="BU149" s="1024">
        <f t="shared" ca="1" si="109"/>
        <v>0</v>
      </c>
      <c r="BV149" s="1025">
        <f t="shared" ref="BV149:BX149" ca="1" si="113">BP125+BS125*$BR101</f>
        <v>0</v>
      </c>
      <c r="BW149" s="1025">
        <f t="shared" ca="1" si="113"/>
        <v>0</v>
      </c>
      <c r="BX149" s="1025">
        <f t="shared" ca="1" si="113"/>
        <v>0</v>
      </c>
      <c r="BY149" s="1025">
        <f t="shared" ca="1" si="111"/>
        <v>0</v>
      </c>
      <c r="BZ149" s="1025">
        <f t="shared" ca="1" si="112"/>
        <v>0</v>
      </c>
      <c r="CB149" s="41" t="str">
        <f t="shared" si="89"/>
        <v>iID425</v>
      </c>
      <c r="CC149" s="213" t="s">
        <v>150</v>
      </c>
      <c r="CD149" s="213">
        <v>4</v>
      </c>
      <c r="CE149" s="214">
        <v>25</v>
      </c>
      <c r="CF149" s="214"/>
      <c r="CG149" s="201" t="s">
        <v>597</v>
      </c>
      <c r="DH149" s="22"/>
      <c r="DI149" s="22"/>
      <c r="DJ149" s="22"/>
      <c r="DK149" s="344"/>
      <c r="DL149" s="375" t="str">
        <f t="shared" si="90"/>
        <v>TT180</v>
      </c>
      <c r="DM149" s="376" t="s">
        <v>763</v>
      </c>
      <c r="DN149" s="376">
        <v>1</v>
      </c>
      <c r="DO149" s="376">
        <v>80</v>
      </c>
      <c r="DP149" s="376">
        <v>1</v>
      </c>
      <c r="DQ149" s="377" t="s">
        <v>375</v>
      </c>
      <c r="DR149" s="358"/>
      <c r="DS149" s="358"/>
      <c r="DT149" s="358"/>
      <c r="DU149" s="358"/>
      <c r="DV149" s="358"/>
      <c r="DW149" s="358"/>
      <c r="DX149" s="358"/>
      <c r="DY149" s="358"/>
      <c r="DZ149" s="358"/>
      <c r="EA149" s="358"/>
      <c r="EB149" s="358"/>
      <c r="EC149" s="358"/>
      <c r="ED149" s="358"/>
      <c r="EE149" s="358"/>
      <c r="EF149" s="22"/>
      <c r="EG149" s="22"/>
      <c r="EH149" s="22"/>
      <c r="EI149" s="22"/>
      <c r="EJ149" s="22"/>
      <c r="EK149" s="22"/>
      <c r="EL149" s="22"/>
      <c r="EM149" s="22"/>
      <c r="EN149" s="344"/>
      <c r="EO149" s="344"/>
      <c r="EP149" s="22"/>
      <c r="EQ149" s="22"/>
      <c r="ER149" s="22"/>
      <c r="EU149" s="344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</row>
    <row r="150" spans="27:161" x14ac:dyDescent="0.2">
      <c r="AA150" s="155" t="s">
        <v>497</v>
      </c>
      <c r="AB150" s="437">
        <v>2</v>
      </c>
      <c r="AE150" s="8" t="s">
        <v>485</v>
      </c>
      <c r="AF150" s="107">
        <v>160</v>
      </c>
      <c r="AG150" s="232" t="s">
        <v>24</v>
      </c>
      <c r="AH150" s="259">
        <v>160</v>
      </c>
      <c r="AI150" s="102"/>
      <c r="AJ150" s="102" t="str">
        <f t="shared" si="87"/>
        <v>NG125N4</v>
      </c>
      <c r="AK150" s="201" t="s">
        <v>328</v>
      </c>
      <c r="AL150" s="240">
        <v>4</v>
      </c>
      <c r="AM150" s="240">
        <v>50</v>
      </c>
      <c r="AN150" s="102"/>
      <c r="AO150" s="102" t="str">
        <f t="shared" si="88"/>
        <v>iC60L16</v>
      </c>
      <c r="AP150" s="222" t="s">
        <v>21</v>
      </c>
      <c r="AQ150" s="256"/>
      <c r="AR150" s="256">
        <v>16</v>
      </c>
      <c r="AS150" s="222" t="s">
        <v>58</v>
      </c>
      <c r="AT150" s="102"/>
      <c r="AZ150" s="32"/>
      <c r="BA150" s="11">
        <f>Бланк!F26*7</f>
        <v>0</v>
      </c>
      <c r="BB150" s="9" t="s">
        <v>71</v>
      </c>
      <c r="BC150" s="11">
        <f>0.93*BC156</f>
        <v>29.76</v>
      </c>
      <c r="BD150" s="231">
        <v>13</v>
      </c>
      <c r="BE150" s="232" t="s">
        <v>856</v>
      </c>
      <c r="BO150" s="363" t="str">
        <f t="shared" ca="1" si="103"/>
        <v>0000</v>
      </c>
      <c r="BP150" s="854">
        <f t="shared" ca="1" si="104"/>
        <v>0</v>
      </c>
      <c r="BQ150" s="1024">
        <f t="shared" ca="1" si="105"/>
        <v>0</v>
      </c>
      <c r="BR150" s="333">
        <f t="shared" ca="1" si="106"/>
        <v>0</v>
      </c>
      <c r="BS150" s="336">
        <f t="shared" ca="1" si="107"/>
        <v>0</v>
      </c>
      <c r="BT150" s="1024">
        <f t="shared" ca="1" si="108"/>
        <v>0</v>
      </c>
      <c r="BU150" s="1024">
        <f t="shared" ca="1" si="109"/>
        <v>0</v>
      </c>
      <c r="BV150" s="1025">
        <f t="shared" ref="BV150:BX150" ca="1" si="114">BP126+BS126*$BR102</f>
        <v>0</v>
      </c>
      <c r="BW150" s="1025">
        <f t="shared" ca="1" si="114"/>
        <v>0</v>
      </c>
      <c r="BX150" s="1025">
        <f t="shared" ca="1" si="114"/>
        <v>0</v>
      </c>
      <c r="BY150" s="1025">
        <f t="shared" ca="1" si="111"/>
        <v>0</v>
      </c>
      <c r="BZ150" s="1025">
        <f t="shared" ca="1" si="112"/>
        <v>0</v>
      </c>
      <c r="CB150" s="41" t="str">
        <f t="shared" si="89"/>
        <v>iID425</v>
      </c>
      <c r="CC150" s="213" t="s">
        <v>150</v>
      </c>
      <c r="CD150" s="213">
        <v>4</v>
      </c>
      <c r="CE150" s="214">
        <v>25</v>
      </c>
      <c r="CF150" s="214"/>
      <c r="CG150" s="201" t="s">
        <v>290</v>
      </c>
      <c r="DH150" s="22"/>
      <c r="DI150" s="22"/>
      <c r="DJ150" s="22"/>
      <c r="DK150" s="344"/>
      <c r="DL150" s="375" t="str">
        <f t="shared" si="90"/>
        <v>TT1100</v>
      </c>
      <c r="DM150" s="376" t="s">
        <v>763</v>
      </c>
      <c r="DN150" s="376">
        <v>1</v>
      </c>
      <c r="DO150" s="376">
        <v>100</v>
      </c>
      <c r="DP150" s="376">
        <v>1</v>
      </c>
      <c r="DQ150" s="377" t="s">
        <v>376</v>
      </c>
      <c r="DR150" s="358"/>
      <c r="DS150" s="358"/>
      <c r="DT150" s="358"/>
      <c r="DU150" s="358"/>
      <c r="DV150" s="358"/>
      <c r="DW150" s="358"/>
      <c r="DX150" s="358"/>
      <c r="DY150" s="358"/>
      <c r="DZ150" s="358"/>
      <c r="EA150" s="358"/>
      <c r="EB150" s="358"/>
      <c r="EC150" s="358"/>
      <c r="ED150" s="358"/>
      <c r="EE150" s="358"/>
      <c r="EF150" s="22"/>
      <c r="EG150" s="22"/>
      <c r="EH150" s="22"/>
      <c r="EI150" s="22"/>
      <c r="EJ150" s="22"/>
      <c r="EK150" s="22"/>
      <c r="EL150" s="22"/>
      <c r="EM150" s="22"/>
      <c r="EN150" s="344"/>
      <c r="EO150" s="344"/>
      <c r="EP150" s="22"/>
      <c r="EQ150" s="22"/>
      <c r="ER150" s="22"/>
      <c r="EU150" s="344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</row>
    <row r="151" spans="27:161" x14ac:dyDescent="0.2">
      <c r="AA151" s="155" t="s">
        <v>497</v>
      </c>
      <c r="AB151" s="437">
        <v>3</v>
      </c>
      <c r="AE151" s="8" t="s">
        <v>26</v>
      </c>
      <c r="AF151" s="107">
        <v>200</v>
      </c>
      <c r="AG151" s="232" t="s">
        <v>25</v>
      </c>
      <c r="AH151" s="259">
        <v>125</v>
      </c>
      <c r="AI151" s="102"/>
      <c r="AJ151" s="102" t="str">
        <f t="shared" si="87"/>
        <v>NG125N4</v>
      </c>
      <c r="AK151" s="201" t="s">
        <v>328</v>
      </c>
      <c r="AL151" s="240">
        <v>4</v>
      </c>
      <c r="AM151" s="240">
        <v>63</v>
      </c>
      <c r="AN151" s="102"/>
      <c r="AO151" s="102" t="str">
        <f t="shared" si="88"/>
        <v>iC60L16</v>
      </c>
      <c r="AP151" s="222" t="s">
        <v>21</v>
      </c>
      <c r="AQ151" s="256"/>
      <c r="AR151" s="256">
        <v>16</v>
      </c>
      <c r="AS151" s="222" t="s">
        <v>307</v>
      </c>
      <c r="AT151" s="102"/>
      <c r="AZ151" s="32"/>
      <c r="BA151" s="11">
        <f>Бланк!F26*8</f>
        <v>0</v>
      </c>
      <c r="BB151" s="9" t="s">
        <v>71</v>
      </c>
      <c r="BC151" s="11">
        <f>0.94*BC156</f>
        <v>30.08</v>
      </c>
      <c r="BD151" s="231">
        <v>13</v>
      </c>
      <c r="BE151" s="232" t="s">
        <v>353</v>
      </c>
      <c r="BO151" s="363" t="str">
        <f t="shared" ca="1" si="103"/>
        <v>0000</v>
      </c>
      <c r="BP151" s="854">
        <f t="shared" ca="1" si="104"/>
        <v>0</v>
      </c>
      <c r="BQ151" s="1024">
        <f t="shared" ca="1" si="105"/>
        <v>0</v>
      </c>
      <c r="BR151" s="333">
        <f t="shared" ca="1" si="106"/>
        <v>0</v>
      </c>
      <c r="BS151" s="336">
        <f t="shared" ca="1" si="107"/>
        <v>0</v>
      </c>
      <c r="BT151" s="1024">
        <f t="shared" ca="1" si="108"/>
        <v>0</v>
      </c>
      <c r="BU151" s="1024">
        <f t="shared" ca="1" si="109"/>
        <v>0</v>
      </c>
      <c r="BV151" s="1025">
        <f t="shared" ref="BV151:BX151" ca="1" si="115">BP127+BS127*$BR103</f>
        <v>0</v>
      </c>
      <c r="BW151" s="1025">
        <f t="shared" ca="1" si="115"/>
        <v>0</v>
      </c>
      <c r="BX151" s="1025">
        <f t="shared" ca="1" si="115"/>
        <v>0</v>
      </c>
      <c r="BY151" s="1025">
        <f t="shared" ca="1" si="111"/>
        <v>0</v>
      </c>
      <c r="BZ151" s="1025">
        <f t="shared" ca="1" si="112"/>
        <v>3</v>
      </c>
      <c r="CB151" s="41" t="str">
        <f t="shared" si="89"/>
        <v>iID425</v>
      </c>
      <c r="CC151" s="213" t="s">
        <v>150</v>
      </c>
      <c r="CD151" s="213">
        <v>4</v>
      </c>
      <c r="CE151" s="214">
        <v>25</v>
      </c>
      <c r="CF151" s="214"/>
      <c r="CG151" s="201" t="s">
        <v>291</v>
      </c>
      <c r="DH151" s="22"/>
      <c r="DI151" s="22"/>
      <c r="DJ151" s="22"/>
      <c r="DK151" s="344"/>
      <c r="DL151" s="375" t="str">
        <f t="shared" si="90"/>
        <v>TT1125</v>
      </c>
      <c r="DM151" s="376" t="s">
        <v>763</v>
      </c>
      <c r="DN151" s="376">
        <v>1</v>
      </c>
      <c r="DO151" s="376">
        <v>125</v>
      </c>
      <c r="DP151" s="376">
        <v>1</v>
      </c>
      <c r="DQ151" s="377" t="s">
        <v>377</v>
      </c>
      <c r="DR151" s="358"/>
      <c r="DS151" s="358"/>
      <c r="DT151" s="358"/>
      <c r="DU151" s="358"/>
      <c r="DV151" s="358"/>
      <c r="DW151" s="358"/>
      <c r="DX151" s="358"/>
      <c r="DY151" s="358"/>
      <c r="DZ151" s="358"/>
      <c r="EA151" s="358"/>
      <c r="EB151" s="358"/>
      <c r="EC151" s="358"/>
      <c r="ED151" s="358"/>
      <c r="EE151" s="358"/>
      <c r="EF151" s="22"/>
      <c r="EG151" s="22"/>
      <c r="EH151" s="22"/>
      <c r="EI151" s="22"/>
      <c r="EJ151" s="22"/>
      <c r="EK151" s="22"/>
      <c r="EL151" s="22"/>
      <c r="EM151" s="22"/>
      <c r="EN151" s="344"/>
      <c r="EO151" s="344"/>
      <c r="EP151" s="22"/>
      <c r="EQ151" s="22"/>
      <c r="ER151" s="22"/>
      <c r="EU151" s="344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</row>
    <row r="152" spans="27:161" ht="13.5" thickBot="1" x14ac:dyDescent="0.25">
      <c r="AA152" s="155" t="s">
        <v>497</v>
      </c>
      <c r="AB152" s="437">
        <v>4</v>
      </c>
      <c r="AE152" s="8" t="s">
        <v>26</v>
      </c>
      <c r="AF152" s="107">
        <v>250</v>
      </c>
      <c r="AG152" s="232" t="s">
        <v>25</v>
      </c>
      <c r="AH152" s="259">
        <v>160</v>
      </c>
      <c r="AI152" s="102"/>
      <c r="AJ152" s="102" t="str">
        <f t="shared" si="87"/>
        <v>NG125N4</v>
      </c>
      <c r="AK152" s="201" t="s">
        <v>328</v>
      </c>
      <c r="AL152" s="240">
        <v>4</v>
      </c>
      <c r="AM152" s="240">
        <v>80</v>
      </c>
      <c r="AN152" s="102"/>
      <c r="AO152" s="102" t="str">
        <f t="shared" si="88"/>
        <v>iC60L16</v>
      </c>
      <c r="AP152" s="222" t="s">
        <v>21</v>
      </c>
      <c r="AQ152" s="256"/>
      <c r="AR152" s="256">
        <v>16</v>
      </c>
      <c r="AS152" s="222" t="s">
        <v>308</v>
      </c>
      <c r="AT152" s="102"/>
      <c r="AZ152" s="32"/>
      <c r="BA152" s="11">
        <f>Бланк!F26*10</f>
        <v>0</v>
      </c>
      <c r="BB152" s="9" t="s">
        <v>71</v>
      </c>
      <c r="BC152" s="11">
        <f>0.95*BC156</f>
        <v>30.4</v>
      </c>
      <c r="BD152" s="231">
        <v>13</v>
      </c>
      <c r="BE152" s="232" t="s">
        <v>354</v>
      </c>
      <c r="BO152" s="363" t="str">
        <f t="shared" ca="1" si="103"/>
        <v>0000</v>
      </c>
      <c r="BP152" s="855">
        <f t="shared" ca="1" si="104"/>
        <v>0</v>
      </c>
      <c r="BQ152" s="856">
        <f t="shared" ca="1" si="105"/>
        <v>0</v>
      </c>
      <c r="BR152" s="857">
        <f t="shared" ca="1" si="106"/>
        <v>0</v>
      </c>
      <c r="BS152" s="336">
        <f t="shared" ca="1" si="107"/>
        <v>0</v>
      </c>
      <c r="BT152" s="1024">
        <f t="shared" ca="1" si="108"/>
        <v>0</v>
      </c>
      <c r="BU152" s="1024">
        <f t="shared" ca="1" si="109"/>
        <v>0</v>
      </c>
      <c r="BV152" s="1025">
        <f t="shared" ref="BV152:BX152" ca="1" si="116">BP128+BS128*$BR104</f>
        <v>40</v>
      </c>
      <c r="BW152" s="1025">
        <f t="shared" ca="1" si="116"/>
        <v>40</v>
      </c>
      <c r="BX152" s="1025">
        <f t="shared" ca="1" si="116"/>
        <v>40</v>
      </c>
      <c r="BY152" s="1025">
        <f t="shared" ca="1" si="111"/>
        <v>0</v>
      </c>
      <c r="BZ152" s="1025">
        <f t="shared" ca="1" si="112"/>
        <v>9</v>
      </c>
      <c r="CB152" s="41" t="str">
        <f t="shared" si="89"/>
        <v>iID425</v>
      </c>
      <c r="CC152" s="213" t="s">
        <v>150</v>
      </c>
      <c r="CD152" s="213">
        <v>4</v>
      </c>
      <c r="CE152" s="214">
        <v>25</v>
      </c>
      <c r="CF152" s="214"/>
      <c r="CG152" s="201" t="s">
        <v>292</v>
      </c>
      <c r="DH152" s="22"/>
      <c r="DI152" s="22"/>
      <c r="DJ152" s="22"/>
      <c r="DK152" s="344"/>
      <c r="DL152" s="375" t="str">
        <f t="shared" si="90"/>
        <v>TT1160</v>
      </c>
      <c r="DM152" s="376" t="s">
        <v>763</v>
      </c>
      <c r="DN152" s="376">
        <v>1</v>
      </c>
      <c r="DO152" s="376">
        <v>160</v>
      </c>
      <c r="DP152" s="376">
        <v>1</v>
      </c>
      <c r="DQ152" s="377" t="s">
        <v>378</v>
      </c>
      <c r="DR152" s="358"/>
      <c r="DS152" s="358"/>
      <c r="DT152" s="358"/>
      <c r="DU152" s="358"/>
      <c r="DV152" s="358"/>
      <c r="DW152" s="358"/>
      <c r="DX152" s="358"/>
      <c r="DY152" s="358"/>
      <c r="DZ152" s="358"/>
      <c r="EA152" s="358"/>
      <c r="EB152" s="358"/>
      <c r="EC152" s="358"/>
      <c r="ED152" s="358"/>
      <c r="EE152" s="358"/>
      <c r="EF152" s="22"/>
      <c r="EG152" s="22"/>
      <c r="EH152" s="22"/>
      <c r="EI152" s="22"/>
      <c r="EJ152" s="22"/>
      <c r="EK152" s="22"/>
      <c r="EL152" s="22"/>
      <c r="EM152" s="22"/>
      <c r="EN152" s="344"/>
      <c r="EO152" s="344"/>
      <c r="EP152" s="22"/>
      <c r="EQ152" s="22"/>
      <c r="ER152" s="22"/>
      <c r="EU152" s="344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</row>
    <row r="153" spans="27:161" x14ac:dyDescent="0.2">
      <c r="AA153" s="155" t="s">
        <v>499</v>
      </c>
      <c r="AB153" s="437">
        <v>1</v>
      </c>
      <c r="AE153" s="8" t="s">
        <v>27</v>
      </c>
      <c r="AF153" s="107">
        <v>200</v>
      </c>
      <c r="AG153" s="232" t="s">
        <v>485</v>
      </c>
      <c r="AH153" s="259">
        <v>125</v>
      </c>
      <c r="AI153" s="102"/>
      <c r="AJ153" s="102" t="str">
        <f t="shared" si="87"/>
        <v>NG125N4</v>
      </c>
      <c r="AK153" s="201" t="s">
        <v>328</v>
      </c>
      <c r="AL153" s="240">
        <v>4</v>
      </c>
      <c r="AM153" s="240">
        <v>100</v>
      </c>
      <c r="AN153" s="102"/>
      <c r="AO153" s="102" t="str">
        <f t="shared" si="88"/>
        <v>iC60L20</v>
      </c>
      <c r="AP153" s="222" t="s">
        <v>21</v>
      </c>
      <c r="AQ153" s="222"/>
      <c r="AR153" s="256">
        <v>20</v>
      </c>
      <c r="AS153" s="222" t="s">
        <v>57</v>
      </c>
      <c r="AT153" s="102"/>
      <c r="AZ153" s="1430" t="s">
        <v>166</v>
      </c>
      <c r="BA153" s="1431"/>
      <c r="BB153" s="9" t="s">
        <v>71</v>
      </c>
      <c r="BC153" s="11">
        <f>0.96*BC156</f>
        <v>30.72</v>
      </c>
      <c r="BD153" s="231">
        <v>13</v>
      </c>
      <c r="BE153" s="232" t="s">
        <v>351</v>
      </c>
      <c r="CB153" s="41" t="str">
        <f t="shared" si="89"/>
        <v>iID440</v>
      </c>
      <c r="CC153" s="213" t="s">
        <v>150</v>
      </c>
      <c r="CD153" s="213">
        <v>4</v>
      </c>
      <c r="CE153" s="214">
        <v>40</v>
      </c>
      <c r="CF153" s="214"/>
      <c r="CG153" s="201" t="s">
        <v>595</v>
      </c>
      <c r="DH153" s="22"/>
      <c r="DI153" s="22"/>
      <c r="DJ153" s="22"/>
      <c r="DK153" s="344"/>
      <c r="DL153" s="375" t="str">
        <f t="shared" si="90"/>
        <v>TT1200</v>
      </c>
      <c r="DM153" s="376" t="s">
        <v>763</v>
      </c>
      <c r="DN153" s="376">
        <v>1</v>
      </c>
      <c r="DO153" s="376">
        <v>200</v>
      </c>
      <c r="DP153" s="376">
        <v>1</v>
      </c>
      <c r="DQ153" s="377" t="s">
        <v>379</v>
      </c>
      <c r="DR153" s="358"/>
      <c r="DS153" s="358"/>
      <c r="DT153" s="358"/>
      <c r="DU153" s="358"/>
      <c r="DV153" s="358"/>
      <c r="DW153" s="358"/>
      <c r="DX153" s="358"/>
      <c r="DY153" s="358"/>
      <c r="DZ153" s="358"/>
      <c r="EA153" s="358"/>
      <c r="EB153" s="358"/>
      <c r="EC153" s="358"/>
      <c r="ED153" s="358"/>
      <c r="EE153" s="358"/>
      <c r="EF153" s="22"/>
      <c r="EG153" s="22"/>
      <c r="EH153" s="22"/>
      <c r="EI153" s="22"/>
      <c r="EJ153" s="22"/>
      <c r="EK153" s="22"/>
      <c r="EL153" s="22"/>
      <c r="EM153" s="22"/>
      <c r="EN153" s="344"/>
      <c r="EO153" s="344"/>
      <c r="EP153" s="22"/>
      <c r="EQ153" s="22"/>
      <c r="ER153" s="22"/>
      <c r="EU153" s="344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</row>
    <row r="154" spans="27:161" ht="13.5" thickBot="1" x14ac:dyDescent="0.25">
      <c r="AA154" s="155" t="s">
        <v>499</v>
      </c>
      <c r="AB154" s="437">
        <v>2</v>
      </c>
      <c r="AE154" s="8" t="s">
        <v>27</v>
      </c>
      <c r="AF154" s="107">
        <v>250</v>
      </c>
      <c r="AG154" s="232" t="s">
        <v>485</v>
      </c>
      <c r="AH154" s="259">
        <v>160</v>
      </c>
      <c r="AI154" s="102"/>
      <c r="AJ154" s="102" t="str">
        <f t="shared" si="87"/>
        <v>NG125N4</v>
      </c>
      <c r="AK154" s="217" t="s">
        <v>328</v>
      </c>
      <c r="AL154" s="241">
        <v>4</v>
      </c>
      <c r="AM154" s="241">
        <v>125</v>
      </c>
      <c r="AN154" s="102"/>
      <c r="AO154" s="102" t="str">
        <f t="shared" si="88"/>
        <v>iC60L20</v>
      </c>
      <c r="AP154" s="222" t="s">
        <v>21</v>
      </c>
      <c r="AQ154" s="222"/>
      <c r="AR154" s="256">
        <v>20</v>
      </c>
      <c r="AS154" s="222" t="s">
        <v>58</v>
      </c>
      <c r="AT154" s="102"/>
      <c r="AZ154" s="32">
        <f>Бланк!D27*5</f>
        <v>0</v>
      </c>
      <c r="BA154" s="11">
        <f>Бланк!F27*1.5</f>
        <v>0</v>
      </c>
      <c r="BB154" s="9" t="s">
        <v>71</v>
      </c>
      <c r="BC154" s="11">
        <f>0.97*BC156</f>
        <v>31.04</v>
      </c>
      <c r="BD154" s="231">
        <v>13</v>
      </c>
      <c r="BE154" s="232" t="s">
        <v>355</v>
      </c>
      <c r="CB154" s="41" t="str">
        <f t="shared" si="89"/>
        <v>iID440</v>
      </c>
      <c r="CC154" s="213" t="s">
        <v>150</v>
      </c>
      <c r="CD154" s="213">
        <v>4</v>
      </c>
      <c r="CE154" s="214">
        <v>40</v>
      </c>
      <c r="CF154" s="214"/>
      <c r="CG154" s="201" t="s">
        <v>596</v>
      </c>
      <c r="DH154" s="22"/>
      <c r="DI154" s="22"/>
      <c r="DJ154" s="22"/>
      <c r="DK154" s="344"/>
      <c r="DL154" s="375" t="str">
        <f t="shared" si="90"/>
        <v>TT1250</v>
      </c>
      <c r="DM154" s="376" t="s">
        <v>763</v>
      </c>
      <c r="DN154" s="376">
        <v>1</v>
      </c>
      <c r="DO154" s="376">
        <v>250</v>
      </c>
      <c r="DP154" s="376">
        <v>1</v>
      </c>
      <c r="DQ154" s="377" t="s">
        <v>380</v>
      </c>
      <c r="DR154" s="358"/>
      <c r="DS154" s="358"/>
      <c r="DT154" s="358"/>
      <c r="DU154" s="358"/>
      <c r="DV154" s="358"/>
      <c r="DW154" s="358"/>
      <c r="DX154" s="358"/>
      <c r="DY154" s="358"/>
      <c r="DZ154" s="358"/>
      <c r="EA154" s="358"/>
      <c r="EB154" s="358"/>
      <c r="EC154" s="358"/>
      <c r="ED154" s="358"/>
      <c r="EE154" s="358"/>
      <c r="EF154" s="22"/>
      <c r="EG154" s="22"/>
      <c r="EH154" s="22"/>
      <c r="EI154" s="22"/>
      <c r="EJ154" s="22"/>
      <c r="EK154" s="22"/>
      <c r="EL154" s="22"/>
      <c r="EM154" s="22"/>
      <c r="EN154" s="344"/>
      <c r="EO154" s="344"/>
      <c r="EP154" s="22"/>
      <c r="EQ154" s="22"/>
      <c r="ER154" s="22"/>
      <c r="EU154" s="344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</row>
    <row r="155" spans="27:161" ht="13.5" thickTop="1" x14ac:dyDescent="0.2">
      <c r="AA155" s="155" t="s">
        <v>499</v>
      </c>
      <c r="AB155" s="437">
        <v>3</v>
      </c>
      <c r="AE155" s="8" t="s">
        <v>484</v>
      </c>
      <c r="AF155" s="107">
        <v>200</v>
      </c>
      <c r="AG155" s="232" t="s">
        <v>26</v>
      </c>
      <c r="AH155" s="259">
        <v>200</v>
      </c>
      <c r="AI155" s="102"/>
      <c r="AJ155" s="102" t="str">
        <f t="shared" si="87"/>
        <v>NG125H1</v>
      </c>
      <c r="AK155" s="190" t="s">
        <v>329</v>
      </c>
      <c r="AL155" s="242">
        <v>1</v>
      </c>
      <c r="AM155" s="242">
        <v>10</v>
      </c>
      <c r="AN155" s="102"/>
      <c r="AO155" s="102" t="str">
        <f t="shared" si="88"/>
        <v>iC60L20</v>
      </c>
      <c r="AP155" s="222" t="s">
        <v>21</v>
      </c>
      <c r="AQ155" s="222"/>
      <c r="AR155" s="256">
        <v>20</v>
      </c>
      <c r="AS155" s="222" t="s">
        <v>307</v>
      </c>
      <c r="AT155" s="102"/>
      <c r="AZ155" s="32">
        <f>Бланк!D27*6</f>
        <v>0</v>
      </c>
      <c r="BA155" s="11">
        <f>Бланк!F27*2</f>
        <v>0</v>
      </c>
      <c r="BB155" s="9" t="s">
        <v>71</v>
      </c>
      <c r="BC155" s="11">
        <f>0.98*BC156</f>
        <v>31.36</v>
      </c>
      <c r="BD155" s="231">
        <v>13</v>
      </c>
      <c r="BE155" s="232" t="s">
        <v>352</v>
      </c>
      <c r="BF155" s="18"/>
      <c r="BG155" s="18"/>
      <c r="BH155" s="18"/>
      <c r="BI155" s="18"/>
      <c r="BJ155" s="18"/>
      <c r="BK155" s="18"/>
      <c r="CB155" s="41" t="str">
        <f t="shared" si="89"/>
        <v>iID440</v>
      </c>
      <c r="CC155" s="213" t="s">
        <v>150</v>
      </c>
      <c r="CD155" s="213">
        <v>4</v>
      </c>
      <c r="CE155" s="214">
        <v>40</v>
      </c>
      <c r="CF155" s="214"/>
      <c r="CG155" s="201" t="s">
        <v>597</v>
      </c>
      <c r="CH155" s="18"/>
      <c r="CI155" s="18"/>
      <c r="CJ155" s="18"/>
      <c r="CK155" s="18"/>
      <c r="CL155" s="18"/>
      <c r="CM155" s="18"/>
      <c r="CN155" s="18"/>
      <c r="DH155" s="22"/>
      <c r="DI155" s="22"/>
      <c r="DJ155" s="22"/>
      <c r="DK155" s="344"/>
      <c r="DL155" s="375" t="str">
        <f t="shared" si="90"/>
        <v>TT1400</v>
      </c>
      <c r="DM155" s="376" t="s">
        <v>763</v>
      </c>
      <c r="DN155" s="376">
        <v>1</v>
      </c>
      <c r="DO155" s="376">
        <v>400</v>
      </c>
      <c r="DP155" s="376">
        <v>2</v>
      </c>
      <c r="DQ155" s="377" t="s">
        <v>381</v>
      </c>
      <c r="DR155" s="358"/>
      <c r="DS155" s="358"/>
      <c r="DT155" s="358"/>
      <c r="DU155" s="358"/>
      <c r="DV155" s="358"/>
      <c r="DW155" s="358"/>
      <c r="DX155" s="358"/>
      <c r="DY155" s="358"/>
      <c r="DZ155" s="358"/>
      <c r="EA155" s="358"/>
      <c r="EB155" s="358"/>
      <c r="EC155" s="358"/>
      <c r="ED155" s="358"/>
      <c r="EE155" s="358"/>
      <c r="EF155" s="22"/>
      <c r="EG155" s="22"/>
      <c r="EH155" s="22"/>
      <c r="EI155" s="22"/>
      <c r="EJ155" s="22"/>
      <c r="EK155" s="22"/>
      <c r="EL155" s="22"/>
      <c r="EM155" s="22"/>
      <c r="EN155" s="344"/>
      <c r="EO155" s="344"/>
      <c r="EP155" s="22"/>
      <c r="EQ155" s="22"/>
      <c r="ER155" s="22"/>
      <c r="EU155" s="344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</row>
    <row r="156" spans="27:161" x14ac:dyDescent="0.2">
      <c r="AA156" s="155" t="s">
        <v>499</v>
      </c>
      <c r="AB156" s="437">
        <v>4</v>
      </c>
      <c r="AE156" s="8" t="s">
        <v>484</v>
      </c>
      <c r="AF156" s="107">
        <v>250</v>
      </c>
      <c r="AG156" s="232" t="s">
        <v>26</v>
      </c>
      <c r="AH156" s="259">
        <v>250</v>
      </c>
      <c r="AI156" s="102"/>
      <c r="AJ156" s="102" t="str">
        <f t="shared" si="87"/>
        <v>NG125H1</v>
      </c>
      <c r="AK156" s="201" t="s">
        <v>329</v>
      </c>
      <c r="AL156" s="240">
        <v>1</v>
      </c>
      <c r="AM156" s="240">
        <v>16</v>
      </c>
      <c r="AN156" s="102"/>
      <c r="AO156" s="102" t="str">
        <f t="shared" si="88"/>
        <v>iC60L20</v>
      </c>
      <c r="AP156" s="222" t="s">
        <v>21</v>
      </c>
      <c r="AQ156" s="222"/>
      <c r="AR156" s="256">
        <v>20</v>
      </c>
      <c r="AS156" s="222" t="s">
        <v>308</v>
      </c>
      <c r="AT156" s="102"/>
      <c r="AZ156" s="32">
        <f>Бланк!D27*7</f>
        <v>0</v>
      </c>
      <c r="BA156" s="11">
        <f>Бланк!F27*3</f>
        <v>0</v>
      </c>
      <c r="BB156" s="9" t="s">
        <v>71</v>
      </c>
      <c r="BC156" s="11">
        <v>32</v>
      </c>
      <c r="BD156" s="231">
        <v>15</v>
      </c>
      <c r="BE156" s="233" t="s">
        <v>30</v>
      </c>
      <c r="CB156" s="41" t="str">
        <f t="shared" si="89"/>
        <v>iID440</v>
      </c>
      <c r="CC156" s="213" t="s">
        <v>150</v>
      </c>
      <c r="CD156" s="213">
        <v>4</v>
      </c>
      <c r="CE156" s="214">
        <v>40</v>
      </c>
      <c r="CF156" s="214"/>
      <c r="CG156" s="201" t="s">
        <v>290</v>
      </c>
      <c r="DH156" s="22"/>
      <c r="DI156" s="22"/>
      <c r="DJ156" s="22"/>
      <c r="DK156" s="344"/>
      <c r="DL156" s="375" t="str">
        <f t="shared" si="90"/>
        <v>TT1630</v>
      </c>
      <c r="DM156" s="376" t="s">
        <v>763</v>
      </c>
      <c r="DN156" s="376">
        <v>1</v>
      </c>
      <c r="DO156" s="376">
        <v>630</v>
      </c>
      <c r="DP156" s="376">
        <v>2</v>
      </c>
      <c r="DQ156" s="377" t="s">
        <v>382</v>
      </c>
      <c r="DR156" s="358"/>
      <c r="DS156" s="358"/>
      <c r="DT156" s="358"/>
      <c r="DU156" s="358"/>
      <c r="DV156" s="358"/>
      <c r="DW156" s="358"/>
      <c r="DX156" s="358"/>
      <c r="DY156" s="358"/>
      <c r="DZ156" s="358"/>
      <c r="EA156" s="358"/>
      <c r="EB156" s="358"/>
      <c r="EC156" s="358"/>
      <c r="ED156" s="358"/>
      <c r="EE156" s="358"/>
      <c r="EF156" s="22"/>
      <c r="EG156" s="22"/>
      <c r="EH156" s="22"/>
      <c r="EI156" s="22"/>
      <c r="EJ156" s="22"/>
      <c r="EK156" s="22"/>
      <c r="EL156" s="22"/>
      <c r="EM156" s="22"/>
      <c r="EN156" s="344"/>
      <c r="EO156" s="344"/>
      <c r="EP156" s="22"/>
      <c r="EQ156" s="22"/>
      <c r="ER156" s="22"/>
      <c r="EU156" s="344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</row>
    <row r="157" spans="27:161" x14ac:dyDescent="0.2">
      <c r="AA157" s="155" t="s">
        <v>496</v>
      </c>
      <c r="AB157" s="437">
        <v>1</v>
      </c>
      <c r="AE157" s="8" t="s">
        <v>28</v>
      </c>
      <c r="AF157" s="107">
        <v>400</v>
      </c>
      <c r="AG157" s="232" t="s">
        <v>27</v>
      </c>
      <c r="AH157" s="259">
        <v>200</v>
      </c>
      <c r="AI157" s="102"/>
      <c r="AJ157" s="102" t="str">
        <f t="shared" si="87"/>
        <v>NG125H1</v>
      </c>
      <c r="AK157" s="201" t="s">
        <v>329</v>
      </c>
      <c r="AL157" s="240">
        <v>1</v>
      </c>
      <c r="AM157" s="240">
        <v>20</v>
      </c>
      <c r="AN157" s="102"/>
      <c r="AO157" s="102" t="str">
        <f t="shared" si="88"/>
        <v>iC60L25</v>
      </c>
      <c r="AP157" s="222" t="s">
        <v>21</v>
      </c>
      <c r="AQ157" s="222"/>
      <c r="AR157" s="256">
        <v>25</v>
      </c>
      <c r="AS157" s="222" t="s">
        <v>57</v>
      </c>
      <c r="AT157" s="102"/>
      <c r="AZ157" s="32">
        <f>Бланк!D27*8</f>
        <v>0</v>
      </c>
      <c r="BA157" s="11">
        <f>Бланк!F27*4</f>
        <v>0</v>
      </c>
      <c r="BB157" s="9" t="s">
        <v>71</v>
      </c>
      <c r="BC157" s="11">
        <f>0.9*BC165</f>
        <v>32.4</v>
      </c>
      <c r="BD157" s="231">
        <v>15</v>
      </c>
      <c r="BE157" s="232" t="s">
        <v>853</v>
      </c>
      <c r="CB157" s="41" t="str">
        <f t="shared" si="89"/>
        <v>iID440</v>
      </c>
      <c r="CC157" s="213" t="s">
        <v>150</v>
      </c>
      <c r="CD157" s="213">
        <v>4</v>
      </c>
      <c r="CE157" s="214">
        <v>40</v>
      </c>
      <c r="CF157" s="214"/>
      <c r="CG157" s="201" t="s">
        <v>287</v>
      </c>
      <c r="DH157" s="22"/>
      <c r="DI157" s="22"/>
      <c r="DJ157" s="22"/>
      <c r="DK157" s="344"/>
      <c r="DL157" s="375" t="str">
        <f t="shared" si="90"/>
        <v>TT310</v>
      </c>
      <c r="DM157" s="376" t="s">
        <v>763</v>
      </c>
      <c r="DN157" s="376">
        <v>3</v>
      </c>
      <c r="DO157" s="376">
        <v>10</v>
      </c>
      <c r="DP157" s="376">
        <v>1</v>
      </c>
      <c r="DQ157" s="377" t="s">
        <v>397</v>
      </c>
      <c r="DR157" s="358"/>
      <c r="DS157" s="358"/>
      <c r="DT157" s="358"/>
      <c r="DU157" s="358"/>
      <c r="DV157" s="358"/>
      <c r="DW157" s="358"/>
      <c r="DX157" s="358"/>
      <c r="DY157" s="358"/>
      <c r="DZ157" s="358"/>
      <c r="EA157" s="358"/>
      <c r="EB157" s="358"/>
      <c r="EC157" s="358"/>
      <c r="ED157" s="358"/>
      <c r="EE157" s="358"/>
      <c r="EF157" s="22"/>
      <c r="EG157" s="22"/>
      <c r="EH157" s="22"/>
      <c r="EI157" s="22"/>
      <c r="EJ157" s="22"/>
      <c r="EK157" s="22"/>
      <c r="EL157" s="22"/>
      <c r="EM157" s="22"/>
      <c r="EN157" s="344"/>
      <c r="EO157" s="344"/>
      <c r="EP157" s="22"/>
      <c r="EQ157" s="22"/>
      <c r="ER157" s="22"/>
      <c r="EU157" s="344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</row>
    <row r="158" spans="27:161" x14ac:dyDescent="0.2">
      <c r="AA158" s="155" t="s">
        <v>496</v>
      </c>
      <c r="AB158" s="437">
        <v>2</v>
      </c>
      <c r="AE158" s="8" t="s">
        <v>29</v>
      </c>
      <c r="AF158" s="107">
        <v>630</v>
      </c>
      <c r="AG158" s="232" t="s">
        <v>27</v>
      </c>
      <c r="AH158" s="259">
        <v>250</v>
      </c>
      <c r="AI158" s="102"/>
      <c r="AJ158" s="102" t="str">
        <f t="shared" si="87"/>
        <v>NG125H1</v>
      </c>
      <c r="AK158" s="201" t="s">
        <v>329</v>
      </c>
      <c r="AL158" s="240">
        <v>1</v>
      </c>
      <c r="AM158" s="240">
        <v>25</v>
      </c>
      <c r="AN158" s="102"/>
      <c r="AO158" s="102" t="str">
        <f t="shared" si="88"/>
        <v>iC60L25</v>
      </c>
      <c r="AP158" s="222" t="s">
        <v>21</v>
      </c>
      <c r="AQ158" s="222"/>
      <c r="AR158" s="256">
        <v>25</v>
      </c>
      <c r="AS158" s="222" t="s">
        <v>58</v>
      </c>
      <c r="AT158" s="102"/>
      <c r="AZ158" s="32">
        <f>Бланк!D27*9</f>
        <v>0</v>
      </c>
      <c r="BA158" s="11">
        <f>Бланк!F27*5</f>
        <v>0</v>
      </c>
      <c r="BB158" s="9" t="s">
        <v>71</v>
      </c>
      <c r="BC158" s="11">
        <f>0.92*BC165</f>
        <v>33.120000000000005</v>
      </c>
      <c r="BD158" s="231">
        <v>15</v>
      </c>
      <c r="BE158" s="232" t="s">
        <v>854</v>
      </c>
      <c r="CB158" s="41" t="str">
        <f t="shared" si="89"/>
        <v>iID440</v>
      </c>
      <c r="CC158" s="213" t="s">
        <v>150</v>
      </c>
      <c r="CD158" s="213">
        <v>4</v>
      </c>
      <c r="CE158" s="214">
        <v>40</v>
      </c>
      <c r="CF158" s="214"/>
      <c r="CG158" s="201" t="s">
        <v>291</v>
      </c>
      <c r="DH158" s="22"/>
      <c r="DI158" s="22"/>
      <c r="DJ158" s="22"/>
      <c r="DK158" s="344"/>
      <c r="DL158" s="375" t="str">
        <f t="shared" si="90"/>
        <v>TT320</v>
      </c>
      <c r="DM158" s="376" t="s">
        <v>763</v>
      </c>
      <c r="DN158" s="376">
        <v>3</v>
      </c>
      <c r="DO158" s="376">
        <v>20</v>
      </c>
      <c r="DP158" s="376">
        <v>1</v>
      </c>
      <c r="DQ158" s="377" t="s">
        <v>398</v>
      </c>
      <c r="DR158" s="358"/>
      <c r="DS158" s="358"/>
      <c r="DT158" s="358"/>
      <c r="DU158" s="358"/>
      <c r="DV158" s="358"/>
      <c r="DW158" s="358"/>
      <c r="DX158" s="358"/>
      <c r="DY158" s="358"/>
      <c r="DZ158" s="358"/>
      <c r="EA158" s="358"/>
      <c r="EB158" s="358"/>
      <c r="EC158" s="358"/>
      <c r="ED158" s="358"/>
      <c r="EE158" s="358"/>
      <c r="EF158" s="22"/>
      <c r="EG158" s="22"/>
      <c r="EH158" s="22"/>
      <c r="EI158" s="22"/>
      <c r="EJ158" s="22"/>
      <c r="EK158" s="22"/>
      <c r="EL158" s="22"/>
      <c r="EM158" s="22"/>
      <c r="EN158" s="344"/>
      <c r="EO158" s="344"/>
      <c r="EP158" s="22"/>
      <c r="EQ158" s="22"/>
      <c r="ER158" s="22"/>
      <c r="EU158" s="344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</row>
    <row r="159" spans="27:161" x14ac:dyDescent="0.2">
      <c r="AA159" s="155" t="s">
        <v>496</v>
      </c>
      <c r="AB159" s="437">
        <v>3</v>
      </c>
      <c r="AE159" s="8" t="s">
        <v>487</v>
      </c>
      <c r="AF159" s="107">
        <v>400</v>
      </c>
      <c r="AG159" s="232" t="s">
        <v>484</v>
      </c>
      <c r="AH159" s="259">
        <v>200</v>
      </c>
      <c r="AI159" s="102"/>
      <c r="AJ159" s="102" t="str">
        <f t="shared" si="87"/>
        <v>NG125H1</v>
      </c>
      <c r="AK159" s="201" t="s">
        <v>329</v>
      </c>
      <c r="AL159" s="240">
        <v>1</v>
      </c>
      <c r="AM159" s="240">
        <v>32</v>
      </c>
      <c r="AN159" s="102"/>
      <c r="AO159" s="102" t="str">
        <f t="shared" si="88"/>
        <v>iC60L25</v>
      </c>
      <c r="AP159" s="222" t="s">
        <v>21</v>
      </c>
      <c r="AQ159" s="222"/>
      <c r="AR159" s="256">
        <v>25</v>
      </c>
      <c r="AS159" s="222" t="s">
        <v>307</v>
      </c>
      <c r="AT159" s="102"/>
      <c r="AZ159" s="32">
        <f>Бланк!D27*10</f>
        <v>0</v>
      </c>
      <c r="BA159" s="11">
        <f>Бланк!F27*6</f>
        <v>0</v>
      </c>
      <c r="BB159" s="9" t="s">
        <v>71</v>
      </c>
      <c r="BC159" s="11">
        <f>0.93*BC165</f>
        <v>33.480000000000004</v>
      </c>
      <c r="BD159" s="231">
        <v>15</v>
      </c>
      <c r="BE159" s="232" t="s">
        <v>855</v>
      </c>
      <c r="CB159" s="41" t="str">
        <f t="shared" si="89"/>
        <v>iID440</v>
      </c>
      <c r="CC159" s="213" t="s">
        <v>150</v>
      </c>
      <c r="CD159" s="213">
        <v>4</v>
      </c>
      <c r="CE159" s="214">
        <v>40</v>
      </c>
      <c r="CF159" s="214"/>
      <c r="CG159" s="201" t="s">
        <v>292</v>
      </c>
      <c r="DH159" s="22"/>
      <c r="DI159" s="22"/>
      <c r="DJ159" s="22"/>
      <c r="DK159" s="344"/>
      <c r="DL159" s="375" t="str">
        <f t="shared" si="90"/>
        <v>TT325</v>
      </c>
      <c r="DM159" s="376" t="s">
        <v>763</v>
      </c>
      <c r="DN159" s="376">
        <v>3</v>
      </c>
      <c r="DO159" s="376">
        <v>25</v>
      </c>
      <c r="DP159" s="376">
        <v>1</v>
      </c>
      <c r="DQ159" s="377" t="s">
        <v>399</v>
      </c>
      <c r="DR159" s="358"/>
      <c r="DS159" s="358"/>
      <c r="DT159" s="358"/>
      <c r="DU159" s="358"/>
      <c r="DV159" s="358"/>
      <c r="DW159" s="358"/>
      <c r="DX159" s="358"/>
      <c r="DY159" s="358"/>
      <c r="DZ159" s="358"/>
      <c r="EA159" s="358"/>
      <c r="EB159" s="358"/>
      <c r="EC159" s="358"/>
      <c r="ED159" s="358"/>
      <c r="EE159" s="358"/>
      <c r="EF159" s="22"/>
      <c r="EG159" s="22"/>
      <c r="EH159" s="22"/>
      <c r="EI159" s="22"/>
      <c r="EJ159" s="22"/>
      <c r="EK159" s="22"/>
      <c r="EL159" s="22"/>
      <c r="EM159" s="22"/>
      <c r="EN159" s="344"/>
      <c r="EO159" s="344"/>
      <c r="EP159" s="22"/>
      <c r="EQ159" s="22"/>
      <c r="ER159" s="22"/>
      <c r="EU159" s="344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</row>
    <row r="160" spans="27:161" x14ac:dyDescent="0.2">
      <c r="AA160" s="155" t="s">
        <v>496</v>
      </c>
      <c r="AB160" s="437">
        <v>4</v>
      </c>
      <c r="AE160" s="8" t="s">
        <v>488</v>
      </c>
      <c r="AF160" s="107">
        <v>630</v>
      </c>
      <c r="AG160" s="232" t="s">
        <v>484</v>
      </c>
      <c r="AH160" s="259">
        <v>250</v>
      </c>
      <c r="AI160" s="102"/>
      <c r="AJ160" s="102" t="str">
        <f t="shared" si="87"/>
        <v>NG125H1</v>
      </c>
      <c r="AK160" s="201" t="s">
        <v>329</v>
      </c>
      <c r="AL160" s="240">
        <v>1</v>
      </c>
      <c r="AM160" s="240">
        <v>40</v>
      </c>
      <c r="AN160" s="102"/>
      <c r="AO160" s="102" t="str">
        <f t="shared" si="88"/>
        <v>iC60L25</v>
      </c>
      <c r="AP160" s="222" t="s">
        <v>21</v>
      </c>
      <c r="AQ160" s="222"/>
      <c r="AR160" s="256">
        <v>25</v>
      </c>
      <c r="AS160" s="222" t="s">
        <v>308</v>
      </c>
      <c r="AT160" s="102"/>
      <c r="AZ160" s="32"/>
      <c r="BA160" s="11">
        <f>Бланк!F27*7</f>
        <v>0</v>
      </c>
      <c r="BB160" s="9" t="s">
        <v>71</v>
      </c>
      <c r="BC160" s="11">
        <f>0.94*BC165</f>
        <v>33.839999999999996</v>
      </c>
      <c r="BD160" s="231">
        <v>15</v>
      </c>
      <c r="BE160" s="232" t="s">
        <v>856</v>
      </c>
      <c r="BX160" s="18"/>
      <c r="BY160" s="18"/>
      <c r="BZ160" s="18"/>
      <c r="CB160" s="41" t="str">
        <f t="shared" si="89"/>
        <v>iID440</v>
      </c>
      <c r="CC160" s="213" t="s">
        <v>150</v>
      </c>
      <c r="CD160" s="213">
        <v>4</v>
      </c>
      <c r="CE160" s="214">
        <v>40</v>
      </c>
      <c r="CF160" s="214"/>
      <c r="CG160" s="201" t="s">
        <v>293</v>
      </c>
      <c r="DH160" s="22"/>
      <c r="DI160" s="22"/>
      <c r="DJ160" s="22"/>
      <c r="DK160" s="344"/>
      <c r="DL160" s="375" t="str">
        <f t="shared" si="90"/>
        <v>TT332</v>
      </c>
      <c r="DM160" s="376" t="s">
        <v>763</v>
      </c>
      <c r="DN160" s="376">
        <v>3</v>
      </c>
      <c r="DO160" s="376">
        <v>32</v>
      </c>
      <c r="DP160" s="376">
        <v>1</v>
      </c>
      <c r="DQ160" s="377" t="s">
        <v>400</v>
      </c>
      <c r="DR160" s="358"/>
      <c r="DS160" s="358"/>
      <c r="DT160" s="358"/>
      <c r="DU160" s="358"/>
      <c r="DV160" s="358"/>
      <c r="DW160" s="358"/>
      <c r="DX160" s="358"/>
      <c r="DY160" s="358"/>
      <c r="DZ160" s="358"/>
      <c r="EA160" s="358"/>
      <c r="EB160" s="358"/>
      <c r="EC160" s="358"/>
      <c r="ED160" s="358"/>
      <c r="EE160" s="358"/>
      <c r="EF160" s="22"/>
      <c r="EG160" s="22"/>
      <c r="EH160" s="22"/>
      <c r="EI160" s="22"/>
      <c r="EJ160" s="22"/>
      <c r="EK160" s="22"/>
      <c r="EL160" s="22"/>
      <c r="EM160" s="22"/>
      <c r="EN160" s="344"/>
      <c r="EO160" s="344"/>
      <c r="EP160" s="22"/>
      <c r="EQ160" s="22"/>
      <c r="ER160" s="22"/>
      <c r="EU160" s="344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</row>
    <row r="161" spans="27:161" x14ac:dyDescent="0.2">
      <c r="AA161" s="155" t="s">
        <v>498</v>
      </c>
      <c r="AB161" s="437">
        <v>1</v>
      </c>
      <c r="AE161" s="116" t="s">
        <v>143</v>
      </c>
      <c r="AF161" s="118">
        <v>100</v>
      </c>
      <c r="AG161" s="232" t="s">
        <v>143</v>
      </c>
      <c r="AH161" s="259">
        <v>100</v>
      </c>
      <c r="AI161" s="102"/>
      <c r="AJ161" s="102" t="str">
        <f t="shared" si="87"/>
        <v>NG125H1</v>
      </c>
      <c r="AK161" s="201" t="s">
        <v>329</v>
      </c>
      <c r="AL161" s="240">
        <v>1</v>
      </c>
      <c r="AM161" s="240">
        <v>50</v>
      </c>
      <c r="AN161" s="102"/>
      <c r="AO161" s="102" t="str">
        <f t="shared" si="88"/>
        <v>iC60L32</v>
      </c>
      <c r="AP161" s="222" t="s">
        <v>21</v>
      </c>
      <c r="AQ161" s="222"/>
      <c r="AR161" s="256">
        <v>32</v>
      </c>
      <c r="AS161" s="222" t="s">
        <v>57</v>
      </c>
      <c r="AT161" s="102"/>
      <c r="AZ161" s="32"/>
      <c r="BA161" s="11">
        <f>Бланк!F27*8</f>
        <v>0</v>
      </c>
      <c r="BB161" s="9" t="s">
        <v>71</v>
      </c>
      <c r="BC161" s="11">
        <f>0.95*BC165</f>
        <v>34.199999999999996</v>
      </c>
      <c r="BD161" s="231">
        <v>15</v>
      </c>
      <c r="BE161" s="232" t="s">
        <v>353</v>
      </c>
      <c r="CB161" s="41" t="str">
        <f t="shared" si="89"/>
        <v>iID463</v>
      </c>
      <c r="CC161" s="213" t="s">
        <v>150</v>
      </c>
      <c r="CD161" s="213">
        <v>4</v>
      </c>
      <c r="CE161" s="214">
        <v>63</v>
      </c>
      <c r="CF161" s="214"/>
      <c r="CG161" s="201" t="s">
        <v>595</v>
      </c>
      <c r="DH161" s="22"/>
      <c r="DI161" s="22"/>
      <c r="DJ161" s="22"/>
      <c r="DK161" s="344"/>
      <c r="DL161" s="375" t="str">
        <f t="shared" si="90"/>
        <v>TT350</v>
      </c>
      <c r="DM161" s="376" t="s">
        <v>763</v>
      </c>
      <c r="DN161" s="376">
        <v>3</v>
      </c>
      <c r="DO161" s="376">
        <v>50</v>
      </c>
      <c r="DP161" s="376">
        <v>1</v>
      </c>
      <c r="DQ161" s="377" t="s">
        <v>401</v>
      </c>
      <c r="DR161" s="358"/>
      <c r="DS161" s="358"/>
      <c r="DT161" s="358"/>
      <c r="DU161" s="358"/>
      <c r="DV161" s="358"/>
      <c r="DW161" s="358"/>
      <c r="DX161" s="358"/>
      <c r="DY161" s="358"/>
      <c r="DZ161" s="358"/>
      <c r="EA161" s="358"/>
      <c r="EB161" s="358"/>
      <c r="EC161" s="358"/>
      <c r="ED161" s="358"/>
      <c r="EE161" s="358"/>
      <c r="EF161" s="22"/>
      <c r="EG161" s="22"/>
      <c r="EH161" s="22"/>
      <c r="EI161" s="22"/>
      <c r="EJ161" s="22"/>
      <c r="EK161" s="22"/>
      <c r="EL161" s="22"/>
      <c r="EM161" s="22"/>
      <c r="EN161" s="344"/>
      <c r="EO161" s="344"/>
      <c r="EP161" s="22"/>
      <c r="EQ161" s="22"/>
      <c r="ER161" s="22"/>
      <c r="EU161" s="344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</row>
    <row r="162" spans="27:161" x14ac:dyDescent="0.2">
      <c r="AA162" s="155" t="s">
        <v>498</v>
      </c>
      <c r="AB162" s="437">
        <v>2</v>
      </c>
      <c r="AE162" s="116" t="s">
        <v>144</v>
      </c>
      <c r="AF162" s="118">
        <v>160</v>
      </c>
      <c r="AG162" s="232" t="s">
        <v>144</v>
      </c>
      <c r="AH162" s="259">
        <v>160</v>
      </c>
      <c r="AI162" s="102"/>
      <c r="AJ162" s="102" t="str">
        <f t="shared" si="87"/>
        <v>NG125H1</v>
      </c>
      <c r="AK162" s="201" t="s">
        <v>329</v>
      </c>
      <c r="AL162" s="240">
        <v>1</v>
      </c>
      <c r="AM162" s="240">
        <v>63</v>
      </c>
      <c r="AN162" s="102"/>
      <c r="AO162" s="102" t="str">
        <f t="shared" si="88"/>
        <v>iC60L32</v>
      </c>
      <c r="AP162" s="222" t="s">
        <v>21</v>
      </c>
      <c r="AQ162" s="222"/>
      <c r="AR162" s="256">
        <v>32</v>
      </c>
      <c r="AS162" s="222" t="s">
        <v>58</v>
      </c>
      <c r="AT162" s="102"/>
      <c r="AZ162" s="32"/>
      <c r="BA162" s="11">
        <f>Бланк!F27*10</f>
        <v>0</v>
      </c>
      <c r="BB162" s="9" t="s">
        <v>71</v>
      </c>
      <c r="BC162" s="11">
        <f>0.96*BC165</f>
        <v>34.56</v>
      </c>
      <c r="BD162" s="231">
        <v>15</v>
      </c>
      <c r="BE162" s="232" t="s">
        <v>354</v>
      </c>
      <c r="CB162" s="41" t="str">
        <f t="shared" si="89"/>
        <v>iID463</v>
      </c>
      <c r="CC162" s="213" t="s">
        <v>150</v>
      </c>
      <c r="CD162" s="213">
        <v>4</v>
      </c>
      <c r="CE162" s="214">
        <v>63</v>
      </c>
      <c r="CF162" s="214"/>
      <c r="CG162" s="201" t="s">
        <v>596</v>
      </c>
      <c r="DH162" s="22"/>
      <c r="DI162" s="22"/>
      <c r="DJ162" s="22"/>
      <c r="DK162" s="344"/>
      <c r="DL162" s="375" t="str">
        <f t="shared" si="90"/>
        <v>TT363</v>
      </c>
      <c r="DM162" s="376" t="s">
        <v>763</v>
      </c>
      <c r="DN162" s="376">
        <v>3</v>
      </c>
      <c r="DO162" s="376">
        <v>63</v>
      </c>
      <c r="DP162" s="376">
        <v>1</v>
      </c>
      <c r="DQ162" s="377" t="s">
        <v>402</v>
      </c>
      <c r="DR162" s="358"/>
      <c r="DS162" s="358"/>
      <c r="DT162" s="358"/>
      <c r="DU162" s="358"/>
      <c r="DV162" s="358"/>
      <c r="DW162" s="358"/>
      <c r="DX162" s="358"/>
      <c r="DY162" s="358"/>
      <c r="DZ162" s="358"/>
      <c r="EA162" s="358"/>
      <c r="EB162" s="358"/>
      <c r="EC162" s="358"/>
      <c r="ED162" s="358"/>
      <c r="EE162" s="358"/>
      <c r="EF162" s="22"/>
      <c r="EG162" s="22"/>
      <c r="EH162" s="22"/>
      <c r="EI162" s="22"/>
      <c r="EJ162" s="22"/>
      <c r="EK162" s="22"/>
      <c r="EL162" s="22"/>
      <c r="EM162" s="22"/>
      <c r="EN162" s="344"/>
      <c r="EO162" s="344"/>
      <c r="EP162" s="22"/>
      <c r="EQ162" s="22"/>
      <c r="ER162" s="22"/>
      <c r="EU162" s="344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</row>
    <row r="163" spans="27:161" x14ac:dyDescent="0.2">
      <c r="AA163" s="155" t="s">
        <v>498</v>
      </c>
      <c r="AB163" s="437">
        <v>3</v>
      </c>
      <c r="AE163" s="116" t="s">
        <v>145</v>
      </c>
      <c r="AF163" s="118">
        <v>250</v>
      </c>
      <c r="AG163" s="232" t="s">
        <v>145</v>
      </c>
      <c r="AH163" s="259">
        <v>250</v>
      </c>
      <c r="AI163" s="102"/>
      <c r="AJ163" s="102" t="str">
        <f t="shared" si="87"/>
        <v>NG125H1</v>
      </c>
      <c r="AK163" s="201" t="s">
        <v>329</v>
      </c>
      <c r="AL163" s="240">
        <v>1</v>
      </c>
      <c r="AM163" s="240">
        <v>80</v>
      </c>
      <c r="AN163" s="102"/>
      <c r="AO163" s="102" t="str">
        <f t="shared" si="88"/>
        <v>iC60L32</v>
      </c>
      <c r="AP163" s="222" t="s">
        <v>21</v>
      </c>
      <c r="AQ163" s="222"/>
      <c r="AR163" s="256">
        <v>32</v>
      </c>
      <c r="AS163" s="222" t="s">
        <v>307</v>
      </c>
      <c r="AT163" s="102"/>
      <c r="BB163" s="9" t="s">
        <v>71</v>
      </c>
      <c r="BC163" s="11">
        <f>0.97*BC165</f>
        <v>34.92</v>
      </c>
      <c r="BD163" s="231">
        <v>15</v>
      </c>
      <c r="BE163" s="232" t="s">
        <v>351</v>
      </c>
      <c r="CB163" s="41" t="str">
        <f t="shared" si="89"/>
        <v>iID463</v>
      </c>
      <c r="CC163" s="213" t="s">
        <v>150</v>
      </c>
      <c r="CD163" s="213">
        <v>4</v>
      </c>
      <c r="CE163" s="214">
        <v>63</v>
      </c>
      <c r="CF163" s="214"/>
      <c r="CG163" s="201" t="s">
        <v>597</v>
      </c>
      <c r="DH163" s="22"/>
      <c r="DI163" s="22"/>
      <c r="DJ163" s="22"/>
      <c r="DK163" s="344"/>
      <c r="DL163" s="375" t="str">
        <f t="shared" si="90"/>
        <v>TT380</v>
      </c>
      <c r="DM163" s="376" t="s">
        <v>763</v>
      </c>
      <c r="DN163" s="376">
        <v>3</v>
      </c>
      <c r="DO163" s="376">
        <v>80</v>
      </c>
      <c r="DP163" s="376">
        <v>1</v>
      </c>
      <c r="DQ163" s="377" t="s">
        <v>403</v>
      </c>
      <c r="DR163" s="358"/>
      <c r="DS163" s="358"/>
      <c r="DT163" s="358"/>
      <c r="DU163" s="358"/>
      <c r="DV163" s="358"/>
      <c r="DW163" s="358"/>
      <c r="DX163" s="358"/>
      <c r="DY163" s="358"/>
      <c r="DZ163" s="358"/>
      <c r="EA163" s="358"/>
      <c r="EB163" s="358"/>
      <c r="EC163" s="358"/>
      <c r="ED163" s="358"/>
      <c r="EE163" s="358"/>
      <c r="EF163" s="22"/>
      <c r="EG163" s="22"/>
      <c r="EH163" s="22"/>
      <c r="EI163" s="22"/>
      <c r="EJ163" s="22"/>
      <c r="EK163" s="22"/>
      <c r="EL163" s="22"/>
      <c r="EM163" s="22"/>
      <c r="EN163" s="344"/>
      <c r="EO163" s="344"/>
      <c r="EP163" s="22"/>
      <c r="EQ163" s="22"/>
      <c r="ER163" s="22"/>
      <c r="EU163" s="344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</row>
    <row r="164" spans="27:161" x14ac:dyDescent="0.2">
      <c r="AA164" s="155" t="s">
        <v>498</v>
      </c>
      <c r="AB164" s="437">
        <v>4</v>
      </c>
      <c r="AE164" s="116" t="s">
        <v>146</v>
      </c>
      <c r="AF164" s="118">
        <v>400</v>
      </c>
      <c r="AJ164" s="102" t="str">
        <f t="shared" si="87"/>
        <v>NG125H2</v>
      </c>
      <c r="AK164" s="201" t="s">
        <v>329</v>
      </c>
      <c r="AL164" s="240">
        <v>2</v>
      </c>
      <c r="AM164" s="240">
        <v>10</v>
      </c>
      <c r="AO164" s="102" t="str">
        <f t="shared" si="88"/>
        <v>iC60L32</v>
      </c>
      <c r="AP164" s="222" t="s">
        <v>21</v>
      </c>
      <c r="AQ164" s="222"/>
      <c r="AR164" s="256">
        <v>32</v>
      </c>
      <c r="AS164" s="222" t="s">
        <v>308</v>
      </c>
      <c r="BB164" s="9" t="s">
        <v>71</v>
      </c>
      <c r="BC164" s="11">
        <f>0.98*BC165</f>
        <v>35.28</v>
      </c>
      <c r="BD164" s="231">
        <v>15</v>
      </c>
      <c r="BE164" s="232" t="s">
        <v>355</v>
      </c>
      <c r="BF164" s="18"/>
      <c r="BG164" s="18"/>
      <c r="BH164" s="18"/>
      <c r="BI164" s="18"/>
      <c r="BJ164" s="18"/>
      <c r="BK164" s="18"/>
      <c r="CB164" s="41" t="str">
        <f t="shared" si="89"/>
        <v>iID463</v>
      </c>
      <c r="CC164" s="213" t="s">
        <v>150</v>
      </c>
      <c r="CD164" s="213">
        <v>4</v>
      </c>
      <c r="CE164" s="214">
        <v>63</v>
      </c>
      <c r="CF164" s="214"/>
      <c r="CG164" s="201" t="s">
        <v>290</v>
      </c>
      <c r="CH164" s="18"/>
      <c r="CI164" s="18"/>
      <c r="CJ164" s="18"/>
      <c r="CK164" s="18"/>
      <c r="CL164" s="18"/>
      <c r="CM164" s="18"/>
      <c r="CN164" s="18"/>
      <c r="DH164" s="22"/>
      <c r="DI164" s="22"/>
      <c r="DJ164" s="22"/>
      <c r="DK164" s="344"/>
      <c r="DL164" s="375" t="str">
        <f t="shared" si="90"/>
        <v>TT3100</v>
      </c>
      <c r="DM164" s="376" t="s">
        <v>763</v>
      </c>
      <c r="DN164" s="376">
        <v>3</v>
      </c>
      <c r="DO164" s="376">
        <v>100</v>
      </c>
      <c r="DP164" s="376">
        <v>1</v>
      </c>
      <c r="DQ164" s="377" t="s">
        <v>404</v>
      </c>
      <c r="DR164" s="358"/>
      <c r="DS164" s="358"/>
      <c r="DT164" s="358"/>
      <c r="DU164" s="358"/>
      <c r="DV164" s="358"/>
      <c r="DW164" s="358"/>
      <c r="DX164" s="358"/>
      <c r="DY164" s="358"/>
      <c r="DZ164" s="358"/>
      <c r="EA164" s="358"/>
      <c r="EB164" s="358"/>
      <c r="EC164" s="358"/>
      <c r="ED164" s="358"/>
      <c r="EE164" s="358"/>
      <c r="EF164" s="22"/>
      <c r="EG164" s="22"/>
      <c r="EH164" s="22"/>
      <c r="EI164" s="22"/>
      <c r="EJ164" s="22"/>
      <c r="EK164" s="22"/>
      <c r="EL164" s="22"/>
      <c r="EM164" s="22"/>
      <c r="EN164" s="344"/>
      <c r="EO164" s="344"/>
      <c r="EP164" s="22"/>
      <c r="EQ164" s="22"/>
      <c r="ER164" s="22"/>
      <c r="EU164" s="344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</row>
    <row r="165" spans="27:161" x14ac:dyDescent="0.2">
      <c r="AA165" s="155" t="s">
        <v>500</v>
      </c>
      <c r="AB165" s="437">
        <v>1</v>
      </c>
      <c r="AE165" s="116" t="s">
        <v>147</v>
      </c>
      <c r="AF165" s="118">
        <v>630</v>
      </c>
      <c r="AJ165" s="102" t="str">
        <f t="shared" si="87"/>
        <v>NG125H2</v>
      </c>
      <c r="AK165" s="201" t="s">
        <v>329</v>
      </c>
      <c r="AL165" s="240">
        <v>2</v>
      </c>
      <c r="AM165" s="240">
        <v>16</v>
      </c>
      <c r="AO165" s="102" t="str">
        <f t="shared" si="88"/>
        <v>iC60L40</v>
      </c>
      <c r="AP165" s="222" t="s">
        <v>21</v>
      </c>
      <c r="AQ165" s="222"/>
      <c r="AR165" s="256">
        <v>40</v>
      </c>
      <c r="AS165" s="222" t="s">
        <v>57</v>
      </c>
      <c r="BB165" s="9" t="s">
        <v>71</v>
      </c>
      <c r="BC165" s="11">
        <v>36</v>
      </c>
      <c r="BD165" s="231">
        <v>15</v>
      </c>
      <c r="BE165" s="232" t="s">
        <v>352</v>
      </c>
      <c r="BM165" s="6"/>
      <c r="BN165" s="6"/>
      <c r="CB165" s="41" t="str">
        <f t="shared" si="89"/>
        <v>iID463</v>
      </c>
      <c r="CC165" s="213" t="s">
        <v>150</v>
      </c>
      <c r="CD165" s="213">
        <v>4</v>
      </c>
      <c r="CE165" s="214">
        <v>63</v>
      </c>
      <c r="CF165" s="214"/>
      <c r="CG165" s="201" t="s">
        <v>287</v>
      </c>
      <c r="DH165" s="22"/>
      <c r="DI165" s="22"/>
      <c r="DJ165" s="22"/>
      <c r="DK165" s="344"/>
      <c r="DL165" s="375" t="str">
        <f t="shared" si="90"/>
        <v>TT3125</v>
      </c>
      <c r="DM165" s="376" t="s">
        <v>763</v>
      </c>
      <c r="DN165" s="376">
        <v>3</v>
      </c>
      <c r="DO165" s="376">
        <v>125</v>
      </c>
      <c r="DP165" s="376">
        <v>1</v>
      </c>
      <c r="DQ165" s="377" t="s">
        <v>405</v>
      </c>
      <c r="DR165" s="358"/>
      <c r="DS165" s="358"/>
      <c r="DT165" s="358"/>
      <c r="DU165" s="358"/>
      <c r="DV165" s="358"/>
      <c r="DW165" s="358"/>
      <c r="DX165" s="358"/>
      <c r="DY165" s="358"/>
      <c r="DZ165" s="358"/>
      <c r="EA165" s="358"/>
      <c r="EB165" s="358"/>
      <c r="EC165" s="358"/>
      <c r="ED165" s="358"/>
      <c r="EE165" s="358"/>
      <c r="EF165" s="22"/>
      <c r="EG165" s="22"/>
      <c r="EH165" s="22"/>
      <c r="EI165" s="22"/>
      <c r="EJ165" s="22"/>
      <c r="EK165" s="22"/>
      <c r="EL165" s="22"/>
      <c r="EM165" s="22"/>
      <c r="EN165" s="344"/>
      <c r="EO165" s="344"/>
      <c r="EP165" s="22"/>
      <c r="EQ165" s="22"/>
      <c r="ER165" s="22"/>
      <c r="EU165" s="344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</row>
    <row r="166" spans="27:161" x14ac:dyDescent="0.2">
      <c r="AA166" s="155" t="s">
        <v>500</v>
      </c>
      <c r="AB166" s="437">
        <v>2</v>
      </c>
      <c r="AE166" s="8" t="s">
        <v>117</v>
      </c>
      <c r="AF166" s="107">
        <v>16</v>
      </c>
      <c r="AJ166" s="102" t="str">
        <f t="shared" si="87"/>
        <v>NG125H2</v>
      </c>
      <c r="AK166" s="201" t="s">
        <v>329</v>
      </c>
      <c r="AL166" s="240">
        <v>2</v>
      </c>
      <c r="AM166" s="240">
        <v>20</v>
      </c>
      <c r="AO166" s="102" t="str">
        <f t="shared" si="88"/>
        <v>iC60L40</v>
      </c>
      <c r="AP166" s="222" t="s">
        <v>21</v>
      </c>
      <c r="AQ166" s="222"/>
      <c r="AR166" s="256">
        <v>40</v>
      </c>
      <c r="AS166" s="222" t="s">
        <v>58</v>
      </c>
      <c r="BB166" s="9" t="s">
        <v>71</v>
      </c>
      <c r="BC166" s="11">
        <f>0.92*BC173</f>
        <v>36.800000000000004</v>
      </c>
      <c r="BD166" s="231">
        <v>16</v>
      </c>
      <c r="BE166" s="233" t="s">
        <v>30</v>
      </c>
      <c r="BM166" s="6"/>
      <c r="BN166" s="6"/>
      <c r="BX166" s="6"/>
      <c r="BY166" s="6"/>
      <c r="BZ166" s="6"/>
      <c r="CB166" s="41" t="str">
        <f t="shared" si="89"/>
        <v>iID463</v>
      </c>
      <c r="CC166" s="213" t="s">
        <v>150</v>
      </c>
      <c r="CD166" s="213">
        <v>4</v>
      </c>
      <c r="CE166" s="214">
        <v>63</v>
      </c>
      <c r="CF166" s="214"/>
      <c r="CG166" s="201" t="s">
        <v>291</v>
      </c>
      <c r="DH166" s="22"/>
      <c r="DI166" s="22"/>
      <c r="DJ166" s="22"/>
      <c r="DK166" s="344"/>
      <c r="DL166" s="375" t="str">
        <f t="shared" si="90"/>
        <v>TT3160</v>
      </c>
      <c r="DM166" s="376" t="s">
        <v>763</v>
      </c>
      <c r="DN166" s="376">
        <v>3</v>
      </c>
      <c r="DO166" s="376">
        <v>160</v>
      </c>
      <c r="DP166" s="376">
        <v>1</v>
      </c>
      <c r="DQ166" s="377" t="s">
        <v>406</v>
      </c>
      <c r="DR166" s="358"/>
      <c r="DS166" s="358"/>
      <c r="DT166" s="358"/>
      <c r="DU166" s="358"/>
      <c r="DV166" s="358"/>
      <c r="DW166" s="358"/>
      <c r="DX166" s="358"/>
      <c r="DY166" s="358"/>
      <c r="DZ166" s="358"/>
      <c r="EA166" s="358"/>
      <c r="EB166" s="358"/>
      <c r="EC166" s="358"/>
      <c r="ED166" s="358"/>
      <c r="EE166" s="358"/>
      <c r="EF166" s="22"/>
      <c r="EG166" s="22"/>
      <c r="EH166" s="22"/>
      <c r="EI166" s="22"/>
      <c r="EJ166" s="22"/>
      <c r="EK166" s="22"/>
      <c r="EL166" s="22"/>
      <c r="EM166" s="22"/>
      <c r="EN166" s="344"/>
      <c r="EO166" s="344"/>
      <c r="EP166" s="22"/>
      <c r="EQ166" s="22"/>
      <c r="ER166" s="22"/>
      <c r="EU166" s="344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</row>
    <row r="167" spans="27:161" x14ac:dyDescent="0.2">
      <c r="AA167" s="155" t="s">
        <v>500</v>
      </c>
      <c r="AB167" s="437">
        <v>3</v>
      </c>
      <c r="AE167" s="8" t="s">
        <v>117</v>
      </c>
      <c r="AF167" s="107">
        <v>20</v>
      </c>
      <c r="AJ167" s="102" t="str">
        <f t="shared" si="87"/>
        <v>NG125H2</v>
      </c>
      <c r="AK167" s="201" t="s">
        <v>329</v>
      </c>
      <c r="AL167" s="240">
        <v>2</v>
      </c>
      <c r="AM167" s="240">
        <v>25</v>
      </c>
      <c r="AO167" s="102" t="str">
        <f t="shared" si="88"/>
        <v>iC60L40</v>
      </c>
      <c r="AP167" s="222" t="s">
        <v>21</v>
      </c>
      <c r="AQ167" s="222"/>
      <c r="AR167" s="256">
        <v>40</v>
      </c>
      <c r="AS167" s="222" t="s">
        <v>307</v>
      </c>
      <c r="BB167" s="9" t="s">
        <v>71</v>
      </c>
      <c r="BC167" s="11">
        <f>0.93*BC173</f>
        <v>37.200000000000003</v>
      </c>
      <c r="BD167" s="231">
        <v>16</v>
      </c>
      <c r="BE167" s="232" t="s">
        <v>595</v>
      </c>
      <c r="BX167" s="6"/>
      <c r="BY167" s="6"/>
      <c r="BZ167" s="6"/>
      <c r="CB167" s="41" t="str">
        <f t="shared" si="89"/>
        <v>iID463</v>
      </c>
      <c r="CC167" s="213" t="s">
        <v>150</v>
      </c>
      <c r="CD167" s="213">
        <v>4</v>
      </c>
      <c r="CE167" s="214">
        <v>63</v>
      </c>
      <c r="CF167" s="214"/>
      <c r="CG167" s="201" t="s">
        <v>292</v>
      </c>
      <c r="DH167" s="22"/>
      <c r="DI167" s="22"/>
      <c r="DJ167" s="22"/>
      <c r="DK167" s="344"/>
      <c r="DL167" s="375" t="str">
        <f t="shared" si="90"/>
        <v>TT3200</v>
      </c>
      <c r="DM167" s="376" t="s">
        <v>763</v>
      </c>
      <c r="DN167" s="376">
        <v>3</v>
      </c>
      <c r="DO167" s="376">
        <v>200</v>
      </c>
      <c r="DP167" s="376">
        <v>1</v>
      </c>
      <c r="DQ167" s="377" t="s">
        <v>407</v>
      </c>
      <c r="DR167" s="358"/>
      <c r="DS167" s="358"/>
      <c r="DT167" s="358"/>
      <c r="DU167" s="358"/>
      <c r="DV167" s="358"/>
      <c r="DW167" s="358"/>
      <c r="DX167" s="358"/>
      <c r="DY167" s="358"/>
      <c r="DZ167" s="358"/>
      <c r="EA167" s="358"/>
      <c r="EB167" s="358"/>
      <c r="EC167" s="358"/>
      <c r="ED167" s="358"/>
      <c r="EE167" s="358"/>
      <c r="EF167" s="22"/>
      <c r="EG167" s="22"/>
      <c r="EH167" s="22"/>
      <c r="EI167" s="22"/>
      <c r="EJ167" s="22"/>
      <c r="EK167" s="22"/>
      <c r="EL167" s="22"/>
      <c r="EM167" s="22"/>
      <c r="EN167" s="344"/>
      <c r="EO167" s="344"/>
      <c r="EP167" s="22"/>
      <c r="EQ167" s="22"/>
      <c r="ER167" s="22"/>
      <c r="EU167" s="344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</row>
    <row r="168" spans="27:161" x14ac:dyDescent="0.2">
      <c r="AA168" s="155" t="s">
        <v>500</v>
      </c>
      <c r="AB168" s="437">
        <v>4</v>
      </c>
      <c r="AE168" s="8" t="s">
        <v>117</v>
      </c>
      <c r="AF168" s="107">
        <v>25</v>
      </c>
      <c r="AJ168" s="102" t="str">
        <f t="shared" si="87"/>
        <v>NG125H2</v>
      </c>
      <c r="AK168" s="201" t="s">
        <v>329</v>
      </c>
      <c r="AL168" s="240">
        <v>2</v>
      </c>
      <c r="AM168" s="240">
        <v>32</v>
      </c>
      <c r="AO168" s="102" t="str">
        <f t="shared" si="88"/>
        <v>iC60L40</v>
      </c>
      <c r="AP168" s="222" t="s">
        <v>21</v>
      </c>
      <c r="AQ168" s="222"/>
      <c r="AR168" s="256">
        <v>40</v>
      </c>
      <c r="AS168" s="222" t="s">
        <v>308</v>
      </c>
      <c r="BB168" s="9" t="s">
        <v>71</v>
      </c>
      <c r="BC168" s="11">
        <f>0.94*BC173</f>
        <v>37.599999999999994</v>
      </c>
      <c r="BD168" s="231">
        <v>16</v>
      </c>
      <c r="BE168" s="232" t="s">
        <v>596</v>
      </c>
      <c r="BX168" s="6"/>
      <c r="BY168" s="6"/>
      <c r="BZ168" s="6"/>
      <c r="CB168" s="41" t="str">
        <f t="shared" si="89"/>
        <v>iID463</v>
      </c>
      <c r="CC168" s="213" t="s">
        <v>150</v>
      </c>
      <c r="CD168" s="213">
        <v>4</v>
      </c>
      <c r="CE168" s="214">
        <v>63</v>
      </c>
      <c r="CF168" s="214"/>
      <c r="CG168" s="201" t="s">
        <v>293</v>
      </c>
      <c r="DH168" s="22"/>
      <c r="DI168" s="22"/>
      <c r="DJ168" s="22"/>
      <c r="DK168" s="344"/>
      <c r="DL168" s="375" t="str">
        <f t="shared" si="90"/>
        <v>TT3250</v>
      </c>
      <c r="DM168" s="376" t="s">
        <v>763</v>
      </c>
      <c r="DN168" s="376">
        <v>3</v>
      </c>
      <c r="DO168" s="376">
        <v>250</v>
      </c>
      <c r="DP168" s="376">
        <v>1</v>
      </c>
      <c r="DQ168" s="377" t="s">
        <v>408</v>
      </c>
      <c r="DR168" s="358"/>
      <c r="DS168" s="358"/>
      <c r="DT168" s="358"/>
      <c r="DU168" s="358"/>
      <c r="DV168" s="358"/>
      <c r="DW168" s="358"/>
      <c r="DX168" s="358"/>
      <c r="DY168" s="358"/>
      <c r="DZ168" s="358"/>
      <c r="EA168" s="358"/>
      <c r="EB168" s="358"/>
      <c r="EC168" s="358"/>
      <c r="ED168" s="358"/>
      <c r="EE168" s="358"/>
      <c r="EF168" s="22"/>
      <c r="EG168" s="22"/>
      <c r="EH168" s="22"/>
      <c r="EI168" s="22"/>
      <c r="EJ168" s="22"/>
      <c r="EK168" s="22"/>
      <c r="EL168" s="22"/>
      <c r="EM168" s="22"/>
      <c r="EN168" s="344"/>
      <c r="EO168" s="344"/>
      <c r="EP168" s="22"/>
      <c r="EQ168" s="22"/>
      <c r="ER168" s="22"/>
      <c r="EU168" s="344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</row>
    <row r="169" spans="27:161" x14ac:dyDescent="0.2">
      <c r="AA169" s="8" t="s">
        <v>128</v>
      </c>
      <c r="AB169" s="437">
        <v>3</v>
      </c>
      <c r="AE169" s="8" t="s">
        <v>119</v>
      </c>
      <c r="AF169" s="107">
        <v>16</v>
      </c>
      <c r="AJ169" s="102" t="str">
        <f t="shared" si="87"/>
        <v>NG125H2</v>
      </c>
      <c r="AK169" s="201" t="s">
        <v>329</v>
      </c>
      <c r="AL169" s="240">
        <v>2</v>
      </c>
      <c r="AM169" s="240">
        <v>40</v>
      </c>
      <c r="AO169" s="102" t="str">
        <f t="shared" si="88"/>
        <v>iC60L50</v>
      </c>
      <c r="AP169" s="222" t="s">
        <v>21</v>
      </c>
      <c r="AQ169" s="222"/>
      <c r="AR169" s="256">
        <v>50</v>
      </c>
      <c r="AS169" s="222" t="s">
        <v>57</v>
      </c>
      <c r="BB169" s="9" t="s">
        <v>71</v>
      </c>
      <c r="BC169" s="11">
        <f>0.95*BC173</f>
        <v>38</v>
      </c>
      <c r="BD169" s="231">
        <v>16</v>
      </c>
      <c r="BE169" s="232" t="s">
        <v>597</v>
      </c>
      <c r="BX169" s="6"/>
      <c r="BY169" s="6"/>
      <c r="BZ169" s="6"/>
      <c r="CB169" s="41" t="str">
        <f t="shared" si="89"/>
        <v>iID480</v>
      </c>
      <c r="CC169" s="213" t="s">
        <v>150</v>
      </c>
      <c r="CD169" s="213">
        <v>4</v>
      </c>
      <c r="CE169" s="214">
        <v>80</v>
      </c>
      <c r="CF169" s="214"/>
      <c r="CG169" s="201" t="s">
        <v>595</v>
      </c>
      <c r="DH169" s="22"/>
      <c r="DI169" s="22"/>
      <c r="DJ169" s="22"/>
      <c r="DK169" s="344"/>
      <c r="DL169" s="375" t="str">
        <f t="shared" si="90"/>
        <v>TT3400</v>
      </c>
      <c r="DM169" s="376" t="s">
        <v>763</v>
      </c>
      <c r="DN169" s="376">
        <v>3</v>
      </c>
      <c r="DO169" s="376">
        <v>400</v>
      </c>
      <c r="DP169" s="376">
        <v>2</v>
      </c>
      <c r="DQ169" s="377" t="s">
        <v>407</v>
      </c>
      <c r="DR169" s="358"/>
      <c r="DS169" s="358"/>
      <c r="DT169" s="358"/>
      <c r="DU169" s="358"/>
      <c r="DV169" s="358"/>
      <c r="DW169" s="358"/>
      <c r="DX169" s="358"/>
      <c r="DY169" s="358"/>
      <c r="DZ169" s="358"/>
      <c r="EA169" s="358"/>
      <c r="EB169" s="358"/>
      <c r="EC169" s="358"/>
      <c r="ED169" s="358"/>
      <c r="EE169" s="358"/>
      <c r="EF169" s="22"/>
      <c r="EG169" s="22"/>
      <c r="EH169" s="22"/>
      <c r="EI169" s="22"/>
      <c r="EJ169" s="22"/>
      <c r="EK169" s="22"/>
      <c r="EL169" s="22"/>
      <c r="EM169" s="22"/>
      <c r="EN169" s="344"/>
      <c r="EO169" s="344"/>
      <c r="EP169" s="22"/>
      <c r="EQ169" s="22"/>
      <c r="ER169" s="22"/>
      <c r="EU169" s="344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</row>
    <row r="170" spans="27:161" x14ac:dyDescent="0.2">
      <c r="AA170" s="8" t="s">
        <v>128</v>
      </c>
      <c r="AB170" s="437">
        <v>4</v>
      </c>
      <c r="AE170" s="8" t="s">
        <v>119</v>
      </c>
      <c r="AF170" s="107">
        <v>20</v>
      </c>
      <c r="AJ170" s="102" t="str">
        <f t="shared" si="87"/>
        <v>NG125H2</v>
      </c>
      <c r="AK170" s="201" t="s">
        <v>329</v>
      </c>
      <c r="AL170" s="240">
        <v>2</v>
      </c>
      <c r="AM170" s="240">
        <v>50</v>
      </c>
      <c r="AO170" s="102" t="str">
        <f t="shared" si="88"/>
        <v>iC60L50</v>
      </c>
      <c r="AP170" s="222" t="s">
        <v>21</v>
      </c>
      <c r="AQ170" s="222"/>
      <c r="AR170" s="256">
        <v>50</v>
      </c>
      <c r="AS170" s="222" t="s">
        <v>58</v>
      </c>
      <c r="BB170" s="9" t="s">
        <v>71</v>
      </c>
      <c r="BC170" s="11">
        <f>0.96*BC173</f>
        <v>38.4</v>
      </c>
      <c r="BD170" s="231">
        <v>16</v>
      </c>
      <c r="BE170" s="232" t="s">
        <v>598</v>
      </c>
      <c r="BX170" s="42"/>
      <c r="BY170" s="42"/>
      <c r="BZ170" s="42"/>
      <c r="CB170" s="41" t="str">
        <f t="shared" si="89"/>
        <v>iID480</v>
      </c>
      <c r="CC170" s="213" t="s">
        <v>150</v>
      </c>
      <c r="CD170" s="213">
        <v>4</v>
      </c>
      <c r="CE170" s="214">
        <v>80</v>
      </c>
      <c r="CF170" s="214"/>
      <c r="CG170" s="201" t="s">
        <v>596</v>
      </c>
      <c r="DH170" s="22"/>
      <c r="DI170" s="22"/>
      <c r="DJ170" s="22"/>
      <c r="DK170" s="344"/>
      <c r="DL170" s="375" t="str">
        <f t="shared" si="90"/>
        <v>TT3630</v>
      </c>
      <c r="DM170" s="376" t="s">
        <v>763</v>
      </c>
      <c r="DN170" s="376">
        <v>3</v>
      </c>
      <c r="DO170" s="376">
        <v>630</v>
      </c>
      <c r="DP170" s="376">
        <v>2</v>
      </c>
      <c r="DQ170" s="377" t="s">
        <v>410</v>
      </c>
      <c r="DR170" s="358"/>
      <c r="DS170" s="358"/>
      <c r="DT170" s="358"/>
      <c r="DU170" s="358"/>
      <c r="DV170" s="358"/>
      <c r="DW170" s="358"/>
      <c r="DX170" s="358"/>
      <c r="DY170" s="358"/>
      <c r="DZ170" s="358"/>
      <c r="EA170" s="358"/>
      <c r="EB170" s="358"/>
      <c r="EC170" s="358"/>
      <c r="ED170" s="358"/>
      <c r="EE170" s="358"/>
      <c r="EF170" s="22"/>
      <c r="EG170" s="22"/>
      <c r="EH170" s="22"/>
      <c r="EI170" s="22"/>
      <c r="EJ170" s="22"/>
      <c r="EK170" s="22"/>
      <c r="EL170" s="22"/>
      <c r="EM170" s="22"/>
      <c r="EN170" s="344"/>
      <c r="EO170" s="344"/>
      <c r="EP170" s="22"/>
      <c r="EQ170" s="22"/>
      <c r="ER170" s="22"/>
      <c r="EU170" s="344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</row>
    <row r="171" spans="27:161" x14ac:dyDescent="0.2">
      <c r="AA171" s="8" t="s">
        <v>129</v>
      </c>
      <c r="AB171" s="437">
        <v>3</v>
      </c>
      <c r="AE171" s="8" t="s">
        <v>119</v>
      </c>
      <c r="AF171" s="107">
        <v>25</v>
      </c>
      <c r="AJ171" s="102" t="str">
        <f t="shared" si="87"/>
        <v>NG125H2</v>
      </c>
      <c r="AK171" s="201" t="s">
        <v>329</v>
      </c>
      <c r="AL171" s="240">
        <v>2</v>
      </c>
      <c r="AM171" s="240">
        <v>63</v>
      </c>
      <c r="AO171" s="102" t="str">
        <f t="shared" si="88"/>
        <v>iC60L50</v>
      </c>
      <c r="AP171" s="222" t="s">
        <v>21</v>
      </c>
      <c r="AQ171" s="222"/>
      <c r="AR171" s="256">
        <v>50</v>
      </c>
      <c r="AS171" s="222" t="s">
        <v>307</v>
      </c>
      <c r="BB171" s="9" t="s">
        <v>71</v>
      </c>
      <c r="BC171" s="11">
        <f>0.97*BC173</f>
        <v>38.799999999999997</v>
      </c>
      <c r="BD171" s="231">
        <v>16</v>
      </c>
      <c r="BE171" s="232" t="s">
        <v>290</v>
      </c>
      <c r="BX171" s="6"/>
      <c r="BY171" s="6"/>
      <c r="BZ171" s="6"/>
      <c r="CB171" s="41" t="str">
        <f t="shared" si="89"/>
        <v>iID480</v>
      </c>
      <c r="CC171" s="213" t="s">
        <v>150</v>
      </c>
      <c r="CD171" s="213">
        <v>4</v>
      </c>
      <c r="CE171" s="214">
        <v>80</v>
      </c>
      <c r="CF171" s="214"/>
      <c r="CG171" s="201" t="s">
        <v>597</v>
      </c>
      <c r="DH171" s="22"/>
      <c r="DI171" s="22"/>
      <c r="DJ171" s="22"/>
      <c r="DK171" s="344"/>
      <c r="DL171" s="375" t="str">
        <f t="shared" si="90"/>
        <v>TT410</v>
      </c>
      <c r="DM171" s="376" t="s">
        <v>763</v>
      </c>
      <c r="DN171" s="376">
        <v>4</v>
      </c>
      <c r="DO171" s="376">
        <v>10</v>
      </c>
      <c r="DP171" s="376">
        <v>1</v>
      </c>
      <c r="DQ171" s="377" t="s">
        <v>397</v>
      </c>
      <c r="DR171" s="358"/>
      <c r="DS171" s="358"/>
      <c r="DT171" s="358"/>
      <c r="DU171" s="358"/>
      <c r="DV171" s="358"/>
      <c r="DW171" s="358"/>
      <c r="DX171" s="358"/>
      <c r="DY171" s="358"/>
      <c r="DZ171" s="358"/>
      <c r="EA171" s="358"/>
      <c r="EB171" s="358"/>
      <c r="EC171" s="358"/>
      <c r="ED171" s="358"/>
      <c r="EE171" s="358"/>
      <c r="EF171" s="22"/>
      <c r="EG171" s="22"/>
      <c r="EH171" s="22"/>
      <c r="EI171" s="22"/>
      <c r="EJ171" s="22"/>
      <c r="EK171" s="22"/>
      <c r="EL171" s="22"/>
      <c r="EM171" s="22"/>
      <c r="EN171" s="344"/>
      <c r="EO171" s="344"/>
      <c r="EP171" s="22"/>
      <c r="EQ171" s="22"/>
      <c r="ER171" s="22"/>
      <c r="EU171" s="344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</row>
    <row r="172" spans="27:161" x14ac:dyDescent="0.2">
      <c r="AA172" s="8" t="s">
        <v>129</v>
      </c>
      <c r="AB172" s="437">
        <v>4</v>
      </c>
      <c r="AE172" s="8" t="s">
        <v>120</v>
      </c>
      <c r="AF172" s="107">
        <v>16</v>
      </c>
      <c r="AJ172" s="102" t="str">
        <f t="shared" si="87"/>
        <v>NG125H2</v>
      </c>
      <c r="AK172" s="201" t="s">
        <v>329</v>
      </c>
      <c r="AL172" s="240">
        <v>2</v>
      </c>
      <c r="AM172" s="240">
        <v>80</v>
      </c>
      <c r="AO172" s="102" t="str">
        <f t="shared" si="88"/>
        <v>iC60L50</v>
      </c>
      <c r="AP172" s="222" t="s">
        <v>21</v>
      </c>
      <c r="AQ172" s="222"/>
      <c r="AR172" s="256">
        <v>50</v>
      </c>
      <c r="AS172" s="222" t="s">
        <v>308</v>
      </c>
      <c r="BB172" s="9" t="s">
        <v>71</v>
      </c>
      <c r="BC172" s="11">
        <f>0.98*BC173</f>
        <v>39.200000000000003</v>
      </c>
      <c r="BD172" s="231">
        <v>16</v>
      </c>
      <c r="BE172" s="232" t="s">
        <v>287</v>
      </c>
      <c r="BF172" s="18"/>
      <c r="BG172" s="18"/>
      <c r="BH172" s="18"/>
      <c r="BI172" s="18"/>
      <c r="BJ172" s="18"/>
      <c r="BK172" s="18"/>
      <c r="BL172" s="18"/>
      <c r="BX172" s="6"/>
      <c r="BY172" s="6"/>
      <c r="BZ172" s="6"/>
      <c r="CB172" s="41" t="str">
        <f t="shared" si="89"/>
        <v>iID480</v>
      </c>
      <c r="CC172" s="213" t="s">
        <v>150</v>
      </c>
      <c r="CD172" s="213">
        <v>4</v>
      </c>
      <c r="CE172" s="214">
        <v>80</v>
      </c>
      <c r="CF172" s="214"/>
      <c r="CG172" s="201" t="s">
        <v>290</v>
      </c>
      <c r="CH172" s="18"/>
      <c r="CI172" s="18"/>
      <c r="CJ172" s="18"/>
      <c r="CK172" s="18"/>
      <c r="CL172" s="18"/>
      <c r="CM172" s="18"/>
      <c r="CN172" s="18"/>
      <c r="DH172" s="22"/>
      <c r="DI172" s="22"/>
      <c r="DJ172" s="22"/>
      <c r="DK172" s="344"/>
      <c r="DL172" s="375" t="str">
        <f t="shared" si="90"/>
        <v>TT420</v>
      </c>
      <c r="DM172" s="376" t="s">
        <v>763</v>
      </c>
      <c r="DN172" s="376">
        <v>4</v>
      </c>
      <c r="DO172" s="376">
        <v>20</v>
      </c>
      <c r="DP172" s="376">
        <v>1</v>
      </c>
      <c r="DQ172" s="377" t="s">
        <v>398</v>
      </c>
      <c r="DR172" s="358"/>
      <c r="DS172" s="358"/>
      <c r="DT172" s="358"/>
      <c r="DU172" s="358"/>
      <c r="DV172" s="358"/>
      <c r="DW172" s="358"/>
      <c r="DX172" s="358"/>
      <c r="DY172" s="358"/>
      <c r="DZ172" s="358"/>
      <c r="EA172" s="358"/>
      <c r="EB172" s="358"/>
      <c r="EC172" s="358"/>
      <c r="ED172" s="358"/>
      <c r="EE172" s="358"/>
      <c r="EF172" s="22"/>
      <c r="EG172" s="22"/>
      <c r="EH172" s="22"/>
      <c r="EI172" s="22"/>
      <c r="EJ172" s="22"/>
      <c r="EK172" s="22"/>
      <c r="EL172" s="22"/>
      <c r="EM172" s="22"/>
      <c r="EN172" s="344"/>
      <c r="EO172" s="344"/>
      <c r="EP172" s="22"/>
      <c r="EQ172" s="22"/>
      <c r="ER172" s="22"/>
      <c r="EU172" s="344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</row>
    <row r="173" spans="27:161" x14ac:dyDescent="0.2">
      <c r="AA173" s="8" t="s">
        <v>489</v>
      </c>
      <c r="AB173" s="437">
        <v>3</v>
      </c>
      <c r="AE173" s="8" t="s">
        <v>120</v>
      </c>
      <c r="AF173" s="107">
        <v>20</v>
      </c>
      <c r="AJ173" s="102" t="str">
        <f t="shared" si="87"/>
        <v>NG125H3</v>
      </c>
      <c r="AK173" s="201" t="s">
        <v>329</v>
      </c>
      <c r="AL173" s="240">
        <v>3</v>
      </c>
      <c r="AM173" s="240">
        <v>10</v>
      </c>
      <c r="AO173" s="102" t="str">
        <f t="shared" si="88"/>
        <v>iC60L63</v>
      </c>
      <c r="AP173" s="222" t="s">
        <v>21</v>
      </c>
      <c r="AQ173" s="222"/>
      <c r="AR173" s="256">
        <v>63</v>
      </c>
      <c r="AS173" s="222" t="s">
        <v>57</v>
      </c>
      <c r="BB173" s="9" t="s">
        <v>71</v>
      </c>
      <c r="BC173" s="11">
        <v>40</v>
      </c>
      <c r="BD173" s="231">
        <v>16</v>
      </c>
      <c r="BE173" s="232" t="s">
        <v>291</v>
      </c>
      <c r="BX173" s="6"/>
      <c r="BY173" s="6"/>
      <c r="BZ173" s="6"/>
      <c r="CB173" s="41" t="str">
        <f t="shared" si="89"/>
        <v>iID480</v>
      </c>
      <c r="CC173" s="213" t="s">
        <v>150</v>
      </c>
      <c r="CD173" s="213">
        <v>4</v>
      </c>
      <c r="CE173" s="214">
        <v>80</v>
      </c>
      <c r="CF173" s="214"/>
      <c r="CG173" s="201" t="s">
        <v>291</v>
      </c>
      <c r="DH173" s="22"/>
      <c r="DI173" s="22"/>
      <c r="DJ173" s="22"/>
      <c r="DK173" s="344"/>
      <c r="DL173" s="375" t="str">
        <f t="shared" si="90"/>
        <v>TT425</v>
      </c>
      <c r="DM173" s="376" t="s">
        <v>763</v>
      </c>
      <c r="DN173" s="376">
        <v>4</v>
      </c>
      <c r="DO173" s="376">
        <v>25</v>
      </c>
      <c r="DP173" s="376">
        <v>1</v>
      </c>
      <c r="DQ173" s="377" t="s">
        <v>399</v>
      </c>
      <c r="DR173" s="358"/>
      <c r="DS173" s="358"/>
      <c r="DT173" s="358"/>
      <c r="DU173" s="358"/>
      <c r="DV173" s="358"/>
      <c r="DW173" s="358"/>
      <c r="DX173" s="358"/>
      <c r="DY173" s="358"/>
      <c r="DZ173" s="358"/>
      <c r="EA173" s="358"/>
      <c r="EB173" s="358"/>
      <c r="EC173" s="358"/>
      <c r="ED173" s="358"/>
      <c r="EE173" s="358"/>
      <c r="EF173" s="22"/>
      <c r="EG173" s="22"/>
      <c r="EH173" s="22"/>
      <c r="EI173" s="22"/>
      <c r="EJ173" s="22"/>
      <c r="EK173" s="22"/>
      <c r="EL173" s="22"/>
      <c r="EM173" s="22"/>
      <c r="EN173" s="344"/>
      <c r="EO173" s="344"/>
      <c r="EP173" s="22"/>
      <c r="EQ173" s="22"/>
      <c r="ER173" s="22"/>
      <c r="EU173" s="344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</row>
    <row r="174" spans="27:161" x14ac:dyDescent="0.2">
      <c r="AA174" s="8" t="s">
        <v>489</v>
      </c>
      <c r="AB174" s="437">
        <v>4</v>
      </c>
      <c r="AE174" s="8" t="s">
        <v>120</v>
      </c>
      <c r="AF174" s="107">
        <v>25</v>
      </c>
      <c r="AJ174" s="102" t="str">
        <f t="shared" si="87"/>
        <v>NG125H3</v>
      </c>
      <c r="AK174" s="201" t="s">
        <v>329</v>
      </c>
      <c r="AL174" s="240">
        <v>3</v>
      </c>
      <c r="AM174" s="240">
        <v>16</v>
      </c>
      <c r="AO174" s="102" t="str">
        <f t="shared" si="88"/>
        <v>iC60L63</v>
      </c>
      <c r="AP174" s="222" t="s">
        <v>21</v>
      </c>
      <c r="AQ174" s="222"/>
      <c r="AR174" s="256">
        <v>63</v>
      </c>
      <c r="AS174" s="222" t="s">
        <v>58</v>
      </c>
      <c r="BB174" s="9" t="s">
        <v>72</v>
      </c>
      <c r="BC174" s="11">
        <f>0.9*BC182</f>
        <v>36</v>
      </c>
      <c r="BD174" s="231">
        <v>16</v>
      </c>
      <c r="BE174" s="232" t="s">
        <v>300</v>
      </c>
      <c r="BX174" s="6"/>
      <c r="BY174" s="6"/>
      <c r="BZ174" s="6"/>
      <c r="CB174" s="41" t="str">
        <f t="shared" si="89"/>
        <v>iID480</v>
      </c>
      <c r="CC174" s="213" t="s">
        <v>150</v>
      </c>
      <c r="CD174" s="213">
        <v>4</v>
      </c>
      <c r="CE174" s="214">
        <v>80</v>
      </c>
      <c r="CF174" s="214"/>
      <c r="CG174" s="201" t="s">
        <v>292</v>
      </c>
      <c r="DH174" s="22"/>
      <c r="DI174" s="22"/>
      <c r="DJ174" s="22"/>
      <c r="DK174" s="344"/>
      <c r="DL174" s="375" t="str">
        <f t="shared" si="90"/>
        <v>TT432</v>
      </c>
      <c r="DM174" s="376" t="s">
        <v>763</v>
      </c>
      <c r="DN174" s="376">
        <v>4</v>
      </c>
      <c r="DO174" s="376">
        <v>32</v>
      </c>
      <c r="DP174" s="376">
        <v>1</v>
      </c>
      <c r="DQ174" s="377" t="s">
        <v>400</v>
      </c>
      <c r="DR174" s="358"/>
      <c r="DS174" s="358"/>
      <c r="DT174" s="358"/>
      <c r="DU174" s="358"/>
      <c r="DV174" s="358"/>
      <c r="DW174" s="358"/>
      <c r="DX174" s="358"/>
      <c r="DY174" s="358"/>
      <c r="DZ174" s="358"/>
      <c r="EA174" s="358"/>
      <c r="EB174" s="358"/>
      <c r="EC174" s="358"/>
      <c r="ED174" s="358"/>
      <c r="EE174" s="358"/>
      <c r="EF174" s="22"/>
      <c r="EG174" s="22"/>
      <c r="EH174" s="22"/>
      <c r="EI174" s="22"/>
      <c r="EJ174" s="22"/>
      <c r="EK174" s="22"/>
      <c r="EL174" s="22"/>
      <c r="EM174" s="22"/>
      <c r="EN174" s="344"/>
      <c r="EO174" s="344"/>
      <c r="EP174" s="22"/>
      <c r="EQ174" s="22"/>
      <c r="ER174" s="22"/>
      <c r="EU174" s="344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</row>
    <row r="175" spans="27:161" x14ac:dyDescent="0.2">
      <c r="AA175" s="8" t="s">
        <v>130</v>
      </c>
      <c r="AB175" s="437">
        <v>3</v>
      </c>
      <c r="AE175" s="8" t="s">
        <v>121</v>
      </c>
      <c r="AF175" s="107">
        <v>32</v>
      </c>
      <c r="AJ175" s="102" t="str">
        <f t="shared" si="87"/>
        <v>NG125H3</v>
      </c>
      <c r="AK175" s="201" t="s">
        <v>329</v>
      </c>
      <c r="AL175" s="240">
        <v>3</v>
      </c>
      <c r="AM175" s="240">
        <v>20</v>
      </c>
      <c r="AO175" s="102" t="str">
        <f t="shared" si="88"/>
        <v>iC60L63</v>
      </c>
      <c r="AP175" s="222" t="s">
        <v>21</v>
      </c>
      <c r="AQ175" s="222"/>
      <c r="AR175" s="256">
        <v>63</v>
      </c>
      <c r="AS175" s="222" t="s">
        <v>307</v>
      </c>
      <c r="BB175" s="9" t="s">
        <v>72</v>
      </c>
      <c r="BC175" s="11">
        <f>0.92*BC182</f>
        <v>36.800000000000004</v>
      </c>
      <c r="BD175" s="231">
        <v>16</v>
      </c>
      <c r="BE175" s="232" t="s">
        <v>292</v>
      </c>
      <c r="BX175" s="6"/>
      <c r="BY175" s="6"/>
      <c r="BZ175" s="6"/>
      <c r="CB175" s="41" t="str">
        <f t="shared" si="89"/>
        <v>iID480</v>
      </c>
      <c r="CC175" s="213" t="s">
        <v>150</v>
      </c>
      <c r="CD175" s="213">
        <v>4</v>
      </c>
      <c r="CE175" s="214">
        <v>80</v>
      </c>
      <c r="CF175" s="214"/>
      <c r="CG175" s="201" t="s">
        <v>293</v>
      </c>
      <c r="DH175" s="22"/>
      <c r="DI175" s="22"/>
      <c r="DJ175" s="22"/>
      <c r="DK175" s="344"/>
      <c r="DL175" s="375" t="str">
        <f t="shared" si="90"/>
        <v>TT450</v>
      </c>
      <c r="DM175" s="376" t="s">
        <v>763</v>
      </c>
      <c r="DN175" s="376">
        <v>4</v>
      </c>
      <c r="DO175" s="376">
        <v>50</v>
      </c>
      <c r="DP175" s="376">
        <v>1</v>
      </c>
      <c r="DQ175" s="377" t="s">
        <v>401</v>
      </c>
      <c r="DR175" s="358"/>
      <c r="DS175" s="358"/>
      <c r="DT175" s="358"/>
      <c r="DU175" s="358"/>
      <c r="DV175" s="358"/>
      <c r="DW175" s="358"/>
      <c r="DX175" s="358"/>
      <c r="DY175" s="358"/>
      <c r="DZ175" s="358"/>
      <c r="EA175" s="358"/>
      <c r="EB175" s="358"/>
      <c r="EC175" s="358"/>
      <c r="ED175" s="358"/>
      <c r="EE175" s="358"/>
      <c r="EF175" s="22"/>
      <c r="EG175" s="22"/>
      <c r="EH175" s="22"/>
      <c r="EI175" s="22"/>
      <c r="EJ175" s="22"/>
      <c r="EK175" s="22"/>
      <c r="EL175" s="22"/>
      <c r="EM175" s="22"/>
      <c r="EN175" s="344"/>
      <c r="EO175" s="344"/>
      <c r="EP175" s="22"/>
      <c r="EQ175" s="22"/>
      <c r="ER175" s="22"/>
      <c r="EU175" s="344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</row>
    <row r="176" spans="27:161" x14ac:dyDescent="0.2">
      <c r="AA176" s="8" t="s">
        <v>130</v>
      </c>
      <c r="AB176" s="437">
        <v>4</v>
      </c>
      <c r="AE176" s="8" t="s">
        <v>121</v>
      </c>
      <c r="AF176" s="107">
        <v>40</v>
      </c>
      <c r="AJ176" s="102" t="str">
        <f t="shared" si="87"/>
        <v>NG125H3</v>
      </c>
      <c r="AK176" s="201" t="s">
        <v>329</v>
      </c>
      <c r="AL176" s="240">
        <v>3</v>
      </c>
      <c r="AM176" s="240">
        <v>25</v>
      </c>
      <c r="AO176" s="102" t="str">
        <f t="shared" si="88"/>
        <v>iC60L63</v>
      </c>
      <c r="AP176" s="222" t="s">
        <v>21</v>
      </c>
      <c r="AQ176" s="222"/>
      <c r="AR176" s="256">
        <v>63</v>
      </c>
      <c r="AS176" s="222" t="s">
        <v>308</v>
      </c>
      <c r="BB176" s="9" t="s">
        <v>72</v>
      </c>
      <c r="BC176" s="11">
        <f>0.93*BC182</f>
        <v>37.200000000000003</v>
      </c>
      <c r="BD176" s="231">
        <v>20</v>
      </c>
      <c r="BE176" s="233" t="s">
        <v>30</v>
      </c>
      <c r="CB176" s="41" t="str">
        <f t="shared" si="89"/>
        <v>iID4100</v>
      </c>
      <c r="CC176" s="213" t="s">
        <v>150</v>
      </c>
      <c r="CD176" s="213">
        <v>4</v>
      </c>
      <c r="CE176" s="214">
        <v>100</v>
      </c>
      <c r="CF176" s="214"/>
      <c r="CG176" s="201" t="s">
        <v>595</v>
      </c>
      <c r="DH176" s="22"/>
      <c r="DI176" s="22"/>
      <c r="DJ176" s="22"/>
      <c r="DK176" s="344"/>
      <c r="DL176" s="375" t="str">
        <f t="shared" si="90"/>
        <v>TT463</v>
      </c>
      <c r="DM176" s="376" t="s">
        <v>763</v>
      </c>
      <c r="DN176" s="376">
        <v>4</v>
      </c>
      <c r="DO176" s="376">
        <v>63</v>
      </c>
      <c r="DP176" s="376">
        <v>1</v>
      </c>
      <c r="DQ176" s="377" t="s">
        <v>402</v>
      </c>
      <c r="DR176" s="358"/>
      <c r="DS176" s="358"/>
      <c r="DT176" s="358"/>
      <c r="DU176" s="358"/>
      <c r="DV176" s="358"/>
      <c r="DW176" s="358"/>
      <c r="DX176" s="358"/>
      <c r="DY176" s="358"/>
      <c r="DZ176" s="358"/>
      <c r="EA176" s="358"/>
      <c r="EB176" s="358"/>
      <c r="EC176" s="358"/>
      <c r="ED176" s="358"/>
      <c r="EE176" s="358"/>
      <c r="EF176" s="22"/>
      <c r="EG176" s="22"/>
      <c r="EH176" s="22"/>
      <c r="EI176" s="22"/>
      <c r="EJ176" s="22"/>
      <c r="EK176" s="22"/>
      <c r="EL176" s="22"/>
      <c r="EM176" s="22"/>
      <c r="EN176" s="344"/>
      <c r="EO176" s="344"/>
      <c r="EP176" s="22"/>
      <c r="EQ176" s="22"/>
      <c r="ER176" s="22"/>
      <c r="EU176" s="344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</row>
    <row r="177" spans="27:161" x14ac:dyDescent="0.2">
      <c r="AA177" s="8" t="s">
        <v>131</v>
      </c>
      <c r="AB177" s="437">
        <v>3</v>
      </c>
      <c r="AE177" s="8" t="s">
        <v>122</v>
      </c>
      <c r="AF177" s="107">
        <v>32</v>
      </c>
      <c r="AJ177" s="102" t="str">
        <f t="shared" si="87"/>
        <v>NG125H3</v>
      </c>
      <c r="AK177" s="201" t="s">
        <v>329</v>
      </c>
      <c r="AL177" s="240">
        <v>3</v>
      </c>
      <c r="AM177" s="240">
        <v>32</v>
      </c>
      <c r="AO177" s="102" t="str">
        <f t="shared" si="88"/>
        <v>C60H-DC</v>
      </c>
      <c r="AP177" s="222" t="s">
        <v>148</v>
      </c>
      <c r="AQ177" s="256"/>
      <c r="AR177" s="256"/>
      <c r="AS177" s="222" t="s">
        <v>58</v>
      </c>
      <c r="BB177" s="9" t="s">
        <v>72</v>
      </c>
      <c r="BC177" s="11">
        <f>0.94*BC182</f>
        <v>37.599999999999994</v>
      </c>
      <c r="BD177" s="231">
        <v>20</v>
      </c>
      <c r="BE177" s="232" t="s">
        <v>595</v>
      </c>
      <c r="CB177" s="41" t="str">
        <f t="shared" si="89"/>
        <v>iID4100</v>
      </c>
      <c r="CC177" s="213" t="s">
        <v>150</v>
      </c>
      <c r="CD177" s="213">
        <v>4</v>
      </c>
      <c r="CE177" s="214">
        <v>100</v>
      </c>
      <c r="CF177" s="214"/>
      <c r="CG177" s="201" t="s">
        <v>596</v>
      </c>
      <c r="DH177" s="22"/>
      <c r="DI177" s="22"/>
      <c r="DJ177" s="22"/>
      <c r="DK177" s="344"/>
      <c r="DL177" s="375" t="str">
        <f t="shared" si="90"/>
        <v>TT480</v>
      </c>
      <c r="DM177" s="376" t="s">
        <v>763</v>
      </c>
      <c r="DN177" s="376">
        <v>4</v>
      </c>
      <c r="DO177" s="376">
        <v>80</v>
      </c>
      <c r="DP177" s="376">
        <v>1</v>
      </c>
      <c r="DQ177" s="377" t="s">
        <v>403</v>
      </c>
      <c r="DR177" s="358"/>
      <c r="DS177" s="358"/>
      <c r="DT177" s="358"/>
      <c r="DU177" s="358"/>
      <c r="DV177" s="358"/>
      <c r="DW177" s="358"/>
      <c r="DX177" s="358"/>
      <c r="DY177" s="358"/>
      <c r="DZ177" s="358"/>
      <c r="EA177" s="358"/>
      <c r="EB177" s="358"/>
      <c r="EC177" s="358"/>
      <c r="ED177" s="358"/>
      <c r="EE177" s="358"/>
      <c r="EF177" s="22"/>
      <c r="EG177" s="22"/>
      <c r="EH177" s="22"/>
      <c r="EI177" s="22"/>
      <c r="EJ177" s="22"/>
      <c r="EK177" s="22"/>
      <c r="EL177" s="22"/>
      <c r="EM177" s="22"/>
      <c r="EN177" s="344"/>
      <c r="EO177" s="344"/>
      <c r="EP177" s="22"/>
      <c r="EQ177" s="22"/>
      <c r="ER177" s="22"/>
      <c r="EU177" s="344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</row>
    <row r="178" spans="27:161" x14ac:dyDescent="0.2">
      <c r="AA178" s="8" t="s">
        <v>131</v>
      </c>
      <c r="AB178" s="437">
        <v>4</v>
      </c>
      <c r="AE178" s="8" t="s">
        <v>122</v>
      </c>
      <c r="AF178" s="107">
        <v>40</v>
      </c>
      <c r="AJ178" s="102" t="str">
        <f t="shared" si="87"/>
        <v>NG125H3</v>
      </c>
      <c r="AK178" s="201" t="s">
        <v>329</v>
      </c>
      <c r="AL178" s="240">
        <v>3</v>
      </c>
      <c r="AM178" s="240">
        <v>40</v>
      </c>
      <c r="AO178" s="102" t="str">
        <f t="shared" si="88"/>
        <v>C120</v>
      </c>
      <c r="AP178" s="222" t="s">
        <v>534</v>
      </c>
      <c r="AQ178" s="222"/>
      <c r="AR178" s="256"/>
      <c r="AS178" s="222" t="s">
        <v>57</v>
      </c>
      <c r="BB178" s="9" t="s">
        <v>72</v>
      </c>
      <c r="BC178" s="11">
        <f>0.95*BC182</f>
        <v>38</v>
      </c>
      <c r="BD178" s="231">
        <v>20</v>
      </c>
      <c r="BE178" s="232" t="s">
        <v>596</v>
      </c>
      <c r="CB178" s="41" t="str">
        <f t="shared" si="89"/>
        <v>iID4100</v>
      </c>
      <c r="CC178" s="213" t="s">
        <v>150</v>
      </c>
      <c r="CD178" s="213">
        <v>4</v>
      </c>
      <c r="CE178" s="214">
        <v>100</v>
      </c>
      <c r="CF178" s="214"/>
      <c r="CG178" s="201" t="s">
        <v>597</v>
      </c>
      <c r="DH178" s="22"/>
      <c r="DI178" s="22"/>
      <c r="DJ178" s="22"/>
      <c r="DK178" s="344"/>
      <c r="DL178" s="375" t="str">
        <f t="shared" si="90"/>
        <v>TT4100</v>
      </c>
      <c r="DM178" s="376" t="s">
        <v>763</v>
      </c>
      <c r="DN178" s="376">
        <v>4</v>
      </c>
      <c r="DO178" s="376">
        <v>100</v>
      </c>
      <c r="DP178" s="376">
        <v>1</v>
      </c>
      <c r="DQ178" s="377" t="s">
        <v>404</v>
      </c>
      <c r="DR178" s="358"/>
      <c r="DS178" s="358"/>
      <c r="DT178" s="358"/>
      <c r="DU178" s="358"/>
      <c r="DV178" s="358"/>
      <c r="DW178" s="358"/>
      <c r="DX178" s="358"/>
      <c r="DY178" s="358"/>
      <c r="DZ178" s="358"/>
      <c r="EA178" s="358"/>
      <c r="EB178" s="358"/>
      <c r="EC178" s="358"/>
      <c r="ED178" s="358"/>
      <c r="EE178" s="358"/>
      <c r="EF178" s="22"/>
      <c r="EG178" s="22"/>
      <c r="EH178" s="22"/>
      <c r="EI178" s="22"/>
      <c r="EJ178" s="22"/>
      <c r="EK178" s="22"/>
      <c r="EL178" s="22"/>
      <c r="EM178" s="22"/>
      <c r="EN178" s="344"/>
      <c r="EO178" s="344"/>
      <c r="EP178" s="22"/>
      <c r="EQ178" s="22"/>
      <c r="ER178" s="22"/>
      <c r="EU178" s="344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</row>
    <row r="179" spans="27:161" ht="13.5" thickBot="1" x14ac:dyDescent="0.25">
      <c r="AA179" s="8" t="s">
        <v>490</v>
      </c>
      <c r="AB179" s="437">
        <v>3</v>
      </c>
      <c r="AE179" s="8" t="s">
        <v>123</v>
      </c>
      <c r="AF179" s="107">
        <v>32</v>
      </c>
      <c r="AJ179" s="102" t="str">
        <f t="shared" si="87"/>
        <v>NG125H3</v>
      </c>
      <c r="AK179" s="201" t="s">
        <v>329</v>
      </c>
      <c r="AL179" s="240">
        <v>3</v>
      </c>
      <c r="AM179" s="240">
        <v>50</v>
      </c>
      <c r="AO179" s="102" t="str">
        <f t="shared" si="88"/>
        <v>C120</v>
      </c>
      <c r="AP179" s="222" t="s">
        <v>534</v>
      </c>
      <c r="AQ179" s="222"/>
      <c r="AR179" s="256"/>
      <c r="AS179" s="222" t="s">
        <v>58</v>
      </c>
      <c r="BB179" s="9" t="s">
        <v>72</v>
      </c>
      <c r="BC179" s="11">
        <f>0.96*BC182</f>
        <v>38.4</v>
      </c>
      <c r="BD179" s="231">
        <v>20</v>
      </c>
      <c r="BE179" s="232" t="s">
        <v>597</v>
      </c>
      <c r="BP179" s="18"/>
      <c r="CB179" s="41" t="str">
        <f t="shared" si="89"/>
        <v>iID4100</v>
      </c>
      <c r="CC179" s="213" t="s">
        <v>150</v>
      </c>
      <c r="CD179" s="213">
        <v>4</v>
      </c>
      <c r="CE179" s="214">
        <v>100</v>
      </c>
      <c r="CF179" s="214"/>
      <c r="CG179" s="201" t="s">
        <v>290</v>
      </c>
      <c r="DH179" s="22"/>
      <c r="DI179" s="22"/>
      <c r="DJ179" s="22"/>
      <c r="DK179" s="344"/>
      <c r="DL179" s="375" t="str">
        <f t="shared" si="90"/>
        <v>TT4125</v>
      </c>
      <c r="DM179" s="376" t="s">
        <v>763</v>
      </c>
      <c r="DN179" s="376">
        <v>4</v>
      </c>
      <c r="DO179" s="376">
        <v>125</v>
      </c>
      <c r="DP179" s="376">
        <v>1</v>
      </c>
      <c r="DQ179" s="377" t="s">
        <v>405</v>
      </c>
      <c r="DR179" s="358"/>
      <c r="DS179" s="358"/>
      <c r="DT179" s="358"/>
      <c r="DU179" s="358"/>
      <c r="DV179" s="358"/>
      <c r="DW179" s="358"/>
      <c r="DX179" s="358"/>
      <c r="DY179" s="358"/>
      <c r="DZ179" s="358"/>
      <c r="EA179" s="358"/>
      <c r="EB179" s="358"/>
      <c r="EC179" s="358"/>
      <c r="ED179" s="358"/>
      <c r="EE179" s="358"/>
      <c r="EF179" s="22"/>
      <c r="EG179" s="22"/>
      <c r="EH179" s="22"/>
      <c r="EI179" s="22"/>
      <c r="EJ179" s="22"/>
      <c r="EK179" s="22"/>
      <c r="EL179" s="22"/>
      <c r="EM179" s="22"/>
      <c r="EN179" s="344"/>
      <c r="EO179" s="344"/>
      <c r="EP179" s="22"/>
      <c r="EQ179" s="22"/>
      <c r="ER179" s="22"/>
      <c r="EU179" s="344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</row>
    <row r="180" spans="27:161" x14ac:dyDescent="0.2">
      <c r="AA180" s="8" t="s">
        <v>490</v>
      </c>
      <c r="AB180" s="437">
        <v>4</v>
      </c>
      <c r="AE180" s="8" t="s">
        <v>123</v>
      </c>
      <c r="AF180" s="107">
        <v>40</v>
      </c>
      <c r="AJ180" s="102" t="str">
        <f t="shared" si="87"/>
        <v>NG125H3</v>
      </c>
      <c r="AK180" s="201" t="s">
        <v>329</v>
      </c>
      <c r="AL180" s="240">
        <v>3</v>
      </c>
      <c r="AM180" s="240">
        <v>63</v>
      </c>
      <c r="AO180" s="102" t="str">
        <f t="shared" si="88"/>
        <v>C120</v>
      </c>
      <c r="AP180" s="222" t="s">
        <v>534</v>
      </c>
      <c r="AQ180" s="222"/>
      <c r="AR180" s="256"/>
      <c r="AS180" s="222" t="s">
        <v>59</v>
      </c>
      <c r="BB180" s="9" t="s">
        <v>72</v>
      </c>
      <c r="BC180" s="11">
        <f>0.97*BC182</f>
        <v>38.799999999999997</v>
      </c>
      <c r="BD180" s="231">
        <v>20</v>
      </c>
      <c r="BE180" s="232" t="s">
        <v>598</v>
      </c>
      <c r="BF180" s="18"/>
      <c r="BG180" s="18"/>
      <c r="BH180" s="18"/>
      <c r="BI180" s="18"/>
      <c r="BJ180" s="18"/>
      <c r="BK180" s="18"/>
      <c r="BO180" s="1453" t="s">
        <v>1034</v>
      </c>
      <c r="BP180" s="1452" t="s">
        <v>456</v>
      </c>
      <c r="BQ180" s="1452"/>
      <c r="BR180" s="1452"/>
      <c r="BS180" s="1472" t="s">
        <v>1049</v>
      </c>
      <c r="BT180" s="1472"/>
      <c r="BU180" s="1472"/>
      <c r="BV180" s="1450" t="s">
        <v>1033</v>
      </c>
      <c r="BW180" s="848"/>
      <c r="CB180" s="41" t="str">
        <f t="shared" si="89"/>
        <v>iID4100</v>
      </c>
      <c r="CC180" s="213" t="s">
        <v>150</v>
      </c>
      <c r="CD180" s="213">
        <v>4</v>
      </c>
      <c r="CE180" s="214">
        <v>100</v>
      </c>
      <c r="CF180" s="214"/>
      <c r="CG180" s="201" t="s">
        <v>291</v>
      </c>
      <c r="CH180" s="18"/>
      <c r="CI180" s="18"/>
      <c r="CJ180" s="18"/>
      <c r="CK180" s="18"/>
      <c r="CL180" s="18"/>
      <c r="CM180" s="18"/>
      <c r="CN180" s="18"/>
      <c r="DH180" s="22"/>
      <c r="DI180" s="22"/>
      <c r="DJ180" s="22"/>
      <c r="DK180" s="344"/>
      <c r="DL180" s="375" t="str">
        <f t="shared" si="90"/>
        <v>TT4160</v>
      </c>
      <c r="DM180" s="376" t="s">
        <v>763</v>
      </c>
      <c r="DN180" s="376">
        <v>4</v>
      </c>
      <c r="DO180" s="376">
        <v>160</v>
      </c>
      <c r="DP180" s="376">
        <v>1</v>
      </c>
      <c r="DQ180" s="377" t="s">
        <v>406</v>
      </c>
      <c r="DR180" s="358"/>
      <c r="DS180" s="358"/>
      <c r="DT180" s="358"/>
      <c r="DU180" s="358"/>
      <c r="DV180" s="358"/>
      <c r="DW180" s="358"/>
      <c r="DX180" s="358"/>
      <c r="DY180" s="358"/>
      <c r="DZ180" s="358"/>
      <c r="EA180" s="358"/>
      <c r="EB180" s="358"/>
      <c r="EC180" s="358"/>
      <c r="ED180" s="358"/>
      <c r="EE180" s="358"/>
      <c r="EF180" s="22"/>
      <c r="EG180" s="22"/>
      <c r="EH180" s="22"/>
      <c r="EI180" s="22"/>
      <c r="EJ180" s="22"/>
      <c r="EK180" s="22"/>
      <c r="EL180" s="22"/>
      <c r="EM180" s="22"/>
      <c r="EN180" s="344"/>
      <c r="EO180" s="344"/>
      <c r="EP180" s="22"/>
      <c r="EQ180" s="22"/>
      <c r="ER180" s="22"/>
      <c r="EU180" s="344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</row>
    <row r="181" spans="27:161" x14ac:dyDescent="0.2">
      <c r="AA181" s="8" t="s">
        <v>132</v>
      </c>
      <c r="AB181" s="437">
        <v>3</v>
      </c>
      <c r="AE181" s="8" t="s">
        <v>124</v>
      </c>
      <c r="AF181" s="107">
        <v>50</v>
      </c>
      <c r="AJ181" s="102" t="str">
        <f t="shared" si="87"/>
        <v>NG125H3</v>
      </c>
      <c r="AK181" s="201" t="s">
        <v>329</v>
      </c>
      <c r="AL181" s="240">
        <v>3</v>
      </c>
      <c r="AM181" s="240">
        <v>80</v>
      </c>
      <c r="AO181" s="102" t="str">
        <f t="shared" si="88"/>
        <v>NG125N163</v>
      </c>
      <c r="AP181" s="222" t="s">
        <v>328</v>
      </c>
      <c r="AQ181" s="222">
        <v>1</v>
      </c>
      <c r="AR181" s="256">
        <v>63</v>
      </c>
      <c r="AS181" s="222" t="s">
        <v>58</v>
      </c>
      <c r="BB181" s="9" t="s">
        <v>72</v>
      </c>
      <c r="BC181" s="11">
        <f>0.98*BC182</f>
        <v>39.200000000000003</v>
      </c>
      <c r="BD181" s="231">
        <v>20</v>
      </c>
      <c r="BE181" s="232" t="s">
        <v>290</v>
      </c>
      <c r="BO181" s="1454"/>
      <c r="BP181" s="589" t="s">
        <v>1002</v>
      </c>
      <c r="BQ181" s="589" t="s">
        <v>1004</v>
      </c>
      <c r="BR181" s="589" t="s">
        <v>1003</v>
      </c>
      <c r="BS181" s="1473"/>
      <c r="BT181" s="1473"/>
      <c r="BU181" s="1473"/>
      <c r="BV181" s="1451"/>
      <c r="BW181" s="849" t="s">
        <v>1035</v>
      </c>
      <c r="CB181" s="41" t="str">
        <f t="shared" si="89"/>
        <v>iID4100</v>
      </c>
      <c r="CC181" s="213" t="s">
        <v>150</v>
      </c>
      <c r="CD181" s="213">
        <v>4</v>
      </c>
      <c r="CE181" s="214">
        <v>100</v>
      </c>
      <c r="CF181" s="214"/>
      <c r="CG181" s="201" t="s">
        <v>292</v>
      </c>
      <c r="DH181" s="22"/>
      <c r="DI181" s="22"/>
      <c r="DJ181" s="22"/>
      <c r="DK181" s="344"/>
      <c r="DL181" s="375" t="str">
        <f t="shared" si="90"/>
        <v>TT4200</v>
      </c>
      <c r="DM181" s="376" t="s">
        <v>763</v>
      </c>
      <c r="DN181" s="376">
        <v>4</v>
      </c>
      <c r="DO181" s="376">
        <v>200</v>
      </c>
      <c r="DP181" s="376">
        <v>1</v>
      </c>
      <c r="DQ181" s="377" t="s">
        <v>407</v>
      </c>
      <c r="DR181" s="358"/>
      <c r="DS181" s="358"/>
      <c r="DT181" s="358"/>
      <c r="DU181" s="358"/>
      <c r="DV181" s="358"/>
      <c r="DW181" s="358"/>
      <c r="DX181" s="358"/>
      <c r="DY181" s="358"/>
      <c r="DZ181" s="358"/>
      <c r="EA181" s="358"/>
      <c r="EB181" s="358"/>
      <c r="EC181" s="358"/>
      <c r="ED181" s="358"/>
      <c r="EE181" s="358"/>
      <c r="EF181" s="22"/>
      <c r="EG181" s="22"/>
      <c r="EH181" s="22"/>
      <c r="EI181" s="22"/>
      <c r="EJ181" s="22"/>
      <c r="EK181" s="22"/>
      <c r="EL181" s="22"/>
      <c r="EM181" s="22"/>
      <c r="EN181" s="344"/>
      <c r="EO181" s="344"/>
      <c r="EP181" s="22"/>
      <c r="EQ181" s="22"/>
      <c r="ER181" s="22"/>
      <c r="EU181" s="344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</row>
    <row r="182" spans="27:161" ht="13.5" thickBot="1" x14ac:dyDescent="0.25">
      <c r="AA182" s="8" t="s">
        <v>132</v>
      </c>
      <c r="AB182" s="437">
        <v>4</v>
      </c>
      <c r="AE182" s="8" t="s">
        <v>124</v>
      </c>
      <c r="AF182" s="107">
        <v>63</v>
      </c>
      <c r="AJ182" s="102" t="str">
        <f t="shared" si="87"/>
        <v>NG125H4</v>
      </c>
      <c r="AK182" s="201" t="s">
        <v>329</v>
      </c>
      <c r="AL182" s="240">
        <v>4</v>
      </c>
      <c r="AM182" s="240">
        <v>10</v>
      </c>
      <c r="AO182" s="102" t="str">
        <f t="shared" si="88"/>
        <v>NG125N263</v>
      </c>
      <c r="AP182" s="222" t="s">
        <v>328</v>
      </c>
      <c r="AQ182" s="222">
        <v>2</v>
      </c>
      <c r="AR182" s="256">
        <v>63</v>
      </c>
      <c r="AS182" s="222" t="s">
        <v>58</v>
      </c>
      <c r="BB182" s="9" t="s">
        <v>72</v>
      </c>
      <c r="BC182" s="11">
        <v>40</v>
      </c>
      <c r="BD182" s="231">
        <v>20</v>
      </c>
      <c r="BE182" s="232" t="s">
        <v>287</v>
      </c>
      <c r="BO182" s="850" t="str">
        <f t="shared" ref="BO182:BO207" si="117">BV182&amp;BS182&amp;BT182&amp;BU182</f>
        <v>1000</v>
      </c>
      <c r="BP182" s="820">
        <v>1</v>
      </c>
      <c r="BQ182" s="820">
        <v>0</v>
      </c>
      <c r="BR182" s="820">
        <v>0</v>
      </c>
      <c r="BS182" s="820">
        <v>0</v>
      </c>
      <c r="BT182" s="820">
        <v>0</v>
      </c>
      <c r="BU182" s="820">
        <v>0</v>
      </c>
      <c r="BV182" s="820">
        <v>1</v>
      </c>
      <c r="BW182" s="849" t="s">
        <v>1036</v>
      </c>
      <c r="CB182" s="41" t="str">
        <f t="shared" si="89"/>
        <v>iID4100</v>
      </c>
      <c r="CC182" s="215" t="s">
        <v>150</v>
      </c>
      <c r="CD182" s="215">
        <v>4</v>
      </c>
      <c r="CE182" s="216">
        <v>100</v>
      </c>
      <c r="CF182" s="216"/>
      <c r="CG182" s="217" t="s">
        <v>293</v>
      </c>
      <c r="DH182" s="22"/>
      <c r="DI182" s="22"/>
      <c r="DJ182" s="22"/>
      <c r="DK182" s="344"/>
      <c r="DL182" s="375" t="str">
        <f t="shared" si="90"/>
        <v>TT4250</v>
      </c>
      <c r="DM182" s="376" t="s">
        <v>763</v>
      </c>
      <c r="DN182" s="376">
        <v>4</v>
      </c>
      <c r="DO182" s="376">
        <v>250</v>
      </c>
      <c r="DP182" s="376">
        <v>1</v>
      </c>
      <c r="DQ182" s="377" t="s">
        <v>408</v>
      </c>
      <c r="DR182" s="358"/>
      <c r="DS182" s="358"/>
      <c r="DT182" s="358"/>
      <c r="DU182" s="358"/>
      <c r="DV182" s="358"/>
      <c r="DW182" s="358"/>
      <c r="DX182" s="358"/>
      <c r="DY182" s="358"/>
      <c r="DZ182" s="358"/>
      <c r="EA182" s="358"/>
      <c r="EB182" s="358"/>
      <c r="EC182" s="358"/>
      <c r="ED182" s="358"/>
      <c r="EE182" s="358"/>
      <c r="EF182" s="22"/>
      <c r="EG182" s="22"/>
      <c r="EH182" s="22"/>
      <c r="EI182" s="22"/>
      <c r="EJ182" s="22"/>
      <c r="EK182" s="22"/>
      <c r="EL182" s="22"/>
      <c r="EM182" s="22"/>
      <c r="EN182" s="344"/>
      <c r="EO182" s="344"/>
      <c r="EP182" s="22"/>
      <c r="EQ182" s="22"/>
      <c r="ER182" s="22"/>
      <c r="EU182" s="344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</row>
    <row r="183" spans="27:161" ht="13.5" thickTop="1" x14ac:dyDescent="0.2">
      <c r="AA183" s="8" t="s">
        <v>133</v>
      </c>
      <c r="AB183" s="437">
        <v>3</v>
      </c>
      <c r="AE183" s="8" t="s">
        <v>125</v>
      </c>
      <c r="AF183" s="107">
        <v>50</v>
      </c>
      <c r="AJ183" s="102" t="str">
        <f t="shared" si="87"/>
        <v>NG125H4</v>
      </c>
      <c r="AK183" s="201" t="s">
        <v>329</v>
      </c>
      <c r="AL183" s="240">
        <v>4</v>
      </c>
      <c r="AM183" s="240">
        <v>16</v>
      </c>
      <c r="AO183" s="102" t="str">
        <f t="shared" si="88"/>
        <v>NG125N363</v>
      </c>
      <c r="AP183" s="222" t="s">
        <v>328</v>
      </c>
      <c r="AQ183" s="222">
        <v>3</v>
      </c>
      <c r="AR183" s="256">
        <v>63</v>
      </c>
      <c r="AS183" s="222" t="s">
        <v>58</v>
      </c>
      <c r="BB183" s="9" t="s">
        <v>72</v>
      </c>
      <c r="BC183" s="11">
        <f>0.9*BC191</f>
        <v>40.5</v>
      </c>
      <c r="BD183" s="231">
        <v>20</v>
      </c>
      <c r="BE183" s="232" t="s">
        <v>291</v>
      </c>
      <c r="BO183" s="850" t="str">
        <f t="shared" si="117"/>
        <v>1002</v>
      </c>
      <c r="BP183" s="820">
        <v>1</v>
      </c>
      <c r="BQ183" s="820">
        <v>0</v>
      </c>
      <c r="BR183" s="820">
        <v>0</v>
      </c>
      <c r="BS183" s="820">
        <v>0</v>
      </c>
      <c r="BT183" s="820">
        <v>0</v>
      </c>
      <c r="BU183" s="820">
        <v>2</v>
      </c>
      <c r="BV183" s="820">
        <v>1</v>
      </c>
      <c r="BW183" s="849" t="s">
        <v>1040</v>
      </c>
      <c r="CB183" s="41" t="str">
        <f t="shared" si="89"/>
        <v>NSX1004100</v>
      </c>
      <c r="CC183" s="218" t="s">
        <v>110</v>
      </c>
      <c r="CD183" s="187">
        <v>4</v>
      </c>
      <c r="CE183" s="187">
        <v>100</v>
      </c>
      <c r="CF183" s="187"/>
      <c r="CG183" s="190" t="s">
        <v>30</v>
      </c>
      <c r="DH183" s="22"/>
      <c r="DI183" s="22"/>
      <c r="DJ183" s="22"/>
      <c r="DK183" s="344"/>
      <c r="DL183" s="375" t="str">
        <f t="shared" si="90"/>
        <v>TT4400</v>
      </c>
      <c r="DM183" s="376" t="s">
        <v>763</v>
      </c>
      <c r="DN183" s="376">
        <v>4</v>
      </c>
      <c r="DO183" s="376">
        <v>400</v>
      </c>
      <c r="DP183" s="376">
        <v>2</v>
      </c>
      <c r="DQ183" s="377" t="s">
        <v>407</v>
      </c>
      <c r="DR183" s="358"/>
      <c r="DS183" s="358"/>
      <c r="DT183" s="358"/>
      <c r="DU183" s="358"/>
      <c r="DV183" s="358"/>
      <c r="DW183" s="358"/>
      <c r="DX183" s="358"/>
      <c r="DY183" s="358"/>
      <c r="DZ183" s="358"/>
      <c r="EA183" s="358"/>
      <c r="EB183" s="358"/>
      <c r="EC183" s="358"/>
      <c r="ED183" s="358"/>
      <c r="EE183" s="358"/>
      <c r="EF183" s="22"/>
      <c r="EG183" s="22"/>
      <c r="EH183" s="22"/>
      <c r="EI183" s="22"/>
      <c r="EJ183" s="22"/>
      <c r="EK183" s="22"/>
      <c r="EL183" s="22"/>
      <c r="EM183" s="22"/>
      <c r="EN183" s="344"/>
      <c r="EO183" s="344"/>
      <c r="EP183" s="22"/>
      <c r="EQ183" s="22"/>
      <c r="ER183" s="22"/>
      <c r="EU183" s="344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</row>
    <row r="184" spans="27:161" x14ac:dyDescent="0.2">
      <c r="AA184" s="8" t="s">
        <v>133</v>
      </c>
      <c r="AB184" s="437">
        <v>4</v>
      </c>
      <c r="AE184" s="8" t="s">
        <v>125</v>
      </c>
      <c r="AF184" s="107">
        <v>63</v>
      </c>
      <c r="AJ184" s="102" t="str">
        <f t="shared" si="87"/>
        <v>NG125H4</v>
      </c>
      <c r="AK184" s="201" t="s">
        <v>329</v>
      </c>
      <c r="AL184" s="240">
        <v>4</v>
      </c>
      <c r="AM184" s="240">
        <v>20</v>
      </c>
      <c r="AO184" s="102" t="str">
        <f t="shared" si="88"/>
        <v>NG125N463</v>
      </c>
      <c r="AP184" s="222" t="s">
        <v>328</v>
      </c>
      <c r="AQ184" s="222">
        <v>4</v>
      </c>
      <c r="AR184" s="256">
        <v>63</v>
      </c>
      <c r="AS184" s="222" t="s">
        <v>58</v>
      </c>
      <c r="BB184" s="9" t="s">
        <v>72</v>
      </c>
      <c r="BC184" s="11">
        <f>0.92*BC191</f>
        <v>41.4</v>
      </c>
      <c r="BD184" s="231">
        <v>20</v>
      </c>
      <c r="BE184" s="232" t="s">
        <v>300</v>
      </c>
      <c r="BO184" s="850" t="str">
        <f t="shared" si="117"/>
        <v>1012</v>
      </c>
      <c r="BP184" s="820">
        <v>1</v>
      </c>
      <c r="BQ184" s="820">
        <v>0</v>
      </c>
      <c r="BR184" s="820">
        <v>0</v>
      </c>
      <c r="BS184" s="820">
        <v>0</v>
      </c>
      <c r="BT184" s="820">
        <v>1</v>
      </c>
      <c r="BU184" s="820">
        <v>2</v>
      </c>
      <c r="BV184" s="820">
        <v>1</v>
      </c>
      <c r="BW184" s="849" t="s">
        <v>1041</v>
      </c>
      <c r="CB184" s="41" t="str">
        <f t="shared" si="89"/>
        <v>NSX1004100</v>
      </c>
      <c r="CC184" s="218" t="s">
        <v>110</v>
      </c>
      <c r="CD184" s="187">
        <v>4</v>
      </c>
      <c r="CE184" s="214">
        <v>100</v>
      </c>
      <c r="CF184" s="214"/>
      <c r="CG184" s="201" t="s">
        <v>294</v>
      </c>
      <c r="DH184" s="22"/>
      <c r="DI184" s="22"/>
      <c r="DJ184" s="22"/>
      <c r="DK184" s="344"/>
      <c r="DL184" s="375" t="str">
        <f t="shared" si="90"/>
        <v>TT4630</v>
      </c>
      <c r="DM184" s="376" t="s">
        <v>763</v>
      </c>
      <c r="DN184" s="376">
        <v>4</v>
      </c>
      <c r="DO184" s="376">
        <v>630</v>
      </c>
      <c r="DP184" s="376">
        <v>2</v>
      </c>
      <c r="DQ184" s="377" t="s">
        <v>410</v>
      </c>
      <c r="DR184" s="358"/>
      <c r="DS184" s="358"/>
      <c r="DT184" s="358"/>
      <c r="DU184" s="358"/>
      <c r="DV184" s="358"/>
      <c r="DW184" s="358"/>
      <c r="DX184" s="358"/>
      <c r="DY184" s="358"/>
      <c r="DZ184" s="358"/>
      <c r="EA184" s="358"/>
      <c r="EB184" s="358"/>
      <c r="EC184" s="358"/>
      <c r="ED184" s="358"/>
      <c r="EE184" s="358"/>
      <c r="EF184" s="22"/>
      <c r="EG184" s="22"/>
      <c r="EH184" s="22"/>
      <c r="EI184" s="22"/>
      <c r="EJ184" s="22"/>
      <c r="EK184" s="22"/>
      <c r="EL184" s="22"/>
      <c r="EM184" s="22"/>
      <c r="EN184" s="344"/>
      <c r="EO184" s="344"/>
      <c r="EP184" s="22"/>
      <c r="EQ184" s="22"/>
      <c r="ER184" s="22"/>
      <c r="EU184" s="344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</row>
    <row r="185" spans="27:161" x14ac:dyDescent="0.2">
      <c r="AA185" s="8" t="s">
        <v>491</v>
      </c>
      <c r="AB185" s="437">
        <v>3</v>
      </c>
      <c r="AE185" s="8" t="s">
        <v>126</v>
      </c>
      <c r="AF185" s="107">
        <v>50</v>
      </c>
      <c r="AJ185" s="102" t="str">
        <f t="shared" si="87"/>
        <v>NG125H4</v>
      </c>
      <c r="AK185" s="201" t="s">
        <v>329</v>
      </c>
      <c r="AL185" s="240">
        <v>4</v>
      </c>
      <c r="AM185" s="240">
        <v>25</v>
      </c>
      <c r="AO185" s="102" t="str">
        <f t="shared" si="88"/>
        <v>NG125N3125</v>
      </c>
      <c r="AP185" s="222" t="s">
        <v>328</v>
      </c>
      <c r="AQ185" s="222">
        <v>3</v>
      </c>
      <c r="AR185" s="256">
        <v>125</v>
      </c>
      <c r="AS185" s="222" t="s">
        <v>57</v>
      </c>
      <c r="BB185" s="9" t="s">
        <v>72</v>
      </c>
      <c r="BC185" s="11">
        <f>0.93*BC191</f>
        <v>41.85</v>
      </c>
      <c r="BD185" s="231">
        <v>20</v>
      </c>
      <c r="BE185" s="232" t="s">
        <v>292</v>
      </c>
      <c r="BO185" s="850" t="str">
        <f t="shared" si="117"/>
        <v>1020</v>
      </c>
      <c r="BP185" s="820">
        <v>1</v>
      </c>
      <c r="BQ185" s="820">
        <v>0</v>
      </c>
      <c r="BR185" s="820">
        <v>0</v>
      </c>
      <c r="BS185" s="820">
        <v>0</v>
      </c>
      <c r="BT185" s="820">
        <v>2</v>
      </c>
      <c r="BU185" s="820">
        <v>0</v>
      </c>
      <c r="BV185" s="820">
        <v>1</v>
      </c>
      <c r="BW185" s="849" t="s">
        <v>1043</v>
      </c>
      <c r="CB185" s="41" t="str">
        <f t="shared" si="89"/>
        <v>NSX1004100</v>
      </c>
      <c r="CC185" s="218" t="s">
        <v>110</v>
      </c>
      <c r="CD185" s="187">
        <v>4</v>
      </c>
      <c r="CE185" s="214">
        <v>100</v>
      </c>
      <c r="CF185" s="214"/>
      <c r="CG185" s="201" t="s">
        <v>250</v>
      </c>
      <c r="DH185" s="22"/>
      <c r="DI185" s="22"/>
      <c r="DJ185" s="22"/>
      <c r="DK185" s="344"/>
      <c r="DL185" s="375" t="str">
        <f t="shared" si="90"/>
        <v>IT310</v>
      </c>
      <c r="DM185" s="376" t="s">
        <v>151</v>
      </c>
      <c r="DN185" s="376">
        <v>3</v>
      </c>
      <c r="DO185" s="376">
        <v>10</v>
      </c>
      <c r="DP185" s="376">
        <v>1</v>
      </c>
      <c r="DQ185" s="377" t="s">
        <v>383</v>
      </c>
      <c r="DR185" s="358"/>
      <c r="DS185" s="358"/>
      <c r="DT185" s="358"/>
      <c r="DU185" s="358"/>
      <c r="DV185" s="358"/>
      <c r="DW185" s="358"/>
      <c r="DX185" s="358"/>
      <c r="DY185" s="358"/>
      <c r="DZ185" s="358"/>
      <c r="EA185" s="358"/>
      <c r="EB185" s="358"/>
      <c r="EC185" s="358"/>
      <c r="ED185" s="358"/>
      <c r="EE185" s="358"/>
      <c r="EF185" s="22"/>
      <c r="EG185" s="22"/>
      <c r="EH185" s="22"/>
      <c r="EI185" s="22"/>
      <c r="EJ185" s="22"/>
      <c r="EK185" s="22"/>
      <c r="EL185" s="22"/>
      <c r="EM185" s="22"/>
      <c r="EN185" s="344"/>
      <c r="EO185" s="344"/>
      <c r="EP185" s="22"/>
      <c r="EQ185" s="22"/>
      <c r="ER185" s="22"/>
      <c r="EU185" s="344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</row>
    <row r="186" spans="27:161" x14ac:dyDescent="0.2">
      <c r="AA186" s="8" t="s">
        <v>491</v>
      </c>
      <c r="AB186" s="437">
        <v>4</v>
      </c>
      <c r="AE186" s="8" t="s">
        <v>126</v>
      </c>
      <c r="AF186" s="107">
        <v>63</v>
      </c>
      <c r="AJ186" s="102" t="str">
        <f t="shared" si="87"/>
        <v>NG125H4</v>
      </c>
      <c r="AK186" s="201" t="s">
        <v>329</v>
      </c>
      <c r="AL186" s="240">
        <v>4</v>
      </c>
      <c r="AM186" s="240">
        <v>32</v>
      </c>
      <c r="AO186" s="102" t="str">
        <f t="shared" si="88"/>
        <v>NG125N3125</v>
      </c>
      <c r="AP186" s="222" t="s">
        <v>328</v>
      </c>
      <c r="AQ186" s="222">
        <v>3</v>
      </c>
      <c r="AR186" s="256">
        <v>125</v>
      </c>
      <c r="AS186" s="222" t="s">
        <v>58</v>
      </c>
      <c r="BB186" s="9" t="s">
        <v>72</v>
      </c>
      <c r="BC186" s="11">
        <f>0.94*BC191</f>
        <v>42.3</v>
      </c>
      <c r="BD186" s="231">
        <v>25</v>
      </c>
      <c r="BE186" s="233" t="s">
        <v>30</v>
      </c>
      <c r="BO186" s="850" t="str">
        <f t="shared" si="117"/>
        <v>1021</v>
      </c>
      <c r="BP186" s="820">
        <v>1</v>
      </c>
      <c r="BQ186" s="820">
        <v>0</v>
      </c>
      <c r="BR186" s="820">
        <v>0</v>
      </c>
      <c r="BS186" s="820">
        <v>0</v>
      </c>
      <c r="BT186" s="820">
        <v>2</v>
      </c>
      <c r="BU186" s="820">
        <v>1</v>
      </c>
      <c r="BV186" s="820">
        <v>1</v>
      </c>
      <c r="BW186" s="849" t="s">
        <v>1045</v>
      </c>
      <c r="CB186" s="41" t="str">
        <f t="shared" si="89"/>
        <v>NSX1004100</v>
      </c>
      <c r="CC186" s="218" t="s">
        <v>110</v>
      </c>
      <c r="CD186" s="187">
        <v>4</v>
      </c>
      <c r="CE186" s="214">
        <v>100</v>
      </c>
      <c r="CF186" s="214"/>
      <c r="CG186" s="201" t="s">
        <v>295</v>
      </c>
      <c r="DH186" s="22"/>
      <c r="DI186" s="22"/>
      <c r="DJ186" s="22"/>
      <c r="DK186" s="344"/>
      <c r="DL186" s="375" t="str">
        <f t="shared" si="90"/>
        <v>IT320</v>
      </c>
      <c r="DM186" s="376" t="s">
        <v>151</v>
      </c>
      <c r="DN186" s="376">
        <v>3</v>
      </c>
      <c r="DO186" s="376">
        <v>20</v>
      </c>
      <c r="DP186" s="376">
        <v>1</v>
      </c>
      <c r="DQ186" s="377" t="s">
        <v>384</v>
      </c>
      <c r="DR186" s="358"/>
      <c r="DS186" s="358"/>
      <c r="DT186" s="358"/>
      <c r="DU186" s="358"/>
      <c r="DV186" s="358"/>
      <c r="DW186" s="358"/>
      <c r="DX186" s="358"/>
      <c r="DY186" s="358"/>
      <c r="DZ186" s="358"/>
      <c r="EA186" s="358"/>
      <c r="EB186" s="358"/>
      <c r="EC186" s="358"/>
      <c r="ED186" s="358"/>
      <c r="EE186" s="358"/>
      <c r="EF186" s="22"/>
      <c r="EG186" s="22"/>
      <c r="EH186" s="22"/>
      <c r="EI186" s="22"/>
      <c r="EJ186" s="22"/>
      <c r="EK186" s="22"/>
      <c r="EL186" s="22"/>
      <c r="EM186" s="22"/>
      <c r="EN186" s="344"/>
      <c r="EO186" s="344"/>
      <c r="EP186" s="22"/>
      <c r="EQ186" s="22"/>
      <c r="ER186" s="22"/>
      <c r="EU186" s="344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</row>
    <row r="187" spans="27:161" x14ac:dyDescent="0.2">
      <c r="AA187" s="8" t="s">
        <v>127</v>
      </c>
      <c r="AB187" s="437">
        <v>3</v>
      </c>
      <c r="AE187" s="49" t="s">
        <v>337</v>
      </c>
      <c r="AF187" s="107">
        <v>20</v>
      </c>
      <c r="AJ187" s="102" t="str">
        <f t="shared" si="87"/>
        <v>NG125H4</v>
      </c>
      <c r="AK187" s="201" t="s">
        <v>329</v>
      </c>
      <c r="AL187" s="240">
        <v>4</v>
      </c>
      <c r="AM187" s="240">
        <v>40</v>
      </c>
      <c r="AO187" s="102" t="str">
        <f t="shared" si="88"/>
        <v>NG125N3125</v>
      </c>
      <c r="AP187" s="222" t="s">
        <v>328</v>
      </c>
      <c r="AQ187" s="222">
        <v>3</v>
      </c>
      <c r="AR187" s="256">
        <v>125</v>
      </c>
      <c r="AS187" s="222" t="s">
        <v>59</v>
      </c>
      <c r="BB187" s="9" t="s">
        <v>72</v>
      </c>
      <c r="BC187" s="11">
        <f>0.95*BC191</f>
        <v>42.75</v>
      </c>
      <c r="BD187" s="231">
        <v>25</v>
      </c>
      <c r="BE187" s="232" t="s">
        <v>595</v>
      </c>
      <c r="BO187" s="850" t="str">
        <f t="shared" si="117"/>
        <v>1022</v>
      </c>
      <c r="BP187" s="820">
        <v>1</v>
      </c>
      <c r="BQ187" s="820">
        <v>0</v>
      </c>
      <c r="BR187" s="820">
        <v>0</v>
      </c>
      <c r="BS187" s="820">
        <v>0</v>
      </c>
      <c r="BT187" s="820">
        <v>2</v>
      </c>
      <c r="BU187" s="820">
        <v>2</v>
      </c>
      <c r="BV187" s="820">
        <v>1</v>
      </c>
      <c r="BW187" s="849" t="s">
        <v>1042</v>
      </c>
      <c r="CB187" s="41" t="str">
        <f t="shared" si="89"/>
        <v>NSX1004100</v>
      </c>
      <c r="CC187" s="218" t="s">
        <v>110</v>
      </c>
      <c r="CD187" s="187">
        <v>4</v>
      </c>
      <c r="CE187" s="214">
        <v>100</v>
      </c>
      <c r="CF187" s="214"/>
      <c r="CG187" s="201" t="s">
        <v>296</v>
      </c>
      <c r="DH187" s="22"/>
      <c r="DI187" s="22"/>
      <c r="DJ187" s="22"/>
      <c r="DK187" s="344"/>
      <c r="DL187" s="375" t="str">
        <f t="shared" si="90"/>
        <v>IT325</v>
      </c>
      <c r="DM187" s="376" t="s">
        <v>151</v>
      </c>
      <c r="DN187" s="376">
        <v>3</v>
      </c>
      <c r="DO187" s="376">
        <v>25</v>
      </c>
      <c r="DP187" s="376">
        <v>1</v>
      </c>
      <c r="DQ187" s="377" t="s">
        <v>385</v>
      </c>
      <c r="DR187" s="358"/>
      <c r="DS187" s="358"/>
      <c r="DT187" s="358"/>
      <c r="DU187" s="358"/>
      <c r="DV187" s="358"/>
      <c r="DW187" s="358"/>
      <c r="DX187" s="358"/>
      <c r="DY187" s="358"/>
      <c r="DZ187" s="358"/>
      <c r="EA187" s="358"/>
      <c r="EB187" s="358"/>
      <c r="EC187" s="358"/>
      <c r="ED187" s="358"/>
      <c r="EE187" s="358"/>
      <c r="EF187" s="22"/>
      <c r="EG187" s="22"/>
      <c r="EH187" s="22"/>
      <c r="EI187" s="22"/>
      <c r="EJ187" s="22"/>
      <c r="EK187" s="22"/>
      <c r="EL187" s="22"/>
      <c r="EM187" s="22"/>
      <c r="EN187" s="344"/>
      <c r="EO187" s="344"/>
      <c r="EP187" s="22"/>
      <c r="EQ187" s="22"/>
      <c r="ER187" s="22"/>
      <c r="EU187" s="344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</row>
    <row r="188" spans="27:161" x14ac:dyDescent="0.2">
      <c r="AA188" s="8" t="s">
        <v>127</v>
      </c>
      <c r="AB188" s="437">
        <v>4</v>
      </c>
      <c r="AE188" s="49" t="s">
        <v>332</v>
      </c>
      <c r="AF188" s="107">
        <v>32</v>
      </c>
      <c r="AJ188" s="102" t="str">
        <f t="shared" si="87"/>
        <v>NG125H4</v>
      </c>
      <c r="AK188" s="201" t="s">
        <v>329</v>
      </c>
      <c r="AL188" s="240">
        <v>4</v>
      </c>
      <c r="AM188" s="240">
        <v>50</v>
      </c>
      <c r="AO188" s="102" t="str">
        <f t="shared" si="88"/>
        <v>NG125N4125</v>
      </c>
      <c r="AP188" s="222" t="s">
        <v>328</v>
      </c>
      <c r="AQ188" s="222">
        <v>4</v>
      </c>
      <c r="AR188" s="256">
        <v>125</v>
      </c>
      <c r="AS188" s="222" t="s">
        <v>57</v>
      </c>
      <c r="BB188" s="9" t="s">
        <v>72</v>
      </c>
      <c r="BC188" s="11">
        <f>0.96*BC191</f>
        <v>43.199999999999996</v>
      </c>
      <c r="BD188" s="231">
        <v>25</v>
      </c>
      <c r="BE188" s="232" t="s">
        <v>596</v>
      </c>
      <c r="BF188" s="18"/>
      <c r="BG188" s="18"/>
      <c r="BH188" s="18"/>
      <c r="BI188" s="18"/>
      <c r="BJ188" s="18"/>
      <c r="BK188" s="18"/>
      <c r="BO188" s="850" t="str">
        <f t="shared" si="117"/>
        <v>1102</v>
      </c>
      <c r="BP188" s="820">
        <v>0</v>
      </c>
      <c r="BQ188" s="820">
        <v>1</v>
      </c>
      <c r="BR188" s="820">
        <v>0</v>
      </c>
      <c r="BS188" s="820">
        <v>1</v>
      </c>
      <c r="BT188" s="820">
        <v>0</v>
      </c>
      <c r="BU188" s="820">
        <v>2</v>
      </c>
      <c r="BV188" s="820">
        <v>1</v>
      </c>
      <c r="BW188" s="849" t="s">
        <v>1046</v>
      </c>
      <c r="CB188" s="41" t="str">
        <f t="shared" si="89"/>
        <v>NSX1004100</v>
      </c>
      <c r="CC188" s="218" t="s">
        <v>110</v>
      </c>
      <c r="CD188" s="187">
        <v>4</v>
      </c>
      <c r="CE188" s="214">
        <v>100</v>
      </c>
      <c r="CF188" s="214"/>
      <c r="CG188" s="201" t="s">
        <v>288</v>
      </c>
      <c r="CH188" s="18"/>
      <c r="CI188" s="18"/>
      <c r="CJ188" s="18"/>
      <c r="CK188" s="18"/>
      <c r="CL188" s="18"/>
      <c r="CM188" s="18"/>
      <c r="CN188" s="18"/>
      <c r="DH188" s="22"/>
      <c r="DI188" s="22"/>
      <c r="DJ188" s="22"/>
      <c r="DK188" s="344"/>
      <c r="DL188" s="375" t="str">
        <f t="shared" si="90"/>
        <v>IT332</v>
      </c>
      <c r="DM188" s="376" t="s">
        <v>151</v>
      </c>
      <c r="DN188" s="376">
        <v>3</v>
      </c>
      <c r="DO188" s="376">
        <v>32</v>
      </c>
      <c r="DP188" s="376">
        <v>1</v>
      </c>
      <c r="DQ188" s="377" t="s">
        <v>386</v>
      </c>
      <c r="DR188" s="358"/>
      <c r="DS188" s="358"/>
      <c r="DT188" s="358"/>
      <c r="DU188" s="358"/>
      <c r="DV188" s="358"/>
      <c r="DW188" s="358"/>
      <c r="DX188" s="358"/>
      <c r="DY188" s="358"/>
      <c r="DZ188" s="358"/>
      <c r="EA188" s="358"/>
      <c r="EB188" s="358"/>
      <c r="EC188" s="358"/>
      <c r="ED188" s="358"/>
      <c r="EE188" s="358"/>
      <c r="EF188" s="22"/>
      <c r="EG188" s="22"/>
      <c r="EH188" s="22"/>
      <c r="EI188" s="22"/>
      <c r="EJ188" s="22"/>
      <c r="EK188" s="22"/>
      <c r="EL188" s="22"/>
      <c r="EM188" s="22"/>
      <c r="EN188" s="344"/>
      <c r="EO188" s="344"/>
      <c r="EP188" s="22"/>
      <c r="EQ188" s="22"/>
      <c r="ER188" s="22"/>
      <c r="EU188" s="344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</row>
    <row r="189" spans="27:161" x14ac:dyDescent="0.2">
      <c r="AA189" s="8" t="s">
        <v>492</v>
      </c>
      <c r="AB189" s="437">
        <v>3</v>
      </c>
      <c r="AE189" s="49" t="s">
        <v>333</v>
      </c>
      <c r="AF189" s="107">
        <v>40</v>
      </c>
      <c r="AJ189" s="102" t="str">
        <f t="shared" si="87"/>
        <v>NG125H4</v>
      </c>
      <c r="AK189" s="201" t="s">
        <v>329</v>
      </c>
      <c r="AL189" s="240">
        <v>4</v>
      </c>
      <c r="AM189" s="240">
        <v>63</v>
      </c>
      <c r="AO189" s="102" t="str">
        <f t="shared" si="88"/>
        <v>NG125N4125</v>
      </c>
      <c r="AP189" s="222" t="s">
        <v>328</v>
      </c>
      <c r="AQ189" s="222">
        <v>4</v>
      </c>
      <c r="AR189" s="256">
        <v>125</v>
      </c>
      <c r="AS189" s="222" t="s">
        <v>58</v>
      </c>
      <c r="BB189" s="9" t="s">
        <v>72</v>
      </c>
      <c r="BC189" s="11">
        <f>0.97*BC191</f>
        <v>43.65</v>
      </c>
      <c r="BD189" s="231">
        <v>25</v>
      </c>
      <c r="BE189" s="232" t="s">
        <v>597</v>
      </c>
      <c r="BO189" s="850" t="str">
        <f t="shared" si="117"/>
        <v>1120</v>
      </c>
      <c r="BP189" s="820">
        <v>0</v>
      </c>
      <c r="BQ189" s="820">
        <v>0</v>
      </c>
      <c r="BR189" s="820">
        <v>1</v>
      </c>
      <c r="BS189" s="820">
        <v>1</v>
      </c>
      <c r="BT189" s="820">
        <v>2</v>
      </c>
      <c r="BU189" s="820">
        <v>0</v>
      </c>
      <c r="BV189" s="820">
        <v>1</v>
      </c>
      <c r="BW189" s="849" t="s">
        <v>1044</v>
      </c>
      <c r="CB189" s="41" t="str">
        <f t="shared" si="89"/>
        <v>NSX1004100</v>
      </c>
      <c r="CC189" s="218" t="s">
        <v>110</v>
      </c>
      <c r="CD189" s="187">
        <v>4</v>
      </c>
      <c r="CE189" s="214">
        <v>100</v>
      </c>
      <c r="CF189" s="214"/>
      <c r="CG189" s="201" t="s">
        <v>297</v>
      </c>
      <c r="DH189" s="22"/>
      <c r="DI189" s="22"/>
      <c r="DJ189" s="22"/>
      <c r="DK189" s="344"/>
      <c r="DL189" s="375" t="str">
        <f t="shared" si="90"/>
        <v>IT350</v>
      </c>
      <c r="DM189" s="376" t="s">
        <v>151</v>
      </c>
      <c r="DN189" s="376">
        <v>3</v>
      </c>
      <c r="DO189" s="376">
        <v>50</v>
      </c>
      <c r="DP189" s="376">
        <v>1</v>
      </c>
      <c r="DQ189" s="377" t="s">
        <v>387</v>
      </c>
      <c r="DR189" s="358"/>
      <c r="DS189" s="358"/>
      <c r="DT189" s="358"/>
      <c r="DU189" s="358"/>
      <c r="DV189" s="358"/>
      <c r="DW189" s="358"/>
      <c r="DX189" s="358"/>
      <c r="DY189" s="358"/>
      <c r="DZ189" s="358"/>
      <c r="EA189" s="358"/>
      <c r="EB189" s="358"/>
      <c r="EC189" s="358"/>
      <c r="ED189" s="358"/>
      <c r="EE189" s="358"/>
      <c r="EF189" s="22"/>
      <c r="EG189" s="22"/>
      <c r="EH189" s="22"/>
      <c r="EI189" s="22"/>
      <c r="EJ189" s="22"/>
      <c r="EK189" s="22"/>
      <c r="EL189" s="22"/>
      <c r="EM189" s="22"/>
      <c r="EN189" s="344"/>
      <c r="EO189" s="344"/>
      <c r="EP189" s="22"/>
      <c r="EQ189" s="22"/>
      <c r="ER189" s="22"/>
      <c r="EU189" s="344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</row>
    <row r="190" spans="27:161" ht="13.5" thickBot="1" x14ac:dyDescent="0.25">
      <c r="AA190" s="8" t="s">
        <v>492</v>
      </c>
      <c r="AB190" s="437">
        <v>4</v>
      </c>
      <c r="AE190" s="49" t="s">
        <v>334</v>
      </c>
      <c r="AF190" s="107">
        <v>63</v>
      </c>
      <c r="AJ190" s="102" t="str">
        <f t="shared" si="87"/>
        <v>NG125H4</v>
      </c>
      <c r="AK190" s="217" t="s">
        <v>329</v>
      </c>
      <c r="AL190" s="241">
        <v>4</v>
      </c>
      <c r="AM190" s="241">
        <v>80</v>
      </c>
      <c r="AO190" s="102" t="str">
        <f t="shared" si="88"/>
        <v>NG125N4125</v>
      </c>
      <c r="AP190" s="222" t="s">
        <v>328</v>
      </c>
      <c r="AQ190" s="222">
        <v>4</v>
      </c>
      <c r="AR190" s="256">
        <v>125</v>
      </c>
      <c r="AS190" s="222" t="s">
        <v>59</v>
      </c>
      <c r="BB190" s="9" t="s">
        <v>72</v>
      </c>
      <c r="BC190" s="11">
        <f>0.98*BC191</f>
        <v>44.1</v>
      </c>
      <c r="BD190" s="231">
        <v>25</v>
      </c>
      <c r="BE190" s="232" t="s">
        <v>598</v>
      </c>
      <c r="BO190" s="850" t="str">
        <f t="shared" si="117"/>
        <v>1200</v>
      </c>
      <c r="BP190" s="820">
        <v>0</v>
      </c>
      <c r="BQ190" s="820">
        <v>1</v>
      </c>
      <c r="BR190" s="820">
        <v>0</v>
      </c>
      <c r="BS190" s="820">
        <v>2</v>
      </c>
      <c r="BT190" s="820">
        <v>0</v>
      </c>
      <c r="BU190" s="820">
        <v>0</v>
      </c>
      <c r="BV190" s="820">
        <v>1</v>
      </c>
      <c r="BW190" s="849" t="s">
        <v>1037</v>
      </c>
      <c r="CB190" s="41" t="str">
        <f t="shared" si="89"/>
        <v>NSX1004100</v>
      </c>
      <c r="CC190" s="218" t="s">
        <v>110</v>
      </c>
      <c r="CD190" s="187">
        <v>4</v>
      </c>
      <c r="CE190" s="214">
        <v>100</v>
      </c>
      <c r="CF190" s="214"/>
      <c r="CG190" s="201" t="s">
        <v>289</v>
      </c>
      <c r="DH190" s="22"/>
      <c r="DI190" s="22"/>
      <c r="DJ190" s="22"/>
      <c r="DK190" s="344"/>
      <c r="DL190" s="375" t="str">
        <f t="shared" si="90"/>
        <v>IT363</v>
      </c>
      <c r="DM190" s="376" t="s">
        <v>151</v>
      </c>
      <c r="DN190" s="376">
        <v>3</v>
      </c>
      <c r="DO190" s="376">
        <v>63</v>
      </c>
      <c r="DP190" s="376">
        <v>1</v>
      </c>
      <c r="DQ190" s="377" t="s">
        <v>388</v>
      </c>
      <c r="DR190" s="358"/>
      <c r="DS190" s="358"/>
      <c r="DT190" s="358"/>
      <c r="DU190" s="358"/>
      <c r="DV190" s="358"/>
      <c r="DW190" s="358"/>
      <c r="DX190" s="358"/>
      <c r="DY190" s="358"/>
      <c r="DZ190" s="358"/>
      <c r="EA190" s="358"/>
      <c r="EB190" s="358"/>
      <c r="EC190" s="358"/>
      <c r="ED190" s="358"/>
      <c r="EE190" s="358"/>
      <c r="EF190" s="22"/>
      <c r="EG190" s="22"/>
      <c r="EH190" s="22"/>
      <c r="EI190" s="22"/>
      <c r="EJ190" s="22"/>
      <c r="EK190" s="22"/>
      <c r="EL190" s="22"/>
      <c r="EM190" s="22"/>
      <c r="EN190" s="344"/>
      <c r="EO190" s="344"/>
      <c r="EP190" s="22"/>
      <c r="EQ190" s="22"/>
      <c r="ER190" s="22"/>
      <c r="EU190" s="344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</row>
    <row r="191" spans="27:161" ht="13.5" thickTop="1" x14ac:dyDescent="0.2">
      <c r="AA191" s="49" t="s">
        <v>318</v>
      </c>
      <c r="AB191" s="437">
        <v>3</v>
      </c>
      <c r="AE191" s="49" t="s">
        <v>335</v>
      </c>
      <c r="AF191" s="107">
        <v>100</v>
      </c>
      <c r="AJ191" s="102" t="str">
        <f t="shared" si="87"/>
        <v>NG125L1</v>
      </c>
      <c r="AK191" s="190" t="s">
        <v>330</v>
      </c>
      <c r="AL191" s="242">
        <v>1</v>
      </c>
      <c r="AM191" s="242">
        <v>10</v>
      </c>
      <c r="AO191" s="102" t="str">
        <f t="shared" si="88"/>
        <v>NG125H163</v>
      </c>
      <c r="AP191" s="222" t="s">
        <v>329</v>
      </c>
      <c r="AQ191" s="222">
        <v>1</v>
      </c>
      <c r="AR191" s="256">
        <v>63</v>
      </c>
      <c r="AS191" s="222" t="s">
        <v>58</v>
      </c>
      <c r="BB191" s="9" t="s">
        <v>72</v>
      </c>
      <c r="BC191" s="11">
        <v>45</v>
      </c>
      <c r="BD191" s="231">
        <v>25</v>
      </c>
      <c r="BE191" s="232" t="s">
        <v>290</v>
      </c>
      <c r="BO191" s="850" t="str">
        <f t="shared" si="117"/>
        <v>1201</v>
      </c>
      <c r="BP191" s="820">
        <v>0</v>
      </c>
      <c r="BQ191" s="820">
        <v>1</v>
      </c>
      <c r="BR191" s="820">
        <v>0</v>
      </c>
      <c r="BS191" s="820">
        <v>2</v>
      </c>
      <c r="BT191" s="820">
        <v>0</v>
      </c>
      <c r="BU191" s="820">
        <v>1</v>
      </c>
      <c r="BV191" s="820">
        <v>1</v>
      </c>
      <c r="BW191" s="849" t="s">
        <v>1047</v>
      </c>
      <c r="CB191" s="41" t="str">
        <f t="shared" si="89"/>
        <v>NSX1604160</v>
      </c>
      <c r="CC191" s="218" t="s">
        <v>112</v>
      </c>
      <c r="CD191" s="187">
        <v>4</v>
      </c>
      <c r="CE191" s="214">
        <v>160</v>
      </c>
      <c r="CF191" s="214"/>
      <c r="CG191" s="201" t="s">
        <v>30</v>
      </c>
      <c r="DH191" s="22"/>
      <c r="DI191" s="22"/>
      <c r="DJ191" s="22"/>
      <c r="DK191" s="344"/>
      <c r="DL191" s="375" t="str">
        <f t="shared" si="90"/>
        <v>IT380</v>
      </c>
      <c r="DM191" s="376" t="s">
        <v>151</v>
      </c>
      <c r="DN191" s="376">
        <v>3</v>
      </c>
      <c r="DO191" s="376">
        <v>80</v>
      </c>
      <c r="DP191" s="376">
        <v>1</v>
      </c>
      <c r="DQ191" s="377" t="s">
        <v>389</v>
      </c>
      <c r="DR191" s="358"/>
      <c r="DS191" s="358"/>
      <c r="DT191" s="358"/>
      <c r="DU191" s="358"/>
      <c r="DV191" s="358"/>
      <c r="DW191" s="358"/>
      <c r="DX191" s="358"/>
      <c r="DY191" s="358"/>
      <c r="DZ191" s="358"/>
      <c r="EA191" s="358"/>
      <c r="EB191" s="358"/>
      <c r="EC191" s="358"/>
      <c r="ED191" s="358"/>
      <c r="EE191" s="358"/>
      <c r="EF191" s="22"/>
      <c r="EG191" s="22"/>
      <c r="EH191" s="22"/>
      <c r="EI191" s="22"/>
      <c r="EJ191" s="22"/>
      <c r="EK191" s="22"/>
      <c r="EL191" s="22"/>
      <c r="EM191" s="22"/>
      <c r="EN191" s="344"/>
      <c r="EO191" s="344"/>
      <c r="EP191" s="22"/>
      <c r="EQ191" s="22"/>
      <c r="ER191" s="22"/>
      <c r="EU191" s="344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</row>
    <row r="192" spans="27:161" x14ac:dyDescent="0.2">
      <c r="AA192" s="49" t="s">
        <v>318</v>
      </c>
      <c r="AB192" s="437">
        <v>4</v>
      </c>
      <c r="AE192" s="49" t="s">
        <v>336</v>
      </c>
      <c r="AF192" s="107">
        <v>125</v>
      </c>
      <c r="AJ192" s="102" t="str">
        <f t="shared" si="87"/>
        <v>NG125L1</v>
      </c>
      <c r="AK192" s="201" t="s">
        <v>330</v>
      </c>
      <c r="AL192" s="240">
        <v>1</v>
      </c>
      <c r="AM192" s="240">
        <v>16</v>
      </c>
      <c r="AO192" s="102" t="str">
        <f t="shared" si="88"/>
        <v>NG125H263</v>
      </c>
      <c r="AP192" s="222" t="s">
        <v>329</v>
      </c>
      <c r="AQ192" s="222">
        <v>2</v>
      </c>
      <c r="AR192" s="256">
        <v>63</v>
      </c>
      <c r="AS192" s="222" t="s">
        <v>58</v>
      </c>
      <c r="BB192" s="9" t="s">
        <v>72</v>
      </c>
      <c r="BC192" s="11">
        <f>0.92*BC199</f>
        <v>46</v>
      </c>
      <c r="BD192" s="231">
        <v>25</v>
      </c>
      <c r="BE192" s="232" t="s">
        <v>287</v>
      </c>
      <c r="BO192" s="850" t="str">
        <f t="shared" si="117"/>
        <v>1202</v>
      </c>
      <c r="BP192" s="820">
        <v>0</v>
      </c>
      <c r="BQ192" s="820">
        <v>1</v>
      </c>
      <c r="BR192" s="820">
        <v>0</v>
      </c>
      <c r="BS192" s="820">
        <v>2</v>
      </c>
      <c r="BT192" s="820">
        <v>0</v>
      </c>
      <c r="BU192" s="820">
        <v>2</v>
      </c>
      <c r="BV192" s="820">
        <v>1</v>
      </c>
      <c r="BW192" s="849" t="s">
        <v>1048</v>
      </c>
      <c r="CB192" s="41" t="str">
        <f t="shared" si="89"/>
        <v>NSX1604160</v>
      </c>
      <c r="CC192" s="218" t="s">
        <v>112</v>
      </c>
      <c r="CD192" s="187">
        <v>4</v>
      </c>
      <c r="CE192" s="214">
        <v>160</v>
      </c>
      <c r="CF192" s="214"/>
      <c r="CG192" s="201" t="s">
        <v>294</v>
      </c>
      <c r="DH192" s="22"/>
      <c r="DI192" s="22"/>
      <c r="DJ192" s="22"/>
      <c r="DK192" s="344"/>
      <c r="DL192" s="375" t="str">
        <f t="shared" si="90"/>
        <v>IT3100</v>
      </c>
      <c r="DM192" s="376" t="s">
        <v>151</v>
      </c>
      <c r="DN192" s="376">
        <v>3</v>
      </c>
      <c r="DO192" s="376">
        <v>100</v>
      </c>
      <c r="DP192" s="376">
        <v>1</v>
      </c>
      <c r="DQ192" s="377" t="s">
        <v>390</v>
      </c>
      <c r="DR192" s="358"/>
      <c r="DS192" s="358"/>
      <c r="DT192" s="358"/>
      <c r="DU192" s="358"/>
      <c r="DV192" s="358"/>
      <c r="DW192" s="358"/>
      <c r="DX192" s="358"/>
      <c r="DY192" s="358"/>
      <c r="DZ192" s="358"/>
      <c r="EA192" s="358"/>
      <c r="EB192" s="358"/>
      <c r="EC192" s="358"/>
      <c r="ED192" s="358"/>
      <c r="EE192" s="358"/>
      <c r="EF192" s="22"/>
      <c r="EG192" s="22"/>
      <c r="EH192" s="22"/>
      <c r="EI192" s="22"/>
      <c r="EJ192" s="22"/>
      <c r="EK192" s="22"/>
      <c r="EL192" s="22"/>
      <c r="EM192" s="22"/>
      <c r="EN192" s="344"/>
      <c r="EO192" s="344"/>
      <c r="EP192" s="22"/>
      <c r="EQ192" s="22"/>
      <c r="ER192" s="22"/>
      <c r="EU192" s="344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</row>
    <row r="193" spans="27:161" x14ac:dyDescent="0.2">
      <c r="AA193" s="49" t="s">
        <v>317</v>
      </c>
      <c r="AB193" s="437">
        <v>3</v>
      </c>
      <c r="AE193" s="8" t="s">
        <v>128</v>
      </c>
      <c r="AF193" s="107">
        <v>16</v>
      </c>
      <c r="AJ193" s="102" t="str">
        <f t="shared" si="87"/>
        <v>NG125L1</v>
      </c>
      <c r="AK193" s="201" t="s">
        <v>330</v>
      </c>
      <c r="AL193" s="240">
        <v>1</v>
      </c>
      <c r="AM193" s="240">
        <v>20</v>
      </c>
      <c r="AO193" s="102" t="str">
        <f t="shared" si="88"/>
        <v>NG125H363</v>
      </c>
      <c r="AP193" s="222" t="s">
        <v>329</v>
      </c>
      <c r="AQ193" s="222">
        <v>3</v>
      </c>
      <c r="AR193" s="256">
        <v>63</v>
      </c>
      <c r="AS193" s="222" t="s">
        <v>58</v>
      </c>
      <c r="BB193" s="9" t="s">
        <v>72</v>
      </c>
      <c r="BC193" s="11">
        <f>0.93*BC199</f>
        <v>46.5</v>
      </c>
      <c r="BD193" s="231">
        <v>25</v>
      </c>
      <c r="BE193" s="232" t="s">
        <v>291</v>
      </c>
      <c r="BO193" s="850" t="str">
        <f t="shared" si="117"/>
        <v>1210</v>
      </c>
      <c r="BP193" s="820">
        <v>0</v>
      </c>
      <c r="BQ193" s="820">
        <v>0</v>
      </c>
      <c r="BR193" s="820">
        <v>1</v>
      </c>
      <c r="BS193" s="820">
        <v>2</v>
      </c>
      <c r="BT193" s="820">
        <v>1</v>
      </c>
      <c r="BU193" s="820">
        <v>0</v>
      </c>
      <c r="BV193" s="820">
        <v>1</v>
      </c>
      <c r="BW193" s="849" t="s">
        <v>1038</v>
      </c>
      <c r="CB193" s="41" t="str">
        <f t="shared" si="89"/>
        <v>NSX1604160</v>
      </c>
      <c r="CC193" s="218" t="s">
        <v>112</v>
      </c>
      <c r="CD193" s="187">
        <v>4</v>
      </c>
      <c r="CE193" s="214">
        <v>160</v>
      </c>
      <c r="CF193" s="214"/>
      <c r="CG193" s="201" t="s">
        <v>250</v>
      </c>
      <c r="DH193" s="22"/>
      <c r="DI193" s="22"/>
      <c r="DJ193" s="22"/>
      <c r="DK193" s="344"/>
      <c r="DL193" s="375" t="str">
        <f t="shared" si="90"/>
        <v>IT3125</v>
      </c>
      <c r="DM193" s="376" t="s">
        <v>151</v>
      </c>
      <c r="DN193" s="376">
        <v>3</v>
      </c>
      <c r="DO193" s="376">
        <v>125</v>
      </c>
      <c r="DP193" s="376">
        <v>1</v>
      </c>
      <c r="DQ193" s="377" t="s">
        <v>391</v>
      </c>
      <c r="DR193" s="358"/>
      <c r="DS193" s="358"/>
      <c r="DT193" s="358"/>
      <c r="DU193" s="358"/>
      <c r="DV193" s="358"/>
      <c r="DW193" s="358"/>
      <c r="DX193" s="358"/>
      <c r="DY193" s="358"/>
      <c r="DZ193" s="358"/>
      <c r="EA193" s="358"/>
      <c r="EB193" s="358"/>
      <c r="EC193" s="358"/>
      <c r="ED193" s="358"/>
      <c r="EE193" s="358"/>
      <c r="EF193" s="22"/>
      <c r="EG193" s="22"/>
      <c r="EH193" s="22"/>
      <c r="EI193" s="22"/>
      <c r="EJ193" s="22"/>
      <c r="EK193" s="22"/>
      <c r="EL193" s="22"/>
      <c r="EM193" s="22"/>
      <c r="EN193" s="344"/>
      <c r="EO193" s="344"/>
      <c r="EP193" s="22"/>
      <c r="EQ193" s="22"/>
      <c r="ER193" s="22"/>
      <c r="EU193" s="344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</row>
    <row r="194" spans="27:161" x14ac:dyDescent="0.2">
      <c r="AA194" s="49" t="s">
        <v>317</v>
      </c>
      <c r="AB194" s="437">
        <v>4</v>
      </c>
      <c r="AE194" s="8" t="s">
        <v>128</v>
      </c>
      <c r="AF194" s="107">
        <v>25</v>
      </c>
      <c r="AJ194" s="102" t="str">
        <f t="shared" si="87"/>
        <v>NG125L1</v>
      </c>
      <c r="AK194" s="201" t="s">
        <v>330</v>
      </c>
      <c r="AL194" s="240">
        <v>1</v>
      </c>
      <c r="AM194" s="240">
        <v>25</v>
      </c>
      <c r="AO194" s="102" t="str">
        <f t="shared" si="88"/>
        <v>NG125H463</v>
      </c>
      <c r="AP194" s="222" t="s">
        <v>329</v>
      </c>
      <c r="AQ194" s="222">
        <v>4</v>
      </c>
      <c r="AR194" s="256">
        <v>63</v>
      </c>
      <c r="AS194" s="222" t="s">
        <v>58</v>
      </c>
      <c r="BB194" s="9" t="s">
        <v>72</v>
      </c>
      <c r="BC194" s="11">
        <f>0.94*BC199</f>
        <v>47</v>
      </c>
      <c r="BD194" s="231">
        <v>25</v>
      </c>
      <c r="BE194" s="232" t="s">
        <v>300</v>
      </c>
      <c r="BF194" s="6"/>
      <c r="BG194" s="6"/>
      <c r="BH194" s="6"/>
      <c r="BI194" s="6"/>
      <c r="BJ194" s="6"/>
      <c r="BK194" s="6"/>
      <c r="BO194" s="850" t="str">
        <f t="shared" si="117"/>
        <v>1220</v>
      </c>
      <c r="BP194" s="820">
        <v>0</v>
      </c>
      <c r="BQ194" s="820">
        <v>0</v>
      </c>
      <c r="BR194" s="820">
        <v>1</v>
      </c>
      <c r="BS194" s="820">
        <v>2</v>
      </c>
      <c r="BT194" s="820">
        <v>2</v>
      </c>
      <c r="BU194" s="820">
        <v>0</v>
      </c>
      <c r="BV194" s="820">
        <v>1</v>
      </c>
      <c r="BW194" s="849" t="s">
        <v>1039</v>
      </c>
      <c r="CB194" s="41" t="str">
        <f t="shared" si="89"/>
        <v>NSX1604160</v>
      </c>
      <c r="CC194" s="218" t="s">
        <v>112</v>
      </c>
      <c r="CD194" s="187">
        <v>4</v>
      </c>
      <c r="CE194" s="214">
        <v>160</v>
      </c>
      <c r="CF194" s="214"/>
      <c r="CG194" s="201" t="s">
        <v>295</v>
      </c>
      <c r="CH194" s="6"/>
      <c r="CI194" s="6"/>
      <c r="CJ194" s="6"/>
      <c r="CK194" s="6"/>
      <c r="CL194" s="6"/>
      <c r="CM194" s="6"/>
      <c r="CN194" s="6"/>
      <c r="DH194" s="22"/>
      <c r="DI194" s="22"/>
      <c r="DJ194" s="22"/>
      <c r="DK194" s="344"/>
      <c r="DL194" s="375" t="str">
        <f t="shared" si="90"/>
        <v>IT3160</v>
      </c>
      <c r="DM194" s="376" t="s">
        <v>151</v>
      </c>
      <c r="DN194" s="376">
        <v>3</v>
      </c>
      <c r="DO194" s="376">
        <v>160</v>
      </c>
      <c r="DP194" s="376">
        <v>1</v>
      </c>
      <c r="DQ194" s="377" t="s">
        <v>392</v>
      </c>
      <c r="DR194" s="358"/>
      <c r="DS194" s="358"/>
      <c r="DT194" s="358"/>
      <c r="DU194" s="358"/>
      <c r="DV194" s="358"/>
      <c r="DW194" s="358"/>
      <c r="DX194" s="358"/>
      <c r="DY194" s="358"/>
      <c r="DZ194" s="358"/>
      <c r="EA194" s="358"/>
      <c r="EB194" s="358"/>
      <c r="EC194" s="358"/>
      <c r="ED194" s="358"/>
      <c r="EE194" s="358"/>
      <c r="EF194" s="22"/>
      <c r="EG194" s="22"/>
      <c r="EH194" s="22"/>
      <c r="EI194" s="22"/>
      <c r="EJ194" s="22"/>
      <c r="EK194" s="22"/>
      <c r="EL194" s="22"/>
      <c r="EM194" s="22"/>
      <c r="EN194" s="344"/>
      <c r="EO194" s="344"/>
      <c r="EP194" s="22"/>
      <c r="EQ194" s="22"/>
      <c r="ER194" s="22"/>
      <c r="EU194" s="344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</row>
    <row r="195" spans="27:161" ht="13.5" thickBot="1" x14ac:dyDescent="0.25">
      <c r="AA195" s="49" t="s">
        <v>315</v>
      </c>
      <c r="AB195" s="437">
        <v>3</v>
      </c>
      <c r="AE195" s="8" t="s">
        <v>128</v>
      </c>
      <c r="AF195" s="107">
        <v>32</v>
      </c>
      <c r="AJ195" s="102" t="str">
        <f t="shared" ref="AJ195:AJ258" si="118">AK195&amp;AL195</f>
        <v>NG125L1</v>
      </c>
      <c r="AK195" s="201" t="s">
        <v>330</v>
      </c>
      <c r="AL195" s="240">
        <v>1</v>
      </c>
      <c r="AM195" s="240">
        <v>32</v>
      </c>
      <c r="AO195" s="102" t="str">
        <f t="shared" ref="AO195:AO258" si="119">AP195&amp;AQ195&amp;AR195</f>
        <v>NG125H1125</v>
      </c>
      <c r="AP195" s="222" t="s">
        <v>329</v>
      </c>
      <c r="AQ195" s="222">
        <v>1</v>
      </c>
      <c r="AR195" s="256">
        <v>125</v>
      </c>
      <c r="AS195" s="222" t="s">
        <v>58</v>
      </c>
      <c r="BB195" s="9" t="s">
        <v>72</v>
      </c>
      <c r="BC195" s="11">
        <f>0.95*BC199</f>
        <v>47.5</v>
      </c>
      <c r="BD195" s="231">
        <v>25</v>
      </c>
      <c r="BE195" s="232" t="s">
        <v>292</v>
      </c>
      <c r="BF195" s="6"/>
      <c r="BG195" s="6"/>
      <c r="BH195" s="6"/>
      <c r="BI195" s="6"/>
      <c r="BJ195" s="6"/>
      <c r="BK195" s="6"/>
      <c r="BO195" s="850" t="str">
        <f t="shared" si="117"/>
        <v>2000</v>
      </c>
      <c r="BP195" s="820">
        <v>1</v>
      </c>
      <c r="BQ195" s="820">
        <v>1</v>
      </c>
      <c r="BR195" s="820">
        <v>0</v>
      </c>
      <c r="BS195" s="820">
        <v>0</v>
      </c>
      <c r="BT195" s="820">
        <v>0</v>
      </c>
      <c r="BU195" s="820">
        <v>0</v>
      </c>
      <c r="BV195" s="820">
        <v>2</v>
      </c>
      <c r="BW195" s="849" t="s">
        <v>1036</v>
      </c>
      <c r="CB195" s="41" t="str">
        <f t="shared" ref="CB195:CB258" si="120">CC195&amp;CD195&amp;CE195&amp;CF195</f>
        <v>NSX1604160</v>
      </c>
      <c r="CC195" s="218" t="s">
        <v>112</v>
      </c>
      <c r="CD195" s="187">
        <v>4</v>
      </c>
      <c r="CE195" s="214">
        <v>160</v>
      </c>
      <c r="CF195" s="214"/>
      <c r="CG195" s="201" t="s">
        <v>296</v>
      </c>
      <c r="CH195" s="6"/>
      <c r="CI195" s="6"/>
      <c r="CJ195" s="6"/>
      <c r="CK195" s="6"/>
      <c r="CL195" s="6"/>
      <c r="CM195" s="6"/>
      <c r="CN195" s="6"/>
      <c r="DH195" s="22"/>
      <c r="DI195" s="22"/>
      <c r="DJ195" s="22"/>
      <c r="DK195" s="344"/>
      <c r="DL195" s="375" t="str">
        <f t="shared" si="90"/>
        <v>IT3200</v>
      </c>
      <c r="DM195" s="376" t="s">
        <v>151</v>
      </c>
      <c r="DN195" s="376">
        <v>3</v>
      </c>
      <c r="DO195" s="376">
        <v>200</v>
      </c>
      <c r="DP195" s="376">
        <v>1</v>
      </c>
      <c r="DQ195" s="377" t="s">
        <v>393</v>
      </c>
      <c r="DR195" s="358"/>
      <c r="DS195" s="358"/>
      <c r="DT195" s="358"/>
      <c r="DU195" s="358"/>
      <c r="DV195" s="358"/>
      <c r="DW195" s="358"/>
      <c r="DX195" s="358"/>
      <c r="DY195" s="358"/>
      <c r="DZ195" s="358"/>
      <c r="EA195" s="358"/>
      <c r="EB195" s="358"/>
      <c r="EC195" s="358"/>
      <c r="ED195" s="358"/>
      <c r="EE195" s="358"/>
      <c r="EF195" s="22"/>
      <c r="EG195" s="22"/>
      <c r="EH195" s="22"/>
      <c r="EI195" s="22"/>
      <c r="EJ195" s="22"/>
      <c r="EK195" s="22"/>
      <c r="EL195" s="22"/>
      <c r="EM195" s="22"/>
      <c r="EN195" s="344"/>
      <c r="EO195" s="344"/>
      <c r="EP195" s="22"/>
      <c r="EQ195" s="22"/>
      <c r="ER195" s="22"/>
      <c r="EU195" s="344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</row>
    <row r="196" spans="27:161" x14ac:dyDescent="0.2">
      <c r="AA196" s="49" t="s">
        <v>315</v>
      </c>
      <c r="AB196" s="437">
        <v>4</v>
      </c>
      <c r="AE196" s="8" t="s">
        <v>128</v>
      </c>
      <c r="AF196" s="107">
        <v>40</v>
      </c>
      <c r="AJ196" s="102" t="str">
        <f t="shared" si="118"/>
        <v>NG125L1</v>
      </c>
      <c r="AK196" s="201" t="s">
        <v>330</v>
      </c>
      <c r="AL196" s="240">
        <v>1</v>
      </c>
      <c r="AM196" s="240">
        <v>40</v>
      </c>
      <c r="AO196" s="102" t="str">
        <f t="shared" si="119"/>
        <v>NG125H2125</v>
      </c>
      <c r="AP196" s="222" t="s">
        <v>329</v>
      </c>
      <c r="AQ196" s="222">
        <v>2</v>
      </c>
      <c r="AR196" s="256">
        <v>125</v>
      </c>
      <c r="AS196" s="222" t="s">
        <v>58</v>
      </c>
      <c r="BB196" s="9" t="s">
        <v>72</v>
      </c>
      <c r="BC196" s="11">
        <f>0.96*BC199</f>
        <v>48</v>
      </c>
      <c r="BD196" s="234">
        <v>32</v>
      </c>
      <c r="BE196" s="235" t="s">
        <v>30</v>
      </c>
      <c r="BF196" s="42"/>
      <c r="BG196" s="42"/>
      <c r="BH196" s="42"/>
      <c r="BI196" s="42"/>
      <c r="BJ196" s="42"/>
      <c r="BK196" s="42"/>
      <c r="BO196" s="850" t="str">
        <f t="shared" si="117"/>
        <v>2002</v>
      </c>
      <c r="BP196" s="820">
        <v>1</v>
      </c>
      <c r="BQ196" s="820">
        <v>1</v>
      </c>
      <c r="BR196" s="820">
        <v>0</v>
      </c>
      <c r="BS196" s="820">
        <v>0</v>
      </c>
      <c r="BT196" s="820">
        <v>0</v>
      </c>
      <c r="BU196" s="820">
        <v>2</v>
      </c>
      <c r="BV196" s="820">
        <v>2</v>
      </c>
      <c r="BW196" s="849" t="s">
        <v>1040</v>
      </c>
      <c r="CB196" s="41" t="str">
        <f t="shared" si="120"/>
        <v>NSX1604160</v>
      </c>
      <c r="CC196" s="218" t="s">
        <v>112</v>
      </c>
      <c r="CD196" s="187">
        <v>4</v>
      </c>
      <c r="CE196" s="214">
        <v>160</v>
      </c>
      <c r="CF196" s="214"/>
      <c r="CG196" s="201" t="s">
        <v>288</v>
      </c>
      <c r="CH196" s="42"/>
      <c r="CI196" s="42"/>
      <c r="CJ196" s="42"/>
      <c r="CK196" s="42"/>
      <c r="CL196" s="42"/>
      <c r="CM196" s="42"/>
      <c r="CN196" s="42"/>
      <c r="DH196" s="22"/>
      <c r="DI196" s="22"/>
      <c r="DJ196" s="22"/>
      <c r="DK196" s="344"/>
      <c r="DL196" s="375" t="str">
        <f t="shared" ref="DL196:DL212" si="121">$DM196&amp;$DN196&amp;$DO196</f>
        <v>IT3250</v>
      </c>
      <c r="DM196" s="376" t="s">
        <v>151</v>
      </c>
      <c r="DN196" s="376">
        <v>3</v>
      </c>
      <c r="DO196" s="376">
        <v>250</v>
      </c>
      <c r="DP196" s="376">
        <v>1</v>
      </c>
      <c r="DQ196" s="377" t="s">
        <v>394</v>
      </c>
      <c r="DR196" s="358"/>
      <c r="DS196" s="358"/>
      <c r="DT196" s="358"/>
      <c r="DU196" s="358"/>
      <c r="DV196" s="358"/>
      <c r="DW196" s="358"/>
      <c r="DX196" s="358"/>
      <c r="DY196" s="358"/>
      <c r="DZ196" s="358"/>
      <c r="EA196" s="358"/>
      <c r="EB196" s="358"/>
      <c r="EC196" s="358"/>
      <c r="ED196" s="358"/>
      <c r="EE196" s="358"/>
      <c r="EF196" s="22"/>
      <c r="EG196" s="22"/>
      <c r="EH196" s="22"/>
      <c r="EI196" s="22"/>
      <c r="EJ196" s="22"/>
      <c r="EK196" s="22"/>
      <c r="EL196" s="22"/>
      <c r="EM196" s="22"/>
      <c r="EN196" s="344"/>
      <c r="EO196" s="344"/>
      <c r="EP196" s="22"/>
      <c r="EQ196" s="22"/>
      <c r="ER196" s="22"/>
      <c r="EU196" s="344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</row>
    <row r="197" spans="27:161" x14ac:dyDescent="0.2">
      <c r="AA197" s="49" t="s">
        <v>316</v>
      </c>
      <c r="AB197" s="437">
        <v>3</v>
      </c>
      <c r="AE197" s="8" t="s">
        <v>128</v>
      </c>
      <c r="AF197" s="107">
        <v>50</v>
      </c>
      <c r="AJ197" s="102" t="str">
        <f t="shared" si="118"/>
        <v>NG125L1</v>
      </c>
      <c r="AK197" s="201" t="s">
        <v>330</v>
      </c>
      <c r="AL197" s="240">
        <v>1</v>
      </c>
      <c r="AM197" s="240">
        <v>50</v>
      </c>
      <c r="AO197" s="102" t="str">
        <f t="shared" si="119"/>
        <v>NG125H3125</v>
      </c>
      <c r="AP197" s="222" t="s">
        <v>329</v>
      </c>
      <c r="AQ197" s="222">
        <v>3</v>
      </c>
      <c r="AR197" s="256">
        <v>125</v>
      </c>
      <c r="AS197" s="222" t="s">
        <v>58</v>
      </c>
      <c r="BB197" s="9" t="s">
        <v>72</v>
      </c>
      <c r="BC197" s="11">
        <f>0.97*BC199</f>
        <v>48.5</v>
      </c>
      <c r="BD197" s="231">
        <v>32</v>
      </c>
      <c r="BE197" s="236" t="s">
        <v>595</v>
      </c>
      <c r="BF197" s="6"/>
      <c r="BG197" s="6"/>
      <c r="BH197" s="6"/>
      <c r="BI197" s="6"/>
      <c r="BJ197" s="6"/>
      <c r="BK197" s="6"/>
      <c r="BO197" s="850" t="str">
        <f t="shared" si="117"/>
        <v>2012</v>
      </c>
      <c r="BP197" s="820">
        <v>1</v>
      </c>
      <c r="BQ197" s="820">
        <v>1</v>
      </c>
      <c r="BR197" s="820">
        <v>0</v>
      </c>
      <c r="BS197" s="820">
        <v>0</v>
      </c>
      <c r="BT197" s="820">
        <v>1</v>
      </c>
      <c r="BU197" s="820">
        <v>2</v>
      </c>
      <c r="BV197" s="820">
        <v>2</v>
      </c>
      <c r="BW197" s="849" t="s">
        <v>1041</v>
      </c>
      <c r="CB197" s="41" t="str">
        <f t="shared" si="120"/>
        <v>NSX1604160</v>
      </c>
      <c r="CC197" s="218" t="s">
        <v>112</v>
      </c>
      <c r="CD197" s="187">
        <v>4</v>
      </c>
      <c r="CE197" s="214">
        <v>160</v>
      </c>
      <c r="CF197" s="214"/>
      <c r="CG197" s="201" t="s">
        <v>297</v>
      </c>
      <c r="CH197" s="6"/>
      <c r="CI197" s="6"/>
      <c r="CJ197" s="6"/>
      <c r="CK197" s="6"/>
      <c r="CL197" s="6"/>
      <c r="CM197" s="6"/>
      <c r="CN197" s="6"/>
      <c r="DH197" s="22"/>
      <c r="DI197" s="22"/>
      <c r="DJ197" s="22"/>
      <c r="DK197" s="344"/>
      <c r="DL197" s="375" t="str">
        <f t="shared" si="121"/>
        <v>IT3400</v>
      </c>
      <c r="DM197" s="376" t="s">
        <v>151</v>
      </c>
      <c r="DN197" s="376">
        <v>3</v>
      </c>
      <c r="DO197" s="376">
        <v>400</v>
      </c>
      <c r="DP197" s="376">
        <v>2</v>
      </c>
      <c r="DQ197" s="377" t="s">
        <v>393</v>
      </c>
      <c r="DR197" s="358"/>
      <c r="DS197" s="358"/>
      <c r="DT197" s="358"/>
      <c r="DU197" s="358"/>
      <c r="DV197" s="358"/>
      <c r="DW197" s="358"/>
      <c r="DX197" s="358"/>
      <c r="DY197" s="358"/>
      <c r="DZ197" s="358"/>
      <c r="EA197" s="358"/>
      <c r="EB197" s="358"/>
      <c r="EC197" s="358"/>
      <c r="ED197" s="358"/>
      <c r="EE197" s="358"/>
      <c r="EF197" s="22"/>
      <c r="EG197" s="22"/>
      <c r="EH197" s="22"/>
      <c r="EI197" s="22"/>
      <c r="EJ197" s="22"/>
      <c r="EK197" s="22"/>
      <c r="EL197" s="22"/>
      <c r="EM197" s="22"/>
      <c r="EN197" s="344"/>
      <c r="EO197" s="344"/>
      <c r="EP197" s="22"/>
      <c r="EQ197" s="22"/>
      <c r="ER197" s="22"/>
      <c r="EU197" s="344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</row>
    <row r="198" spans="27:161" x14ac:dyDescent="0.2">
      <c r="AA198" s="49" t="s">
        <v>316</v>
      </c>
      <c r="AB198" s="437">
        <v>4</v>
      </c>
      <c r="AE198" s="8" t="s">
        <v>128</v>
      </c>
      <c r="AF198" s="107">
        <v>63</v>
      </c>
      <c r="AJ198" s="102" t="str">
        <f t="shared" si="118"/>
        <v>NG125L1</v>
      </c>
      <c r="AK198" s="201" t="s">
        <v>330</v>
      </c>
      <c r="AL198" s="240">
        <v>1</v>
      </c>
      <c r="AM198" s="240">
        <v>63</v>
      </c>
      <c r="AO198" s="102" t="str">
        <f t="shared" si="119"/>
        <v>NG125H4125</v>
      </c>
      <c r="AP198" s="222" t="s">
        <v>329</v>
      </c>
      <c r="AQ198" s="222">
        <v>4</v>
      </c>
      <c r="AR198" s="256">
        <v>125</v>
      </c>
      <c r="AS198" s="222" t="s">
        <v>58</v>
      </c>
      <c r="BB198" s="9" t="s">
        <v>72</v>
      </c>
      <c r="BC198" s="11">
        <f>0.98*BC199</f>
        <v>49</v>
      </c>
      <c r="BD198" s="231">
        <v>32</v>
      </c>
      <c r="BE198" s="232" t="s">
        <v>596</v>
      </c>
      <c r="BF198" s="6"/>
      <c r="BG198" s="6"/>
      <c r="BH198" s="6"/>
      <c r="BI198" s="6"/>
      <c r="BJ198" s="6"/>
      <c r="BK198" s="6"/>
      <c r="BO198" s="850" t="str">
        <f t="shared" si="117"/>
        <v>2020</v>
      </c>
      <c r="BP198" s="820">
        <v>1</v>
      </c>
      <c r="BQ198" s="820">
        <v>0</v>
      </c>
      <c r="BR198" s="820">
        <v>1</v>
      </c>
      <c r="BS198" s="820">
        <v>0</v>
      </c>
      <c r="BT198" s="820">
        <v>2</v>
      </c>
      <c r="BU198" s="820">
        <v>0</v>
      </c>
      <c r="BV198" s="820">
        <v>2</v>
      </c>
      <c r="BW198" s="849" t="s">
        <v>1043</v>
      </c>
      <c r="CB198" s="41" t="str">
        <f t="shared" si="120"/>
        <v>NSX1604160</v>
      </c>
      <c r="CC198" s="218" t="s">
        <v>112</v>
      </c>
      <c r="CD198" s="187">
        <v>4</v>
      </c>
      <c r="CE198" s="214">
        <v>160</v>
      </c>
      <c r="CF198" s="214"/>
      <c r="CG198" s="201" t="s">
        <v>289</v>
      </c>
      <c r="CH198" s="6"/>
      <c r="CI198" s="6"/>
      <c r="CJ198" s="6"/>
      <c r="CK198" s="6"/>
      <c r="CL198" s="6"/>
      <c r="CM198" s="6"/>
      <c r="CN198" s="6"/>
      <c r="DH198" s="22"/>
      <c r="DI198" s="22"/>
      <c r="DJ198" s="22"/>
      <c r="DK198" s="344"/>
      <c r="DL198" s="375" t="str">
        <f t="shared" si="121"/>
        <v>IT3630</v>
      </c>
      <c r="DM198" s="376" t="s">
        <v>151</v>
      </c>
      <c r="DN198" s="376">
        <v>3</v>
      </c>
      <c r="DO198" s="376">
        <v>630</v>
      </c>
      <c r="DP198" s="376">
        <v>2</v>
      </c>
      <c r="DQ198" s="377" t="s">
        <v>396</v>
      </c>
      <c r="DR198" s="358"/>
      <c r="DS198" s="358"/>
      <c r="DT198" s="358"/>
      <c r="DU198" s="358"/>
      <c r="DV198" s="358"/>
      <c r="DW198" s="358"/>
      <c r="DX198" s="358"/>
      <c r="DY198" s="358"/>
      <c r="DZ198" s="358"/>
      <c r="EA198" s="358"/>
      <c r="EB198" s="358"/>
      <c r="EC198" s="358"/>
      <c r="ED198" s="358"/>
      <c r="EE198" s="358"/>
      <c r="EF198" s="22"/>
      <c r="EG198" s="22"/>
      <c r="EH198" s="22"/>
      <c r="EI198" s="22"/>
      <c r="EJ198" s="22"/>
      <c r="EK198" s="22"/>
      <c r="EL198" s="22"/>
      <c r="EM198" s="22"/>
      <c r="EN198" s="344"/>
      <c r="EO198" s="344"/>
      <c r="EP198" s="22"/>
      <c r="EQ198" s="22"/>
      <c r="ER198" s="22"/>
      <c r="EU198" s="344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</row>
    <row r="199" spans="27:161" x14ac:dyDescent="0.2">
      <c r="AA199" s="8"/>
      <c r="AB199" s="437"/>
      <c r="AE199" s="8" t="s">
        <v>128</v>
      </c>
      <c r="AF199" s="107">
        <v>80</v>
      </c>
      <c r="AJ199" s="102" t="str">
        <f t="shared" si="118"/>
        <v>NG125L1</v>
      </c>
      <c r="AK199" s="201" t="s">
        <v>330</v>
      </c>
      <c r="AL199" s="240">
        <v>1</v>
      </c>
      <c r="AM199" s="240">
        <v>80</v>
      </c>
      <c r="AO199" s="102" t="str">
        <f t="shared" si="119"/>
        <v>NG125L163</v>
      </c>
      <c r="AP199" s="222" t="s">
        <v>330</v>
      </c>
      <c r="AQ199" s="222">
        <v>1</v>
      </c>
      <c r="AR199" s="256">
        <v>63</v>
      </c>
      <c r="AS199" s="222" t="s">
        <v>57</v>
      </c>
      <c r="BB199" s="9" t="s">
        <v>72</v>
      </c>
      <c r="BC199" s="11">
        <v>50</v>
      </c>
      <c r="BD199" s="231">
        <v>32</v>
      </c>
      <c r="BE199" s="232" t="s">
        <v>597</v>
      </c>
      <c r="BF199" s="6"/>
      <c r="BG199" s="6"/>
      <c r="BH199" s="6"/>
      <c r="BI199" s="6"/>
      <c r="BJ199" s="6"/>
      <c r="BK199" s="6"/>
      <c r="BO199" s="850" t="str">
        <f t="shared" si="117"/>
        <v>2021</v>
      </c>
      <c r="BP199" s="820">
        <v>1</v>
      </c>
      <c r="BQ199" s="820">
        <v>0</v>
      </c>
      <c r="BR199" s="820">
        <v>1</v>
      </c>
      <c r="BS199" s="820">
        <v>0</v>
      </c>
      <c r="BT199" s="820">
        <v>2</v>
      </c>
      <c r="BU199" s="820">
        <v>1</v>
      </c>
      <c r="BV199" s="820">
        <v>2</v>
      </c>
      <c r="BW199" s="849" t="s">
        <v>1045</v>
      </c>
      <c r="CB199" s="41" t="str">
        <f t="shared" si="120"/>
        <v>NSX2504250</v>
      </c>
      <c r="CC199" s="213" t="s">
        <v>113</v>
      </c>
      <c r="CD199" s="187">
        <v>4</v>
      </c>
      <c r="CE199" s="214">
        <v>250</v>
      </c>
      <c r="CF199" s="214"/>
      <c r="CG199" s="201" t="s">
        <v>30</v>
      </c>
      <c r="CH199" s="6"/>
      <c r="CI199" s="6"/>
      <c r="CJ199" s="6"/>
      <c r="CK199" s="6"/>
      <c r="CL199" s="6"/>
      <c r="CM199" s="6"/>
      <c r="CN199" s="6"/>
      <c r="DH199" s="22"/>
      <c r="DI199" s="22"/>
      <c r="DJ199" s="22"/>
      <c r="DK199" s="344"/>
      <c r="DL199" s="375" t="str">
        <f t="shared" si="121"/>
        <v>IT310</v>
      </c>
      <c r="DM199" s="376" t="s">
        <v>151</v>
      </c>
      <c r="DN199" s="376">
        <v>3</v>
      </c>
      <c r="DO199" s="376">
        <v>10</v>
      </c>
      <c r="DP199" s="376">
        <v>1</v>
      </c>
      <c r="DQ199" s="377" t="s">
        <v>383</v>
      </c>
      <c r="DR199" s="358"/>
      <c r="DS199" s="358"/>
      <c r="DT199" s="358"/>
      <c r="DU199" s="358"/>
      <c r="DV199" s="358"/>
      <c r="DW199" s="358"/>
      <c r="DX199" s="358"/>
      <c r="DY199" s="358"/>
      <c r="DZ199" s="358"/>
      <c r="EA199" s="358"/>
      <c r="EB199" s="358"/>
      <c r="EC199" s="358"/>
      <c r="ED199" s="358"/>
      <c r="EE199" s="358"/>
      <c r="EF199" s="22"/>
      <c r="EG199" s="22"/>
      <c r="EH199" s="22"/>
      <c r="EI199" s="22"/>
      <c r="EJ199" s="22"/>
      <c r="EK199" s="22"/>
      <c r="EL199" s="22"/>
      <c r="EM199" s="22"/>
      <c r="EN199" s="344"/>
      <c r="EO199" s="344"/>
      <c r="EP199" s="22"/>
      <c r="EQ199" s="22"/>
      <c r="ER199" s="22"/>
      <c r="EU199" s="344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</row>
    <row r="200" spans="27:161" x14ac:dyDescent="0.2">
      <c r="AA200" s="8"/>
      <c r="AB200" s="437"/>
      <c r="AE200" s="8" t="s">
        <v>128</v>
      </c>
      <c r="AF200" s="107">
        <v>100</v>
      </c>
      <c r="AJ200" s="102" t="str">
        <f t="shared" si="118"/>
        <v>NG125L2</v>
      </c>
      <c r="AK200" s="201" t="s">
        <v>330</v>
      </c>
      <c r="AL200" s="240">
        <v>2</v>
      </c>
      <c r="AM200" s="240">
        <v>10</v>
      </c>
      <c r="AO200" s="102" t="str">
        <f t="shared" si="119"/>
        <v>NG125L163</v>
      </c>
      <c r="AP200" s="222" t="s">
        <v>330</v>
      </c>
      <c r="AQ200" s="222">
        <v>1</v>
      </c>
      <c r="AR200" s="256">
        <v>63</v>
      </c>
      <c r="AS200" s="222" t="s">
        <v>58</v>
      </c>
      <c r="BB200" s="9" t="s">
        <v>72</v>
      </c>
      <c r="BC200" s="11">
        <f>0.9*BC208</f>
        <v>49.5</v>
      </c>
      <c r="BD200" s="231">
        <v>32</v>
      </c>
      <c r="BE200" s="232" t="s">
        <v>598</v>
      </c>
      <c r="BF200" s="6"/>
      <c r="BG200" s="6"/>
      <c r="BH200" s="6"/>
      <c r="BI200" s="6"/>
      <c r="BJ200" s="6"/>
      <c r="BK200" s="6"/>
      <c r="BO200" s="850" t="str">
        <f t="shared" si="117"/>
        <v>2022</v>
      </c>
      <c r="BP200" s="820">
        <v>1</v>
      </c>
      <c r="BQ200" s="820">
        <v>1</v>
      </c>
      <c r="BR200" s="820">
        <v>0</v>
      </c>
      <c r="BS200" s="820">
        <v>0</v>
      </c>
      <c r="BT200" s="820">
        <v>2</v>
      </c>
      <c r="BU200" s="820">
        <v>2</v>
      </c>
      <c r="BV200" s="820">
        <v>2</v>
      </c>
      <c r="BW200" s="849" t="s">
        <v>1042</v>
      </c>
      <c r="CB200" s="41" t="str">
        <f t="shared" si="120"/>
        <v>NSX2504250</v>
      </c>
      <c r="CC200" s="213" t="s">
        <v>113</v>
      </c>
      <c r="CD200" s="187">
        <v>4</v>
      </c>
      <c r="CE200" s="214">
        <v>250</v>
      </c>
      <c r="CF200" s="214"/>
      <c r="CG200" s="201" t="s">
        <v>250</v>
      </c>
      <c r="CH200" s="6"/>
      <c r="CI200" s="6"/>
      <c r="CJ200" s="6"/>
      <c r="CK200" s="6"/>
      <c r="CL200" s="6"/>
      <c r="CM200" s="6"/>
      <c r="CN200" s="6"/>
      <c r="DH200" s="22"/>
      <c r="DI200" s="22"/>
      <c r="DJ200" s="22"/>
      <c r="DK200" s="344"/>
      <c r="DL200" s="375" t="str">
        <f t="shared" si="121"/>
        <v>IT320</v>
      </c>
      <c r="DM200" s="376" t="s">
        <v>151</v>
      </c>
      <c r="DN200" s="376">
        <v>3</v>
      </c>
      <c r="DO200" s="376">
        <v>20</v>
      </c>
      <c r="DP200" s="376">
        <v>1</v>
      </c>
      <c r="DQ200" s="377" t="s">
        <v>384</v>
      </c>
      <c r="DR200" s="358"/>
      <c r="DS200" s="358"/>
      <c r="DT200" s="358"/>
      <c r="DU200" s="358"/>
      <c r="DV200" s="358"/>
      <c r="DW200" s="358"/>
      <c r="DX200" s="358"/>
      <c r="DY200" s="358"/>
      <c r="DZ200" s="358"/>
      <c r="EA200" s="358"/>
      <c r="EB200" s="358"/>
      <c r="EC200" s="358"/>
      <c r="ED200" s="358"/>
      <c r="EE200" s="358"/>
      <c r="EF200" s="22"/>
      <c r="EG200" s="22"/>
      <c r="EH200" s="22"/>
      <c r="EI200" s="22"/>
      <c r="EJ200" s="22"/>
      <c r="EK200" s="22"/>
      <c r="EL200" s="22"/>
      <c r="EM200" s="22"/>
      <c r="EN200" s="344"/>
      <c r="EO200" s="344"/>
      <c r="EP200" s="22"/>
      <c r="EQ200" s="22"/>
      <c r="ER200" s="22"/>
      <c r="EU200" s="344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</row>
    <row r="201" spans="27:161" x14ac:dyDescent="0.2">
      <c r="AA201" s="8"/>
      <c r="AB201" s="437"/>
      <c r="AE201" s="8" t="s">
        <v>129</v>
      </c>
      <c r="AF201" s="107">
        <v>16</v>
      </c>
      <c r="AJ201" s="102" t="str">
        <f t="shared" si="118"/>
        <v>NG125L2</v>
      </c>
      <c r="AK201" s="201" t="s">
        <v>330</v>
      </c>
      <c r="AL201" s="240">
        <v>2</v>
      </c>
      <c r="AM201" s="240">
        <v>16</v>
      </c>
      <c r="AO201" s="102" t="str">
        <f t="shared" si="119"/>
        <v>NG125L163</v>
      </c>
      <c r="AP201" s="222" t="s">
        <v>330</v>
      </c>
      <c r="AQ201" s="222">
        <v>1</v>
      </c>
      <c r="AR201" s="256">
        <v>63</v>
      </c>
      <c r="AS201" s="222" t="s">
        <v>59</v>
      </c>
      <c r="BB201" s="9" t="s">
        <v>72</v>
      </c>
      <c r="BC201" s="11">
        <f>0.92*BC208</f>
        <v>50.6</v>
      </c>
      <c r="BD201" s="231">
        <v>32</v>
      </c>
      <c r="BE201" s="232" t="s">
        <v>598</v>
      </c>
      <c r="BF201" s="6"/>
      <c r="BG201" s="6"/>
      <c r="BH201" s="6"/>
      <c r="BI201" s="6"/>
      <c r="BJ201" s="6"/>
      <c r="BK201" s="6"/>
      <c r="BO201" s="850" t="str">
        <f t="shared" si="117"/>
        <v>2102</v>
      </c>
      <c r="BP201" s="820">
        <v>1</v>
      </c>
      <c r="BQ201" s="820">
        <v>1</v>
      </c>
      <c r="BR201" s="820">
        <v>0</v>
      </c>
      <c r="BS201" s="820">
        <v>1</v>
      </c>
      <c r="BT201" s="820">
        <v>0</v>
      </c>
      <c r="BU201" s="820">
        <v>2</v>
      </c>
      <c r="BV201" s="820">
        <v>2</v>
      </c>
      <c r="BW201" s="849" t="s">
        <v>1046</v>
      </c>
      <c r="CB201" s="41" t="str">
        <f t="shared" si="120"/>
        <v>NSX2504250</v>
      </c>
      <c r="CC201" s="213" t="s">
        <v>113</v>
      </c>
      <c r="CD201" s="187">
        <v>4</v>
      </c>
      <c r="CE201" s="214">
        <v>250</v>
      </c>
      <c r="CF201" s="214"/>
      <c r="CG201" s="201" t="s">
        <v>295</v>
      </c>
      <c r="CH201" s="6"/>
      <c r="CI201" s="6"/>
      <c r="CJ201" s="6"/>
      <c r="CK201" s="6"/>
      <c r="CL201" s="6"/>
      <c r="CM201" s="6"/>
      <c r="CN201" s="6"/>
      <c r="DH201" s="22"/>
      <c r="DI201" s="22"/>
      <c r="DJ201" s="22"/>
      <c r="DK201" s="344"/>
      <c r="DL201" s="375" t="str">
        <f t="shared" si="121"/>
        <v>IT325</v>
      </c>
      <c r="DM201" s="376" t="s">
        <v>151</v>
      </c>
      <c r="DN201" s="376">
        <v>3</v>
      </c>
      <c r="DO201" s="376">
        <v>25</v>
      </c>
      <c r="DP201" s="376">
        <v>1</v>
      </c>
      <c r="DQ201" s="377" t="s">
        <v>385</v>
      </c>
      <c r="DR201" s="358"/>
      <c r="DS201" s="358"/>
      <c r="DT201" s="358"/>
      <c r="DU201" s="358"/>
      <c r="DV201" s="358"/>
      <c r="DW201" s="358"/>
      <c r="DX201" s="358"/>
      <c r="DY201" s="358"/>
      <c r="DZ201" s="358"/>
      <c r="EA201" s="358"/>
      <c r="EB201" s="358"/>
      <c r="EC201" s="358"/>
      <c r="ED201" s="358"/>
      <c r="EE201" s="358"/>
      <c r="EF201" s="22"/>
      <c r="EG201" s="22"/>
      <c r="EH201" s="22"/>
      <c r="EI201" s="22"/>
      <c r="EJ201" s="22"/>
      <c r="EK201" s="22"/>
      <c r="EL201" s="22"/>
      <c r="EM201" s="22"/>
      <c r="EN201" s="344"/>
      <c r="EO201" s="344"/>
      <c r="EP201" s="22"/>
      <c r="EQ201" s="22"/>
      <c r="ER201" s="22"/>
      <c r="EU201" s="344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</row>
    <row r="202" spans="27:161" x14ac:dyDescent="0.2">
      <c r="AA202" s="8"/>
      <c r="AB202" s="437"/>
      <c r="AE202" s="8" t="s">
        <v>129</v>
      </c>
      <c r="AF202" s="107">
        <v>25</v>
      </c>
      <c r="AJ202" s="102" t="str">
        <f t="shared" si="118"/>
        <v>NG125L2</v>
      </c>
      <c r="AK202" s="201" t="s">
        <v>330</v>
      </c>
      <c r="AL202" s="240">
        <v>2</v>
      </c>
      <c r="AM202" s="240">
        <v>20</v>
      </c>
      <c r="AO202" s="102" t="str">
        <f t="shared" si="119"/>
        <v>NG125L263</v>
      </c>
      <c r="AP202" s="222" t="s">
        <v>330</v>
      </c>
      <c r="AQ202" s="222">
        <v>2</v>
      </c>
      <c r="AR202" s="256">
        <v>63</v>
      </c>
      <c r="AS202" s="222" t="s">
        <v>57</v>
      </c>
      <c r="BB202" s="9" t="s">
        <v>72</v>
      </c>
      <c r="BC202" s="11">
        <f>0.93*BC208</f>
        <v>51.150000000000006</v>
      </c>
      <c r="BD202" s="231">
        <v>32</v>
      </c>
      <c r="BE202" s="232" t="s">
        <v>287</v>
      </c>
      <c r="BO202" s="850" t="str">
        <f t="shared" si="117"/>
        <v>2120</v>
      </c>
      <c r="BP202" s="820">
        <v>1</v>
      </c>
      <c r="BQ202" s="820">
        <v>0</v>
      </c>
      <c r="BR202" s="820">
        <v>1</v>
      </c>
      <c r="BS202" s="820">
        <v>1</v>
      </c>
      <c r="BT202" s="820">
        <v>2</v>
      </c>
      <c r="BU202" s="820">
        <v>0</v>
      </c>
      <c r="BV202" s="820">
        <v>2</v>
      </c>
      <c r="BW202" s="849" t="s">
        <v>1044</v>
      </c>
      <c r="CB202" s="41" t="str">
        <f t="shared" si="120"/>
        <v>NSX2504250</v>
      </c>
      <c r="CC202" s="213" t="s">
        <v>113</v>
      </c>
      <c r="CD202" s="187">
        <v>4</v>
      </c>
      <c r="CE202" s="214">
        <v>250</v>
      </c>
      <c r="CF202" s="214"/>
      <c r="CG202" s="201" t="s">
        <v>296</v>
      </c>
      <c r="DH202" s="22"/>
      <c r="DI202" s="22"/>
      <c r="DJ202" s="22"/>
      <c r="DK202" s="344"/>
      <c r="DL202" s="375" t="str">
        <f t="shared" si="121"/>
        <v>IT332</v>
      </c>
      <c r="DM202" s="376" t="s">
        <v>151</v>
      </c>
      <c r="DN202" s="376">
        <v>3</v>
      </c>
      <c r="DO202" s="376">
        <v>32</v>
      </c>
      <c r="DP202" s="376">
        <v>1</v>
      </c>
      <c r="DQ202" s="377" t="s">
        <v>386</v>
      </c>
      <c r="DR202" s="358"/>
      <c r="DS202" s="358"/>
      <c r="DT202" s="358"/>
      <c r="DU202" s="358"/>
      <c r="DV202" s="358"/>
      <c r="DW202" s="358"/>
      <c r="DX202" s="358"/>
      <c r="DY202" s="358"/>
      <c r="DZ202" s="358"/>
      <c r="EA202" s="358"/>
      <c r="EB202" s="358"/>
      <c r="EC202" s="358"/>
      <c r="ED202" s="358"/>
      <c r="EE202" s="358"/>
      <c r="EF202" s="22"/>
      <c r="EG202" s="22"/>
      <c r="EH202" s="22"/>
      <c r="EI202" s="22"/>
      <c r="EJ202" s="22"/>
      <c r="EK202" s="22"/>
      <c r="EL202" s="22"/>
      <c r="EM202" s="22"/>
      <c r="EN202" s="344"/>
      <c r="EO202" s="344"/>
      <c r="EP202" s="22"/>
      <c r="EQ202" s="22"/>
      <c r="ER202" s="22"/>
      <c r="EU202" s="344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</row>
    <row r="203" spans="27:161" x14ac:dyDescent="0.2">
      <c r="AA203" s="8"/>
      <c r="AB203" s="437"/>
      <c r="AE203" s="8" t="s">
        <v>129</v>
      </c>
      <c r="AF203" s="107">
        <v>32</v>
      </c>
      <c r="AJ203" s="102" t="str">
        <f t="shared" si="118"/>
        <v>NG125L2</v>
      </c>
      <c r="AK203" s="201" t="s">
        <v>330</v>
      </c>
      <c r="AL203" s="240">
        <v>2</v>
      </c>
      <c r="AM203" s="240">
        <v>25</v>
      </c>
      <c r="AO203" s="102" t="str">
        <f t="shared" si="119"/>
        <v>NG125L263</v>
      </c>
      <c r="AP203" s="222" t="s">
        <v>330</v>
      </c>
      <c r="AQ203" s="222">
        <v>2</v>
      </c>
      <c r="AR203" s="256">
        <v>63</v>
      </c>
      <c r="AS203" s="222" t="s">
        <v>58</v>
      </c>
      <c r="BB203" s="9" t="s">
        <v>72</v>
      </c>
      <c r="BC203" s="11">
        <f>0.94*BC208</f>
        <v>51.699999999999996</v>
      </c>
      <c r="BD203" s="231">
        <v>32</v>
      </c>
      <c r="BE203" s="232" t="s">
        <v>291</v>
      </c>
      <c r="BO203" s="850" t="str">
        <f t="shared" si="117"/>
        <v>2200</v>
      </c>
      <c r="BP203" s="820">
        <v>0</v>
      </c>
      <c r="BQ203" s="820">
        <v>1</v>
      </c>
      <c r="BR203" s="820">
        <v>1</v>
      </c>
      <c r="BS203" s="820">
        <v>2</v>
      </c>
      <c r="BT203" s="820">
        <v>0</v>
      </c>
      <c r="BU203" s="820">
        <v>0</v>
      </c>
      <c r="BV203" s="820">
        <v>2</v>
      </c>
      <c r="BW203" s="849" t="s">
        <v>1037</v>
      </c>
      <c r="CB203" s="41" t="str">
        <f t="shared" si="120"/>
        <v>NSX2504250</v>
      </c>
      <c r="CC203" s="213" t="s">
        <v>113</v>
      </c>
      <c r="CD203" s="187">
        <v>4</v>
      </c>
      <c r="CE203" s="214">
        <v>250</v>
      </c>
      <c r="CF203" s="214"/>
      <c r="CG203" s="201" t="s">
        <v>288</v>
      </c>
      <c r="DH203" s="22"/>
      <c r="DI203" s="22"/>
      <c r="DJ203" s="22"/>
      <c r="DK203" s="344"/>
      <c r="DL203" s="375" t="str">
        <f t="shared" si="121"/>
        <v>IT350</v>
      </c>
      <c r="DM203" s="376" t="s">
        <v>151</v>
      </c>
      <c r="DN203" s="376">
        <v>3</v>
      </c>
      <c r="DO203" s="376">
        <v>50</v>
      </c>
      <c r="DP203" s="376">
        <v>1</v>
      </c>
      <c r="DQ203" s="377" t="s">
        <v>387</v>
      </c>
      <c r="DR203" s="358"/>
      <c r="DS203" s="358"/>
      <c r="DT203" s="358"/>
      <c r="DU203" s="358"/>
      <c r="DV203" s="358"/>
      <c r="DW203" s="358"/>
      <c r="DX203" s="358"/>
      <c r="DY203" s="358"/>
      <c r="DZ203" s="358"/>
      <c r="EA203" s="358"/>
      <c r="EB203" s="358"/>
      <c r="EC203" s="358"/>
      <c r="ED203" s="358"/>
      <c r="EE203" s="358"/>
      <c r="EF203" s="22"/>
      <c r="EG203" s="22"/>
      <c r="EH203" s="22"/>
      <c r="EI203" s="22"/>
      <c r="EJ203" s="22"/>
      <c r="EK203" s="22"/>
      <c r="EL203" s="22"/>
      <c r="EM203" s="22"/>
      <c r="EN203" s="344"/>
      <c r="EO203" s="344"/>
      <c r="EP203" s="22"/>
      <c r="EQ203" s="22"/>
      <c r="ER203" s="22"/>
      <c r="EU203" s="344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</row>
    <row r="204" spans="27:161" x14ac:dyDescent="0.2">
      <c r="AA204" s="8"/>
      <c r="AB204" s="437"/>
      <c r="AE204" s="8" t="s">
        <v>129</v>
      </c>
      <c r="AF204" s="107">
        <v>40</v>
      </c>
      <c r="AJ204" s="102" t="str">
        <f t="shared" si="118"/>
        <v>NG125L2</v>
      </c>
      <c r="AK204" s="201" t="s">
        <v>330</v>
      </c>
      <c r="AL204" s="240">
        <v>2</v>
      </c>
      <c r="AM204" s="240">
        <v>32</v>
      </c>
      <c r="AO204" s="102" t="str">
        <f t="shared" si="119"/>
        <v>NG125L263</v>
      </c>
      <c r="AP204" s="222" t="s">
        <v>330</v>
      </c>
      <c r="AQ204" s="222">
        <v>2</v>
      </c>
      <c r="AR204" s="256">
        <v>63</v>
      </c>
      <c r="AS204" s="222" t="s">
        <v>59</v>
      </c>
      <c r="BB204" s="9" t="s">
        <v>72</v>
      </c>
      <c r="BC204" s="11">
        <f>0.95*BC208</f>
        <v>52.25</v>
      </c>
      <c r="BD204" s="231">
        <v>32</v>
      </c>
      <c r="BE204" s="232" t="s">
        <v>300</v>
      </c>
      <c r="BO204" s="850" t="str">
        <f t="shared" si="117"/>
        <v>2201</v>
      </c>
      <c r="BP204" s="820">
        <v>0</v>
      </c>
      <c r="BQ204" s="820">
        <v>1</v>
      </c>
      <c r="BR204" s="820">
        <v>1</v>
      </c>
      <c r="BS204" s="820">
        <v>2</v>
      </c>
      <c r="BT204" s="820">
        <v>0</v>
      </c>
      <c r="BU204" s="820">
        <v>1</v>
      </c>
      <c r="BV204" s="820">
        <v>2</v>
      </c>
      <c r="BW204" s="849" t="s">
        <v>1047</v>
      </c>
      <c r="CB204" s="41" t="str">
        <f t="shared" si="120"/>
        <v>NSX2504250</v>
      </c>
      <c r="CC204" s="213" t="s">
        <v>113</v>
      </c>
      <c r="CD204" s="187">
        <v>4</v>
      </c>
      <c r="CE204" s="214">
        <v>250</v>
      </c>
      <c r="CF204" s="214"/>
      <c r="CG204" s="201" t="s">
        <v>297</v>
      </c>
      <c r="DH204" s="22"/>
      <c r="DI204" s="22"/>
      <c r="DJ204" s="22"/>
      <c r="DK204" s="344"/>
      <c r="DL204" s="375" t="str">
        <f t="shared" si="121"/>
        <v>IT363</v>
      </c>
      <c r="DM204" s="376" t="s">
        <v>151</v>
      </c>
      <c r="DN204" s="376">
        <v>3</v>
      </c>
      <c r="DO204" s="376">
        <v>63</v>
      </c>
      <c r="DP204" s="376">
        <v>1</v>
      </c>
      <c r="DQ204" s="377" t="s">
        <v>388</v>
      </c>
      <c r="DR204" s="358"/>
      <c r="DS204" s="358"/>
      <c r="DT204" s="358"/>
      <c r="DU204" s="358"/>
      <c r="DV204" s="358"/>
      <c r="DW204" s="358"/>
      <c r="DX204" s="358"/>
      <c r="DY204" s="358"/>
      <c r="DZ204" s="358"/>
      <c r="EA204" s="358"/>
      <c r="EB204" s="358"/>
      <c r="EC204" s="358"/>
      <c r="ED204" s="358"/>
      <c r="EE204" s="358"/>
      <c r="EF204" s="22"/>
      <c r="EG204" s="22"/>
      <c r="EH204" s="22"/>
      <c r="EI204" s="22"/>
      <c r="EJ204" s="22"/>
      <c r="EK204" s="22"/>
      <c r="EL204" s="22"/>
      <c r="EM204" s="22"/>
      <c r="EN204" s="344"/>
      <c r="EO204" s="344"/>
      <c r="EP204" s="22"/>
      <c r="EQ204" s="22"/>
      <c r="ER204" s="22"/>
      <c r="EU204" s="344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</row>
    <row r="205" spans="27:161" x14ac:dyDescent="0.2">
      <c r="AA205" s="8"/>
      <c r="AB205" s="437"/>
      <c r="AE205" s="8" t="s">
        <v>129</v>
      </c>
      <c r="AF205" s="107">
        <v>50</v>
      </c>
      <c r="AJ205" s="102" t="str">
        <f t="shared" si="118"/>
        <v>NG125L2</v>
      </c>
      <c r="AK205" s="201" t="s">
        <v>330</v>
      </c>
      <c r="AL205" s="240">
        <v>2</v>
      </c>
      <c r="AM205" s="240">
        <v>40</v>
      </c>
      <c r="AO205" s="102" t="str">
        <f t="shared" si="119"/>
        <v>NG125L363</v>
      </c>
      <c r="AP205" s="222" t="s">
        <v>330</v>
      </c>
      <c r="AQ205" s="222">
        <v>3</v>
      </c>
      <c r="AR205" s="256">
        <v>63</v>
      </c>
      <c r="AS205" s="222" t="s">
        <v>57</v>
      </c>
      <c r="BB205" s="9" t="s">
        <v>72</v>
      </c>
      <c r="BC205" s="11">
        <f>0.96*BC208</f>
        <v>52.8</v>
      </c>
      <c r="BD205" s="231">
        <v>32</v>
      </c>
      <c r="BE205" s="232" t="s">
        <v>292</v>
      </c>
      <c r="BO205" s="850" t="str">
        <f t="shared" si="117"/>
        <v>2202</v>
      </c>
      <c r="BP205" s="820">
        <v>0</v>
      </c>
      <c r="BQ205" s="820">
        <v>1</v>
      </c>
      <c r="BR205" s="820">
        <v>1</v>
      </c>
      <c r="BS205" s="820">
        <v>2</v>
      </c>
      <c r="BT205" s="820">
        <v>0</v>
      </c>
      <c r="BU205" s="820">
        <v>2</v>
      </c>
      <c r="BV205" s="820">
        <v>2</v>
      </c>
      <c r="BW205" s="849" t="s">
        <v>1048</v>
      </c>
      <c r="CB205" s="41" t="str">
        <f t="shared" si="120"/>
        <v>NSX2504250</v>
      </c>
      <c r="CC205" s="213" t="s">
        <v>113</v>
      </c>
      <c r="CD205" s="187">
        <v>4</v>
      </c>
      <c r="CE205" s="214">
        <v>250</v>
      </c>
      <c r="CF205" s="214"/>
      <c r="CG205" s="201" t="s">
        <v>289</v>
      </c>
      <c r="DH205" s="22"/>
      <c r="DI205" s="22"/>
      <c r="DJ205" s="22"/>
      <c r="DK205" s="344"/>
      <c r="DL205" s="375" t="str">
        <f t="shared" si="121"/>
        <v>IT380</v>
      </c>
      <c r="DM205" s="376" t="s">
        <v>151</v>
      </c>
      <c r="DN205" s="376">
        <v>3</v>
      </c>
      <c r="DO205" s="376">
        <v>80</v>
      </c>
      <c r="DP205" s="376">
        <v>1</v>
      </c>
      <c r="DQ205" s="377" t="s">
        <v>389</v>
      </c>
      <c r="DR205" s="358"/>
      <c r="DS205" s="358"/>
      <c r="DT205" s="358"/>
      <c r="DU205" s="358"/>
      <c r="DV205" s="358"/>
      <c r="DW205" s="358"/>
      <c r="DX205" s="358"/>
      <c r="DY205" s="358"/>
      <c r="DZ205" s="358"/>
      <c r="EA205" s="358"/>
      <c r="EB205" s="358"/>
      <c r="EC205" s="358"/>
      <c r="ED205" s="358"/>
      <c r="EE205" s="358"/>
      <c r="EF205" s="22"/>
      <c r="EG205" s="22"/>
      <c r="EH205" s="22"/>
      <c r="EI205" s="22"/>
      <c r="EJ205" s="22"/>
      <c r="EK205" s="22"/>
      <c r="EL205" s="22"/>
      <c r="EM205" s="22"/>
      <c r="EN205" s="344"/>
      <c r="EO205" s="344"/>
      <c r="EP205" s="22"/>
      <c r="EQ205" s="22"/>
      <c r="ER205" s="22"/>
      <c r="EU205" s="344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</row>
    <row r="206" spans="27:161" x14ac:dyDescent="0.2">
      <c r="AA206" s="8"/>
      <c r="AB206" s="437"/>
      <c r="AE206" s="8" t="s">
        <v>129</v>
      </c>
      <c r="AF206" s="107">
        <v>63</v>
      </c>
      <c r="AJ206" s="102" t="str">
        <f t="shared" si="118"/>
        <v>NG125L2</v>
      </c>
      <c r="AK206" s="201" t="s">
        <v>330</v>
      </c>
      <c r="AL206" s="240">
        <v>2</v>
      </c>
      <c r="AM206" s="240">
        <v>50</v>
      </c>
      <c r="AO206" s="102" t="str">
        <f t="shared" si="119"/>
        <v>NG125L363</v>
      </c>
      <c r="AP206" s="222" t="s">
        <v>330</v>
      </c>
      <c r="AQ206" s="222">
        <v>3</v>
      </c>
      <c r="AR206" s="256">
        <v>63</v>
      </c>
      <c r="AS206" s="222" t="s">
        <v>58</v>
      </c>
      <c r="BB206" s="9" t="s">
        <v>72</v>
      </c>
      <c r="BC206" s="11">
        <f>0.97*BC208</f>
        <v>53.35</v>
      </c>
      <c r="BD206" s="231">
        <v>40</v>
      </c>
      <c r="BE206" s="233" t="s">
        <v>30</v>
      </c>
      <c r="BO206" s="850" t="str">
        <f t="shared" si="117"/>
        <v>2210</v>
      </c>
      <c r="BP206" s="820">
        <v>0</v>
      </c>
      <c r="BQ206" s="820">
        <v>1</v>
      </c>
      <c r="BR206" s="820">
        <v>1</v>
      </c>
      <c r="BS206" s="820">
        <v>2</v>
      </c>
      <c r="BT206" s="820">
        <v>1</v>
      </c>
      <c r="BU206" s="820">
        <v>0</v>
      </c>
      <c r="BV206" s="820">
        <v>2</v>
      </c>
      <c r="BW206" s="849" t="s">
        <v>1038</v>
      </c>
      <c r="CB206" s="41" t="str">
        <f t="shared" si="120"/>
        <v>NSX4004400</v>
      </c>
      <c r="CC206" s="213" t="s">
        <v>114</v>
      </c>
      <c r="CD206" s="187">
        <v>4</v>
      </c>
      <c r="CE206" s="214">
        <v>400</v>
      </c>
      <c r="CF206" s="214"/>
      <c r="CG206" s="201" t="s">
        <v>30</v>
      </c>
      <c r="DH206" s="22"/>
      <c r="DI206" s="22"/>
      <c r="DJ206" s="22"/>
      <c r="DK206" s="344"/>
      <c r="DL206" s="375" t="str">
        <f t="shared" si="121"/>
        <v>IT3100</v>
      </c>
      <c r="DM206" s="376" t="s">
        <v>151</v>
      </c>
      <c r="DN206" s="376">
        <v>3</v>
      </c>
      <c r="DO206" s="376">
        <v>100</v>
      </c>
      <c r="DP206" s="376">
        <v>1</v>
      </c>
      <c r="DQ206" s="377" t="s">
        <v>390</v>
      </c>
      <c r="DR206" s="358"/>
      <c r="DS206" s="358"/>
      <c r="DT206" s="358"/>
      <c r="DU206" s="358"/>
      <c r="DV206" s="358"/>
      <c r="DW206" s="358"/>
      <c r="DX206" s="358"/>
      <c r="DY206" s="358"/>
      <c r="DZ206" s="358"/>
      <c r="EA206" s="358"/>
      <c r="EB206" s="358"/>
      <c r="EC206" s="358"/>
      <c r="ED206" s="358"/>
      <c r="EE206" s="358"/>
      <c r="EF206" s="22"/>
      <c r="EG206" s="22"/>
      <c r="EH206" s="22"/>
      <c r="EI206" s="22"/>
      <c r="EJ206" s="22"/>
      <c r="EK206" s="22"/>
      <c r="EL206" s="22"/>
      <c r="EM206" s="22"/>
      <c r="EN206" s="344"/>
      <c r="EO206" s="344"/>
      <c r="EP206" s="22"/>
      <c r="EQ206" s="22"/>
      <c r="ER206" s="22"/>
      <c r="EU206" s="344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</row>
    <row r="207" spans="27:161" ht="13.5" thickBot="1" x14ac:dyDescent="0.25">
      <c r="AA207" s="8"/>
      <c r="AB207" s="437"/>
      <c r="AE207" s="8" t="s">
        <v>129</v>
      </c>
      <c r="AF207" s="107">
        <v>80</v>
      </c>
      <c r="AJ207" s="102" t="str">
        <f t="shared" si="118"/>
        <v>NG125L2</v>
      </c>
      <c r="AK207" s="201" t="s">
        <v>330</v>
      </c>
      <c r="AL207" s="240">
        <v>2</v>
      </c>
      <c r="AM207" s="240">
        <v>63</v>
      </c>
      <c r="AO207" s="102" t="str">
        <f t="shared" si="119"/>
        <v>NG125L363</v>
      </c>
      <c r="AP207" s="222" t="s">
        <v>330</v>
      </c>
      <c r="AQ207" s="222">
        <v>3</v>
      </c>
      <c r="AR207" s="256">
        <v>63</v>
      </c>
      <c r="AS207" s="222" t="s">
        <v>59</v>
      </c>
      <c r="BB207" s="9" t="s">
        <v>72</v>
      </c>
      <c r="BC207" s="11">
        <f>0.98*BC208</f>
        <v>53.9</v>
      </c>
      <c r="BD207" s="231">
        <v>40</v>
      </c>
      <c r="BE207" s="232" t="s">
        <v>595</v>
      </c>
      <c r="BF207" s="18"/>
      <c r="BG207" s="18"/>
      <c r="BH207" s="18"/>
      <c r="BI207" s="18"/>
      <c r="BJ207" s="18"/>
      <c r="BK207" s="18"/>
      <c r="BO207" s="851" t="str">
        <f t="shared" si="117"/>
        <v>2220</v>
      </c>
      <c r="BP207" s="852">
        <v>1</v>
      </c>
      <c r="BQ207" s="852">
        <v>0</v>
      </c>
      <c r="BR207" s="852">
        <v>1</v>
      </c>
      <c r="BS207" s="852">
        <v>2</v>
      </c>
      <c r="BT207" s="852">
        <v>2</v>
      </c>
      <c r="BU207" s="852">
        <v>0</v>
      </c>
      <c r="BV207" s="852">
        <v>2</v>
      </c>
      <c r="BW207" s="853" t="s">
        <v>1039</v>
      </c>
      <c r="CB207" s="41" t="str">
        <f t="shared" si="120"/>
        <v>NSX4004400</v>
      </c>
      <c r="CC207" s="213" t="s">
        <v>114</v>
      </c>
      <c r="CD207" s="187">
        <v>4</v>
      </c>
      <c r="CE207" s="214">
        <v>400</v>
      </c>
      <c r="CF207" s="214"/>
      <c r="CG207" s="201" t="s">
        <v>251</v>
      </c>
      <c r="CH207" s="18"/>
      <c r="CI207" s="18"/>
      <c r="CJ207" s="18"/>
      <c r="CK207" s="18"/>
      <c r="CL207" s="18"/>
      <c r="CM207" s="18"/>
      <c r="CN207" s="18"/>
      <c r="DH207" s="22"/>
      <c r="DI207" s="22"/>
      <c r="DJ207" s="22"/>
      <c r="DK207" s="344"/>
      <c r="DL207" s="375" t="str">
        <f t="shared" si="121"/>
        <v>IT3125</v>
      </c>
      <c r="DM207" s="376" t="s">
        <v>151</v>
      </c>
      <c r="DN207" s="376">
        <v>3</v>
      </c>
      <c r="DO207" s="376">
        <v>125</v>
      </c>
      <c r="DP207" s="376">
        <v>1</v>
      </c>
      <c r="DQ207" s="377" t="s">
        <v>391</v>
      </c>
      <c r="DR207" s="358"/>
      <c r="DS207" s="358"/>
      <c r="DT207" s="358"/>
      <c r="DU207" s="358"/>
      <c r="DV207" s="358"/>
      <c r="DW207" s="358"/>
      <c r="DX207" s="358"/>
      <c r="DY207" s="358"/>
      <c r="DZ207" s="358"/>
      <c r="EA207" s="358"/>
      <c r="EB207" s="358"/>
      <c r="EC207" s="358"/>
      <c r="ED207" s="358"/>
      <c r="EE207" s="358"/>
      <c r="EF207" s="22"/>
      <c r="EG207" s="22"/>
      <c r="EH207" s="22"/>
      <c r="EI207" s="22"/>
      <c r="EJ207" s="22"/>
      <c r="EK207" s="22"/>
      <c r="EL207" s="22"/>
      <c r="EM207" s="22"/>
      <c r="EN207" s="344"/>
      <c r="EO207" s="344"/>
      <c r="EP207" s="22"/>
      <c r="EQ207" s="22"/>
      <c r="ER207" s="22"/>
      <c r="EU207" s="344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</row>
    <row r="208" spans="27:161" x14ac:dyDescent="0.2">
      <c r="AA208" s="8"/>
      <c r="AB208" s="437"/>
      <c r="AE208" s="8" t="s">
        <v>129</v>
      </c>
      <c r="AF208" s="107">
        <v>100</v>
      </c>
      <c r="AJ208" s="102" t="str">
        <f t="shared" si="118"/>
        <v>NG125L2</v>
      </c>
      <c r="AK208" s="201" t="s">
        <v>330</v>
      </c>
      <c r="AL208" s="240">
        <v>2</v>
      </c>
      <c r="AM208" s="240">
        <v>80</v>
      </c>
      <c r="AO208" s="102" t="str">
        <f t="shared" si="119"/>
        <v>NG125L463</v>
      </c>
      <c r="AP208" s="222" t="s">
        <v>330</v>
      </c>
      <c r="AQ208" s="222">
        <v>4</v>
      </c>
      <c r="AR208" s="256">
        <v>63</v>
      </c>
      <c r="AS208" s="222" t="s">
        <v>57</v>
      </c>
      <c r="BB208" s="9" t="s">
        <v>72</v>
      </c>
      <c r="BC208" s="11">
        <v>55</v>
      </c>
      <c r="BD208" s="231">
        <v>40</v>
      </c>
      <c r="BE208" s="232" t="s">
        <v>596</v>
      </c>
      <c r="CB208" s="41" t="str">
        <f t="shared" si="120"/>
        <v>NSX4004400</v>
      </c>
      <c r="CC208" s="213" t="s">
        <v>114</v>
      </c>
      <c r="CD208" s="187">
        <v>4</v>
      </c>
      <c r="CE208" s="214">
        <v>400</v>
      </c>
      <c r="CF208" s="214"/>
      <c r="CG208" s="201" t="s">
        <v>298</v>
      </c>
      <c r="DH208" s="22"/>
      <c r="DI208" s="22"/>
      <c r="DJ208" s="22"/>
      <c r="DK208" s="344"/>
      <c r="DL208" s="375" t="str">
        <f t="shared" si="121"/>
        <v>IT3160</v>
      </c>
      <c r="DM208" s="376" t="s">
        <v>151</v>
      </c>
      <c r="DN208" s="376">
        <v>3</v>
      </c>
      <c r="DO208" s="376">
        <v>160</v>
      </c>
      <c r="DP208" s="376">
        <v>1</v>
      </c>
      <c r="DQ208" s="377" t="s">
        <v>392</v>
      </c>
      <c r="DR208" s="358"/>
      <c r="DS208" s="358"/>
      <c r="DT208" s="358"/>
      <c r="DU208" s="358"/>
      <c r="DV208" s="358"/>
      <c r="DW208" s="358"/>
      <c r="DX208" s="358"/>
      <c r="DY208" s="358"/>
      <c r="DZ208" s="358"/>
      <c r="EA208" s="358"/>
      <c r="EB208" s="358"/>
      <c r="EC208" s="358"/>
      <c r="ED208" s="358"/>
      <c r="EE208" s="358"/>
      <c r="EF208" s="22"/>
      <c r="EG208" s="22"/>
      <c r="EH208" s="22"/>
      <c r="EI208" s="22"/>
      <c r="EJ208" s="22"/>
      <c r="EK208" s="22"/>
      <c r="EL208" s="22"/>
      <c r="EM208" s="22"/>
      <c r="EN208" s="344"/>
      <c r="EO208" s="344"/>
      <c r="EP208" s="22"/>
      <c r="EQ208" s="22"/>
      <c r="ER208" s="22"/>
      <c r="EU208" s="344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</row>
    <row r="209" spans="27:161" x14ac:dyDescent="0.2">
      <c r="AA209" s="8"/>
      <c r="AB209" s="437"/>
      <c r="AE209" s="8" t="s">
        <v>489</v>
      </c>
      <c r="AF209" s="107">
        <v>16</v>
      </c>
      <c r="AJ209" s="102" t="str">
        <f t="shared" si="118"/>
        <v>NG125L3</v>
      </c>
      <c r="AK209" s="201" t="s">
        <v>330</v>
      </c>
      <c r="AL209" s="240">
        <v>3</v>
      </c>
      <c r="AM209" s="240">
        <v>10</v>
      </c>
      <c r="AO209" s="102" t="str">
        <f t="shared" si="119"/>
        <v>NG125L463</v>
      </c>
      <c r="AP209" s="222" t="s">
        <v>330</v>
      </c>
      <c r="AQ209" s="222">
        <v>4</v>
      </c>
      <c r="AR209" s="256">
        <v>63</v>
      </c>
      <c r="AS209" s="222" t="s">
        <v>58</v>
      </c>
      <c r="BB209" s="9" t="s">
        <v>72</v>
      </c>
      <c r="BC209" s="11">
        <f>0.9*BC217</f>
        <v>56.7</v>
      </c>
      <c r="BD209" s="231">
        <v>40</v>
      </c>
      <c r="BE209" s="232" t="s">
        <v>597</v>
      </c>
      <c r="CB209" s="41" t="str">
        <f t="shared" si="120"/>
        <v>NSX4004400</v>
      </c>
      <c r="CC209" s="213" t="s">
        <v>114</v>
      </c>
      <c r="CD209" s="187">
        <v>4</v>
      </c>
      <c r="CE209" s="214">
        <v>400</v>
      </c>
      <c r="CF209" s="214"/>
      <c r="CG209" s="201" t="s">
        <v>288</v>
      </c>
      <c r="DH209" s="22"/>
      <c r="DI209" s="22"/>
      <c r="DJ209" s="22"/>
      <c r="DK209" s="344"/>
      <c r="DL209" s="375" t="str">
        <f t="shared" si="121"/>
        <v>IT3200</v>
      </c>
      <c r="DM209" s="376" t="s">
        <v>151</v>
      </c>
      <c r="DN209" s="376">
        <v>3</v>
      </c>
      <c r="DO209" s="376">
        <v>200</v>
      </c>
      <c r="DP209" s="376">
        <v>1</v>
      </c>
      <c r="DQ209" s="377" t="s">
        <v>393</v>
      </c>
      <c r="DR209" s="358"/>
      <c r="DS209" s="358"/>
      <c r="DT209" s="358"/>
      <c r="DU209" s="358"/>
      <c r="DV209" s="358"/>
      <c r="DW209" s="358"/>
      <c r="DX209" s="358"/>
      <c r="DY209" s="358"/>
      <c r="DZ209" s="358"/>
      <c r="EA209" s="358"/>
      <c r="EB209" s="358"/>
      <c r="EC209" s="358"/>
      <c r="ED209" s="358"/>
      <c r="EE209" s="358"/>
      <c r="EF209" s="22"/>
      <c r="EG209" s="22"/>
      <c r="EH209" s="22"/>
      <c r="EI209" s="22"/>
      <c r="EJ209" s="22"/>
      <c r="EK209" s="22"/>
      <c r="EL209" s="22"/>
      <c r="EM209" s="22"/>
      <c r="EN209" s="344"/>
      <c r="EO209" s="344"/>
      <c r="EP209" s="22"/>
      <c r="EQ209" s="22"/>
      <c r="ER209" s="22"/>
      <c r="EU209" s="344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</row>
    <row r="210" spans="27:161" x14ac:dyDescent="0.2">
      <c r="AA210" s="8"/>
      <c r="AB210" s="437"/>
      <c r="AE210" s="8" t="s">
        <v>489</v>
      </c>
      <c r="AF210" s="107">
        <v>25</v>
      </c>
      <c r="AJ210" s="102" t="str">
        <f t="shared" si="118"/>
        <v>NG125L3</v>
      </c>
      <c r="AK210" s="201" t="s">
        <v>330</v>
      </c>
      <c r="AL210" s="240">
        <v>3</v>
      </c>
      <c r="AM210" s="240">
        <v>16</v>
      </c>
      <c r="AO210" s="102" t="str">
        <f t="shared" si="119"/>
        <v>NG125L463</v>
      </c>
      <c r="AP210" s="222" t="s">
        <v>330</v>
      </c>
      <c r="AQ210" s="222">
        <v>4</v>
      </c>
      <c r="AR210" s="256">
        <v>63</v>
      </c>
      <c r="AS210" s="222" t="s">
        <v>59</v>
      </c>
      <c r="BB210" s="9" t="s">
        <v>72</v>
      </c>
      <c r="BC210" s="11">
        <f>0.92*BC217</f>
        <v>57.96</v>
      </c>
      <c r="BD210" s="231">
        <v>40</v>
      </c>
      <c r="BE210" s="232" t="s">
        <v>598</v>
      </c>
      <c r="CB210" s="41" t="str">
        <f t="shared" si="120"/>
        <v>NSX4004400</v>
      </c>
      <c r="CC210" s="213" t="s">
        <v>114</v>
      </c>
      <c r="CD210" s="187">
        <v>4</v>
      </c>
      <c r="CE210" s="214">
        <v>400</v>
      </c>
      <c r="CF210" s="214"/>
      <c r="CG210" s="201" t="s">
        <v>297</v>
      </c>
      <c r="DH210" s="22"/>
      <c r="DI210" s="22"/>
      <c r="DJ210" s="22"/>
      <c r="DK210" s="344"/>
      <c r="DL210" s="375" t="str">
        <f t="shared" si="121"/>
        <v>IT3250</v>
      </c>
      <c r="DM210" s="376" t="s">
        <v>151</v>
      </c>
      <c r="DN210" s="376">
        <v>3</v>
      </c>
      <c r="DO210" s="376">
        <v>250</v>
      </c>
      <c r="DP210" s="376">
        <v>1</v>
      </c>
      <c r="DQ210" s="377" t="s">
        <v>394</v>
      </c>
      <c r="DR210" s="358"/>
      <c r="DS210" s="358"/>
      <c r="DT210" s="358"/>
      <c r="DU210" s="358"/>
      <c r="DV210" s="358"/>
      <c r="DW210" s="358"/>
      <c r="DX210" s="358"/>
      <c r="DY210" s="358"/>
      <c r="DZ210" s="358"/>
      <c r="EA210" s="358"/>
      <c r="EB210" s="358"/>
      <c r="EC210" s="358"/>
      <c r="ED210" s="358"/>
      <c r="EE210" s="358"/>
      <c r="EF210" s="22"/>
      <c r="EG210" s="22"/>
      <c r="EH210" s="22"/>
      <c r="EI210" s="22"/>
      <c r="EJ210" s="22"/>
      <c r="EK210" s="22"/>
      <c r="EL210" s="22"/>
      <c r="EM210" s="22"/>
      <c r="EN210" s="344"/>
      <c r="EO210" s="344"/>
      <c r="EP210" s="22"/>
      <c r="EQ210" s="22"/>
      <c r="ER210" s="22"/>
      <c r="EU210" s="344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</row>
    <row r="211" spans="27:161" x14ac:dyDescent="0.2">
      <c r="AA211" s="49"/>
      <c r="AB211" s="437"/>
      <c r="AE211" s="8" t="s">
        <v>489</v>
      </c>
      <c r="AF211" s="107">
        <v>32</v>
      </c>
      <c r="AJ211" s="102" t="str">
        <f t="shared" si="118"/>
        <v>NG125L3</v>
      </c>
      <c r="AK211" s="201" t="s">
        <v>330</v>
      </c>
      <c r="AL211" s="240">
        <v>3</v>
      </c>
      <c r="AM211" s="240">
        <v>20</v>
      </c>
      <c r="AO211" s="102" t="str">
        <f t="shared" si="119"/>
        <v>NG125L1125</v>
      </c>
      <c r="AP211" s="222" t="s">
        <v>330</v>
      </c>
      <c r="AQ211" s="222">
        <v>1</v>
      </c>
      <c r="AR211" s="256">
        <v>125</v>
      </c>
      <c r="AS211" s="222" t="s">
        <v>57</v>
      </c>
      <c r="BB211" s="9" t="s">
        <v>72</v>
      </c>
      <c r="BC211" s="11">
        <f>0.93*BC217</f>
        <v>58.59</v>
      </c>
      <c r="BD211" s="231">
        <v>40</v>
      </c>
      <c r="BE211" s="232" t="s">
        <v>290</v>
      </c>
      <c r="CB211" s="41" t="str">
        <f t="shared" si="120"/>
        <v>NSX4004400</v>
      </c>
      <c r="CC211" s="213" t="s">
        <v>114</v>
      </c>
      <c r="CD211" s="187">
        <v>4</v>
      </c>
      <c r="CE211" s="214">
        <v>400</v>
      </c>
      <c r="CF211" s="214"/>
      <c r="CG211" s="201" t="s">
        <v>289</v>
      </c>
      <c r="DH211" s="22"/>
      <c r="DI211" s="22"/>
      <c r="DJ211" s="22"/>
      <c r="DK211" s="344"/>
      <c r="DL211" s="375" t="str">
        <f t="shared" si="121"/>
        <v>IT3400</v>
      </c>
      <c r="DM211" s="376" t="s">
        <v>151</v>
      </c>
      <c r="DN211" s="376">
        <v>3</v>
      </c>
      <c r="DO211" s="376">
        <v>400</v>
      </c>
      <c r="DP211" s="376">
        <v>2</v>
      </c>
      <c r="DQ211" s="377" t="s">
        <v>393</v>
      </c>
      <c r="DR211" s="358"/>
      <c r="DS211" s="358"/>
      <c r="DT211" s="358"/>
      <c r="DU211" s="358"/>
      <c r="DV211" s="358"/>
      <c r="DW211" s="358"/>
      <c r="DX211" s="358"/>
      <c r="DY211" s="358"/>
      <c r="DZ211" s="358"/>
      <c r="EA211" s="358"/>
      <c r="EB211" s="358"/>
      <c r="EC211" s="358"/>
      <c r="ED211" s="358"/>
      <c r="EE211" s="358"/>
      <c r="EF211" s="22"/>
      <c r="EG211" s="22"/>
      <c r="EH211" s="22"/>
      <c r="EI211" s="22"/>
      <c r="EJ211" s="22"/>
      <c r="EK211" s="22"/>
      <c r="EL211" s="22"/>
      <c r="EM211" s="22"/>
      <c r="EN211" s="344"/>
      <c r="EO211" s="344"/>
      <c r="EP211" s="22"/>
      <c r="EQ211" s="22"/>
      <c r="ER211" s="22"/>
      <c r="EU211" s="344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</row>
    <row r="212" spans="27:161" x14ac:dyDescent="0.2">
      <c r="AA212" s="49"/>
      <c r="AB212" s="437"/>
      <c r="AE212" s="8" t="s">
        <v>489</v>
      </c>
      <c r="AF212" s="107">
        <v>40</v>
      </c>
      <c r="AJ212" s="102" t="str">
        <f t="shared" si="118"/>
        <v>NG125L3</v>
      </c>
      <c r="AK212" s="201" t="s">
        <v>330</v>
      </c>
      <c r="AL212" s="240">
        <v>3</v>
      </c>
      <c r="AM212" s="240">
        <v>25</v>
      </c>
      <c r="AO212" s="102" t="str">
        <f t="shared" si="119"/>
        <v>NG125L1125</v>
      </c>
      <c r="AP212" s="222" t="s">
        <v>330</v>
      </c>
      <c r="AQ212" s="222">
        <v>1</v>
      </c>
      <c r="AR212" s="256">
        <v>125</v>
      </c>
      <c r="AS212" s="222" t="s">
        <v>58</v>
      </c>
      <c r="BB212" s="9" t="s">
        <v>72</v>
      </c>
      <c r="BC212" s="11">
        <f>0.94*BC217</f>
        <v>59.22</v>
      </c>
      <c r="BD212" s="231">
        <v>40</v>
      </c>
      <c r="BE212" s="232" t="s">
        <v>287</v>
      </c>
      <c r="CB212" s="41" t="str">
        <f t="shared" si="120"/>
        <v>NSX4004400</v>
      </c>
      <c r="CC212" s="213" t="s">
        <v>114</v>
      </c>
      <c r="CD212" s="187">
        <v>4</v>
      </c>
      <c r="CE212" s="214">
        <v>400</v>
      </c>
      <c r="CF212" s="214"/>
      <c r="CG212" s="201" t="s">
        <v>299</v>
      </c>
      <c r="DH212" s="22"/>
      <c r="DI212" s="22"/>
      <c r="DJ212" s="22"/>
      <c r="DK212" s="344"/>
      <c r="DL212" s="375" t="str">
        <f t="shared" si="121"/>
        <v>IT3630</v>
      </c>
      <c r="DM212" s="376" t="s">
        <v>151</v>
      </c>
      <c r="DN212" s="376">
        <v>3</v>
      </c>
      <c r="DO212" s="376">
        <v>630</v>
      </c>
      <c r="DP212" s="376">
        <v>2</v>
      </c>
      <c r="DQ212" s="377" t="s">
        <v>396</v>
      </c>
      <c r="DR212" s="358"/>
      <c r="DS212" s="358"/>
      <c r="DT212" s="358"/>
      <c r="DU212" s="358"/>
      <c r="DV212" s="358"/>
      <c r="DW212" s="358"/>
      <c r="DX212" s="358"/>
      <c r="DY212" s="358"/>
      <c r="DZ212" s="358"/>
      <c r="EA212" s="358"/>
      <c r="EB212" s="358"/>
      <c r="EC212" s="358"/>
      <c r="ED212" s="358"/>
      <c r="EE212" s="358"/>
      <c r="EF212" s="22"/>
      <c r="EG212" s="22"/>
      <c r="EH212" s="22"/>
      <c r="EI212" s="22"/>
      <c r="EJ212" s="22"/>
      <c r="EK212" s="22"/>
      <c r="EL212" s="22"/>
      <c r="EM212" s="22"/>
      <c r="EN212" s="344"/>
      <c r="EO212" s="344"/>
      <c r="EP212" s="22"/>
      <c r="EQ212" s="22"/>
      <c r="ER212" s="22"/>
      <c r="EU212" s="344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</row>
    <row r="213" spans="27:161" x14ac:dyDescent="0.2">
      <c r="AA213" s="49"/>
      <c r="AB213" s="437"/>
      <c r="AE213" s="8" t="s">
        <v>489</v>
      </c>
      <c r="AF213" s="107">
        <v>50</v>
      </c>
      <c r="AJ213" s="102" t="str">
        <f t="shared" si="118"/>
        <v>NG125L3</v>
      </c>
      <c r="AK213" s="201" t="s">
        <v>330</v>
      </c>
      <c r="AL213" s="240">
        <v>3</v>
      </c>
      <c r="AM213" s="240">
        <v>32</v>
      </c>
      <c r="AO213" s="102" t="str">
        <f t="shared" si="119"/>
        <v>NG125L1125</v>
      </c>
      <c r="AP213" s="222" t="s">
        <v>330</v>
      </c>
      <c r="AQ213" s="222">
        <v>1</v>
      </c>
      <c r="AR213" s="256">
        <v>125</v>
      </c>
      <c r="AS213" s="222" t="s">
        <v>59</v>
      </c>
      <c r="BB213" s="9" t="s">
        <v>72</v>
      </c>
      <c r="BC213" s="11">
        <f>0.95*BC217</f>
        <v>59.849999999999994</v>
      </c>
      <c r="BD213" s="231">
        <v>40</v>
      </c>
      <c r="BE213" s="232" t="s">
        <v>291</v>
      </c>
      <c r="CB213" s="41" t="str">
        <f t="shared" si="120"/>
        <v>NSX6304630</v>
      </c>
      <c r="CC213" s="213" t="s">
        <v>115</v>
      </c>
      <c r="CD213" s="187">
        <v>4</v>
      </c>
      <c r="CE213" s="214">
        <v>630</v>
      </c>
      <c r="CF213" s="214"/>
      <c r="CG213" s="201" t="s">
        <v>30</v>
      </c>
      <c r="DH213" s="22"/>
      <c r="DI213" s="22"/>
      <c r="DJ213" s="22"/>
      <c r="DK213" s="344"/>
      <c r="DL213" s="361"/>
      <c r="EF213" s="22"/>
      <c r="EG213" s="22"/>
      <c r="EH213" s="22"/>
      <c r="EI213" s="22"/>
      <c r="EJ213" s="22"/>
      <c r="EK213" s="22"/>
      <c r="EL213" s="22"/>
      <c r="EM213" s="22"/>
      <c r="EN213" s="344"/>
      <c r="EO213" s="344"/>
      <c r="EP213" s="22"/>
      <c r="EQ213" s="22"/>
      <c r="ER213" s="22"/>
      <c r="EU213" s="344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</row>
    <row r="214" spans="27:161" x14ac:dyDescent="0.2">
      <c r="AA214" s="49"/>
      <c r="AB214" s="437"/>
      <c r="AE214" s="8" t="s">
        <v>489</v>
      </c>
      <c r="AF214" s="107">
        <v>63</v>
      </c>
      <c r="AJ214" s="102" t="str">
        <f t="shared" si="118"/>
        <v>NG125L3</v>
      </c>
      <c r="AK214" s="201" t="s">
        <v>330</v>
      </c>
      <c r="AL214" s="240">
        <v>3</v>
      </c>
      <c r="AM214" s="240">
        <v>40</v>
      </c>
      <c r="AO214" s="102" t="str">
        <f t="shared" si="119"/>
        <v>NG125L2125</v>
      </c>
      <c r="AP214" s="222" t="s">
        <v>330</v>
      </c>
      <c r="AQ214" s="222">
        <v>2</v>
      </c>
      <c r="AR214" s="256">
        <v>125</v>
      </c>
      <c r="AS214" s="222" t="s">
        <v>57</v>
      </c>
      <c r="BB214" s="9" t="s">
        <v>72</v>
      </c>
      <c r="BC214" s="11">
        <f>0.96*BC217</f>
        <v>60.48</v>
      </c>
      <c r="BD214" s="231">
        <v>40</v>
      </c>
      <c r="BE214" s="232" t="s">
        <v>300</v>
      </c>
      <c r="CB214" s="41" t="str">
        <f t="shared" si="120"/>
        <v>NSX6304630</v>
      </c>
      <c r="CC214" s="213" t="s">
        <v>115</v>
      </c>
      <c r="CD214" s="187">
        <v>4</v>
      </c>
      <c r="CE214" s="214">
        <v>630</v>
      </c>
      <c r="CF214" s="214"/>
      <c r="CG214" s="201" t="s">
        <v>251</v>
      </c>
      <c r="DH214" s="22"/>
      <c r="DI214" s="22"/>
      <c r="DJ214" s="22"/>
      <c r="DK214" s="344"/>
      <c r="DL214" s="361"/>
      <c r="EF214" s="22"/>
      <c r="EG214" s="22"/>
      <c r="EH214" s="22"/>
      <c r="EI214" s="22"/>
      <c r="EJ214" s="22"/>
      <c r="EK214" s="22"/>
      <c r="EL214" s="22"/>
      <c r="EM214" s="22"/>
      <c r="EN214" s="344"/>
      <c r="EO214" s="344"/>
      <c r="EP214" s="22"/>
      <c r="EQ214" s="22"/>
      <c r="ER214" s="22"/>
      <c r="EU214" s="344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</row>
    <row r="215" spans="27:161" x14ac:dyDescent="0.2">
      <c r="AA215" s="49"/>
      <c r="AB215" s="437"/>
      <c r="AE215" s="8" t="s">
        <v>489</v>
      </c>
      <c r="AF215" s="107">
        <v>80</v>
      </c>
      <c r="AJ215" s="102" t="str">
        <f t="shared" si="118"/>
        <v>NG125L3</v>
      </c>
      <c r="AK215" s="201" t="s">
        <v>330</v>
      </c>
      <c r="AL215" s="240">
        <v>3</v>
      </c>
      <c r="AM215" s="240">
        <v>50</v>
      </c>
      <c r="AO215" s="102" t="str">
        <f t="shared" si="119"/>
        <v>NG125L2125</v>
      </c>
      <c r="AP215" s="222" t="s">
        <v>330</v>
      </c>
      <c r="AQ215" s="222">
        <v>2</v>
      </c>
      <c r="AR215" s="256">
        <v>125</v>
      </c>
      <c r="AS215" s="222" t="s">
        <v>58</v>
      </c>
      <c r="BB215" s="9" t="s">
        <v>72</v>
      </c>
      <c r="BC215" s="11">
        <f>0.97*BC217</f>
        <v>61.11</v>
      </c>
      <c r="BD215" s="231">
        <v>40</v>
      </c>
      <c r="BE215" s="232" t="s">
        <v>292</v>
      </c>
      <c r="CB215" s="41" t="str">
        <f t="shared" si="120"/>
        <v>NSX6304630</v>
      </c>
      <c r="CC215" s="213" t="s">
        <v>115</v>
      </c>
      <c r="CD215" s="187">
        <v>4</v>
      </c>
      <c r="CE215" s="214">
        <v>630</v>
      </c>
      <c r="CF215" s="214"/>
      <c r="CG215" s="201" t="s">
        <v>298</v>
      </c>
      <c r="DH215" s="22"/>
      <c r="DI215" s="22"/>
      <c r="DJ215" s="22"/>
      <c r="DK215" s="344"/>
      <c r="DL215" s="361"/>
      <c r="EF215" s="22"/>
      <c r="EG215" s="22"/>
      <c r="EH215" s="22"/>
      <c r="EI215" s="22"/>
      <c r="EJ215" s="22"/>
      <c r="EK215" s="22"/>
      <c r="EL215" s="22"/>
      <c r="EM215" s="22"/>
      <c r="EN215" s="344"/>
      <c r="EO215" s="344"/>
      <c r="EP215" s="22"/>
      <c r="EQ215" s="22"/>
      <c r="ER215" s="22"/>
      <c r="EU215" s="344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</row>
    <row r="216" spans="27:161" x14ac:dyDescent="0.2">
      <c r="AA216" s="8"/>
      <c r="AB216" s="437"/>
      <c r="AE216" s="8" t="s">
        <v>489</v>
      </c>
      <c r="AF216" s="107">
        <v>100</v>
      </c>
      <c r="AJ216" s="102" t="str">
        <f t="shared" si="118"/>
        <v>NG125L3</v>
      </c>
      <c r="AK216" s="201" t="s">
        <v>330</v>
      </c>
      <c r="AL216" s="240">
        <v>3</v>
      </c>
      <c r="AM216" s="240">
        <v>63</v>
      </c>
      <c r="AO216" s="102" t="str">
        <f t="shared" si="119"/>
        <v>NG125L2125</v>
      </c>
      <c r="AP216" s="222" t="s">
        <v>330</v>
      </c>
      <c r="AQ216" s="222">
        <v>2</v>
      </c>
      <c r="AR216" s="256">
        <v>125</v>
      </c>
      <c r="AS216" s="222" t="s">
        <v>59</v>
      </c>
      <c r="BB216" s="9" t="s">
        <v>72</v>
      </c>
      <c r="BC216" s="11">
        <f>0.98*BC217</f>
        <v>61.74</v>
      </c>
      <c r="BD216" s="231">
        <v>50</v>
      </c>
      <c r="BE216" s="233" t="s">
        <v>30</v>
      </c>
      <c r="CB216" s="41" t="str">
        <f t="shared" si="120"/>
        <v>NSX6304630</v>
      </c>
      <c r="CC216" s="213" t="s">
        <v>115</v>
      </c>
      <c r="CD216" s="187">
        <v>4</v>
      </c>
      <c r="CE216" s="214">
        <v>630</v>
      </c>
      <c r="CF216" s="214"/>
      <c r="CG216" s="201" t="s">
        <v>288</v>
      </c>
      <c r="DH216" s="22"/>
      <c r="DI216" s="22"/>
      <c r="DJ216" s="22"/>
      <c r="DK216" s="344"/>
      <c r="DL216" s="361"/>
      <c r="EF216" s="22"/>
      <c r="EG216" s="22"/>
      <c r="EH216" s="22"/>
      <c r="EI216" s="22"/>
      <c r="EJ216" s="22"/>
      <c r="EK216" s="22"/>
      <c r="EL216" s="22"/>
      <c r="EM216" s="22"/>
      <c r="EN216" s="344"/>
      <c r="EO216" s="344"/>
      <c r="EP216" s="22"/>
      <c r="EQ216" s="22"/>
      <c r="ER216" s="22"/>
      <c r="EU216" s="344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</row>
    <row r="217" spans="27:161" x14ac:dyDescent="0.2">
      <c r="AA217" s="8"/>
      <c r="AB217" s="437"/>
      <c r="AC217" s="49"/>
      <c r="AE217" s="8" t="s">
        <v>130</v>
      </c>
      <c r="AF217" s="107">
        <v>125</v>
      </c>
      <c r="AJ217" s="102" t="str">
        <f t="shared" si="118"/>
        <v>NG125L3</v>
      </c>
      <c r="AK217" s="201" t="s">
        <v>330</v>
      </c>
      <c r="AL217" s="240">
        <v>3</v>
      </c>
      <c r="AM217" s="240">
        <v>80</v>
      </c>
      <c r="AO217" s="102" t="str">
        <f t="shared" si="119"/>
        <v>NG125L3125</v>
      </c>
      <c r="AP217" s="222" t="s">
        <v>330</v>
      </c>
      <c r="AQ217" s="222">
        <v>3</v>
      </c>
      <c r="AR217" s="256">
        <v>125</v>
      </c>
      <c r="AS217" s="222" t="s">
        <v>57</v>
      </c>
      <c r="BB217" s="9" t="s">
        <v>72</v>
      </c>
      <c r="BC217" s="11">
        <v>63</v>
      </c>
      <c r="BD217" s="231">
        <v>50</v>
      </c>
      <c r="BE217" s="232" t="s">
        <v>595</v>
      </c>
      <c r="BF217" s="18"/>
      <c r="BG217" s="18"/>
      <c r="BH217" s="18"/>
      <c r="BI217" s="18"/>
      <c r="BJ217" s="18"/>
      <c r="BK217" s="18"/>
      <c r="CB217" s="41" t="str">
        <f t="shared" si="120"/>
        <v>NSX6304630</v>
      </c>
      <c r="CC217" s="213" t="s">
        <v>115</v>
      </c>
      <c r="CD217" s="187">
        <v>4</v>
      </c>
      <c r="CE217" s="214">
        <v>630</v>
      </c>
      <c r="CF217" s="214"/>
      <c r="CG217" s="201" t="s">
        <v>297</v>
      </c>
      <c r="CH217" s="18"/>
      <c r="CI217" s="18"/>
      <c r="CJ217" s="18"/>
      <c r="CK217" s="18"/>
      <c r="CL217" s="18"/>
      <c r="CM217" s="18"/>
      <c r="CN217" s="18"/>
      <c r="DH217" s="22"/>
      <c r="DI217" s="22"/>
      <c r="DJ217" s="22"/>
      <c r="DK217" s="344"/>
      <c r="DL217" s="361"/>
      <c r="EF217" s="22"/>
      <c r="EG217" s="22"/>
      <c r="EH217" s="22"/>
      <c r="EI217" s="22"/>
      <c r="EJ217" s="22"/>
      <c r="EK217" s="22"/>
      <c r="EL217" s="22"/>
      <c r="EM217" s="22"/>
      <c r="EN217" s="344"/>
      <c r="EO217" s="344"/>
      <c r="EP217" s="22"/>
      <c r="EQ217" s="22"/>
      <c r="ER217" s="22"/>
      <c r="EU217" s="344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</row>
    <row r="218" spans="27:161" x14ac:dyDescent="0.2">
      <c r="AA218" s="8"/>
      <c r="AB218" s="437"/>
      <c r="AC218" s="49"/>
      <c r="AE218" s="8" t="s">
        <v>130</v>
      </c>
      <c r="AF218" s="107">
        <v>160</v>
      </c>
      <c r="AJ218" s="102" t="str">
        <f t="shared" si="118"/>
        <v>NG125L4</v>
      </c>
      <c r="AK218" s="201" t="s">
        <v>330</v>
      </c>
      <c r="AL218" s="240">
        <v>4</v>
      </c>
      <c r="AM218" s="240">
        <v>10</v>
      </c>
      <c r="AO218" s="102" t="str">
        <f t="shared" si="119"/>
        <v>NG125L3125</v>
      </c>
      <c r="AP218" s="222" t="s">
        <v>330</v>
      </c>
      <c r="AQ218" s="222">
        <v>3</v>
      </c>
      <c r="AR218" s="256">
        <v>125</v>
      </c>
      <c r="AS218" s="222" t="s">
        <v>58</v>
      </c>
      <c r="BB218" s="9" t="s">
        <v>72</v>
      </c>
      <c r="BC218" s="11">
        <f>0.92*BC225</f>
        <v>64.400000000000006</v>
      </c>
      <c r="BD218" s="231">
        <v>50</v>
      </c>
      <c r="BE218" s="232" t="s">
        <v>596</v>
      </c>
      <c r="CB218" s="41" t="str">
        <f t="shared" si="120"/>
        <v>NSX6304630</v>
      </c>
      <c r="CC218" s="213" t="s">
        <v>115</v>
      </c>
      <c r="CD218" s="187">
        <v>4</v>
      </c>
      <c r="CE218" s="214">
        <v>630</v>
      </c>
      <c r="CF218" s="214"/>
      <c r="CG218" s="201" t="s">
        <v>289</v>
      </c>
      <c r="DH218" s="22"/>
      <c r="DI218" s="22"/>
      <c r="DJ218" s="22"/>
      <c r="DK218" s="344"/>
      <c r="DL218" s="361"/>
      <c r="EF218" s="22"/>
      <c r="EG218" s="22"/>
      <c r="EH218" s="22"/>
      <c r="EI218" s="22"/>
      <c r="EJ218" s="22"/>
      <c r="EK218" s="22"/>
      <c r="EL218" s="22"/>
      <c r="EM218" s="22"/>
      <c r="EN218" s="344"/>
      <c r="EO218" s="344"/>
      <c r="EP218" s="22"/>
      <c r="EQ218" s="22"/>
      <c r="ER218" s="22"/>
      <c r="EU218" s="344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</row>
    <row r="219" spans="27:161" x14ac:dyDescent="0.2">
      <c r="AA219" s="8"/>
      <c r="AB219" s="437"/>
      <c r="AC219" s="49"/>
      <c r="AE219" s="8" t="s">
        <v>131</v>
      </c>
      <c r="AF219" s="107">
        <v>125</v>
      </c>
      <c r="AJ219" s="102" t="str">
        <f t="shared" si="118"/>
        <v>NG125L4</v>
      </c>
      <c r="AK219" s="201" t="s">
        <v>330</v>
      </c>
      <c r="AL219" s="240">
        <v>4</v>
      </c>
      <c r="AM219" s="240">
        <v>16</v>
      </c>
      <c r="AO219" s="102" t="str">
        <f t="shared" si="119"/>
        <v>NG125L3125</v>
      </c>
      <c r="AP219" s="222" t="s">
        <v>330</v>
      </c>
      <c r="AQ219" s="222">
        <v>3</v>
      </c>
      <c r="AR219" s="256">
        <v>125</v>
      </c>
      <c r="AS219" s="222" t="s">
        <v>59</v>
      </c>
      <c r="BB219" s="9" t="s">
        <v>72</v>
      </c>
      <c r="BC219" s="11">
        <f>0.93*BC225</f>
        <v>65.100000000000009</v>
      </c>
      <c r="BD219" s="231">
        <v>50</v>
      </c>
      <c r="BE219" s="232" t="s">
        <v>597</v>
      </c>
      <c r="CB219" s="41" t="str">
        <f t="shared" si="120"/>
        <v>NSX6304630</v>
      </c>
      <c r="CC219" s="213" t="s">
        <v>115</v>
      </c>
      <c r="CD219" s="187">
        <v>4</v>
      </c>
      <c r="CE219" s="214">
        <v>630</v>
      </c>
      <c r="CF219" s="214"/>
      <c r="CG219" s="201" t="s">
        <v>299</v>
      </c>
      <c r="DH219" s="22"/>
      <c r="DI219" s="22"/>
      <c r="DJ219" s="22"/>
      <c r="DK219" s="344"/>
      <c r="DL219" s="361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22"/>
      <c r="EG219" s="22"/>
      <c r="EH219" s="22"/>
      <c r="EI219" s="22"/>
      <c r="EJ219" s="22"/>
      <c r="EK219" s="22"/>
      <c r="EL219" s="22"/>
      <c r="EM219" s="22"/>
      <c r="EN219" s="344"/>
      <c r="EO219" s="344"/>
      <c r="EP219" s="22"/>
      <c r="EQ219" s="22"/>
      <c r="ER219" s="22"/>
      <c r="EU219" s="344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</row>
    <row r="220" spans="27:161" x14ac:dyDescent="0.2">
      <c r="AA220" s="8"/>
      <c r="AB220" s="437"/>
      <c r="AC220" s="49"/>
      <c r="AE220" s="8" t="s">
        <v>131</v>
      </c>
      <c r="AF220" s="107">
        <v>160</v>
      </c>
      <c r="AJ220" s="102" t="str">
        <f t="shared" si="118"/>
        <v>NG125L4</v>
      </c>
      <c r="AK220" s="201" t="s">
        <v>330</v>
      </c>
      <c r="AL220" s="240">
        <v>4</v>
      </c>
      <c r="AM220" s="240">
        <v>20</v>
      </c>
      <c r="AO220" s="102" t="str">
        <f t="shared" si="119"/>
        <v>NG125L4125</v>
      </c>
      <c r="AP220" s="222" t="s">
        <v>330</v>
      </c>
      <c r="AQ220" s="222">
        <v>4</v>
      </c>
      <c r="AR220" s="256">
        <v>125</v>
      </c>
      <c r="AS220" s="222" t="s">
        <v>57</v>
      </c>
      <c r="BB220" s="9" t="s">
        <v>72</v>
      </c>
      <c r="BC220" s="11">
        <f>0.94*BC225</f>
        <v>65.8</v>
      </c>
      <c r="BD220" s="231">
        <v>50</v>
      </c>
      <c r="BE220" s="232" t="s">
        <v>598</v>
      </c>
      <c r="CB220" s="41" t="str">
        <f t="shared" si="120"/>
        <v>DPN N46B</v>
      </c>
      <c r="CC220" s="187" t="s">
        <v>544</v>
      </c>
      <c r="CD220" s="187">
        <v>4</v>
      </c>
      <c r="CE220" s="187">
        <v>6</v>
      </c>
      <c r="CF220" s="187" t="s">
        <v>57</v>
      </c>
      <c r="CG220" s="190" t="s">
        <v>595</v>
      </c>
      <c r="DH220" s="22"/>
      <c r="DI220" s="22"/>
      <c r="DJ220" s="22"/>
      <c r="DK220" s="344"/>
      <c r="DL220" s="361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22"/>
      <c r="EG220" s="22"/>
      <c r="EH220" s="22"/>
      <c r="EI220" s="22"/>
      <c r="EJ220" s="22"/>
      <c r="EK220" s="22"/>
      <c r="EL220" s="22"/>
      <c r="EM220" s="22"/>
      <c r="EN220" s="344"/>
      <c r="EO220" s="344"/>
      <c r="EP220" s="22"/>
      <c r="EQ220" s="22"/>
      <c r="ER220" s="22"/>
      <c r="EU220" s="344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</row>
    <row r="221" spans="27:161" x14ac:dyDescent="0.2">
      <c r="AA221" s="8"/>
      <c r="AB221" s="437"/>
      <c r="AC221" s="49"/>
      <c r="AE221" s="8" t="s">
        <v>490</v>
      </c>
      <c r="AF221" s="107">
        <v>125</v>
      </c>
      <c r="AJ221" s="102" t="str">
        <f t="shared" si="118"/>
        <v>NG125L4</v>
      </c>
      <c r="AK221" s="201" t="s">
        <v>330</v>
      </c>
      <c r="AL221" s="240">
        <v>4</v>
      </c>
      <c r="AM221" s="240">
        <v>25</v>
      </c>
      <c r="AO221" s="102" t="str">
        <f t="shared" si="119"/>
        <v>NG125L4125</v>
      </c>
      <c r="AP221" s="222" t="s">
        <v>330</v>
      </c>
      <c r="AQ221" s="222">
        <v>4</v>
      </c>
      <c r="AR221" s="256">
        <v>125</v>
      </c>
      <c r="AS221" s="222" t="s">
        <v>58</v>
      </c>
      <c r="BB221" s="9" t="s">
        <v>72</v>
      </c>
      <c r="BC221" s="11">
        <f>0.95*BC225</f>
        <v>66.5</v>
      </c>
      <c r="BD221" s="231">
        <v>50</v>
      </c>
      <c r="BE221" s="232" t="s">
        <v>290</v>
      </c>
      <c r="CB221" s="41" t="str">
        <f t="shared" si="120"/>
        <v>DPN N46B</v>
      </c>
      <c r="CC221" s="214" t="s">
        <v>544</v>
      </c>
      <c r="CD221" s="214">
        <v>4</v>
      </c>
      <c r="CE221" s="214">
        <v>6</v>
      </c>
      <c r="CF221" s="214" t="s">
        <v>57</v>
      </c>
      <c r="CG221" s="201" t="s">
        <v>290</v>
      </c>
      <c r="DH221" s="22"/>
      <c r="DI221" s="22"/>
      <c r="DJ221" s="22"/>
      <c r="DK221" s="344"/>
      <c r="DL221" s="361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22"/>
      <c r="EG221" s="22"/>
      <c r="EH221" s="22"/>
      <c r="EI221" s="22"/>
      <c r="EJ221" s="22"/>
      <c r="EK221" s="22"/>
      <c r="EL221" s="22"/>
      <c r="EM221" s="22"/>
      <c r="EN221" s="344"/>
      <c r="EO221" s="344"/>
      <c r="EP221" s="22"/>
      <c r="EQ221" s="22"/>
      <c r="ER221" s="22"/>
      <c r="EU221" s="344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</row>
    <row r="222" spans="27:161" x14ac:dyDescent="0.2">
      <c r="AA222" s="8"/>
      <c r="AB222" s="437"/>
      <c r="AC222" s="49"/>
      <c r="AE222" s="8" t="s">
        <v>490</v>
      </c>
      <c r="AF222" s="107">
        <v>160</v>
      </c>
      <c r="AJ222" s="102" t="str">
        <f t="shared" si="118"/>
        <v>NG125L4</v>
      </c>
      <c r="AK222" s="201" t="s">
        <v>330</v>
      </c>
      <c r="AL222" s="240">
        <v>4</v>
      </c>
      <c r="AM222" s="240">
        <v>32</v>
      </c>
      <c r="AO222" s="102" t="str">
        <f t="shared" si="119"/>
        <v>NG125L4125</v>
      </c>
      <c r="AP222" s="222" t="s">
        <v>330</v>
      </c>
      <c r="AQ222" s="222">
        <v>4</v>
      </c>
      <c r="AR222" s="256">
        <v>125</v>
      </c>
      <c r="AS222" s="222" t="s">
        <v>59</v>
      </c>
      <c r="BB222" s="9" t="s">
        <v>72</v>
      </c>
      <c r="BC222" s="11">
        <f>0.96*BC225</f>
        <v>67.2</v>
      </c>
      <c r="BD222" s="231">
        <v>50</v>
      </c>
      <c r="BE222" s="232" t="s">
        <v>287</v>
      </c>
      <c r="CB222" s="41" t="str">
        <f t="shared" si="120"/>
        <v>DPN N410B</v>
      </c>
      <c r="CC222" s="214" t="s">
        <v>544</v>
      </c>
      <c r="CD222" s="214">
        <v>4</v>
      </c>
      <c r="CE222" s="214">
        <v>10</v>
      </c>
      <c r="CF222" s="214" t="s">
        <v>57</v>
      </c>
      <c r="CG222" s="201" t="s">
        <v>595</v>
      </c>
      <c r="DH222" s="22"/>
      <c r="DI222" s="22"/>
      <c r="DJ222" s="22"/>
      <c r="DK222" s="344"/>
      <c r="DL222" s="361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22"/>
      <c r="EG222" s="22"/>
      <c r="EH222" s="22"/>
      <c r="EI222" s="22"/>
      <c r="EJ222" s="22"/>
      <c r="EK222" s="22"/>
      <c r="EL222" s="22"/>
      <c r="EM222" s="22"/>
      <c r="EN222" s="344"/>
      <c r="EO222" s="344"/>
      <c r="EP222" s="22"/>
      <c r="EQ222" s="22"/>
      <c r="ER222" s="22"/>
      <c r="EU222" s="344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</row>
    <row r="223" spans="27:161" x14ac:dyDescent="0.2">
      <c r="AA223" s="8"/>
      <c r="AB223" s="437"/>
      <c r="AC223" s="49"/>
      <c r="AE223" s="8" t="s">
        <v>132</v>
      </c>
      <c r="AF223" s="107">
        <v>200</v>
      </c>
      <c r="AJ223" s="102" t="str">
        <f t="shared" si="118"/>
        <v>NG125L4</v>
      </c>
      <c r="AK223" s="201" t="s">
        <v>330</v>
      </c>
      <c r="AL223" s="240">
        <v>4</v>
      </c>
      <c r="AM223" s="240">
        <v>40</v>
      </c>
      <c r="AO223" s="102" t="str">
        <f t="shared" si="119"/>
        <v>iSW</v>
      </c>
      <c r="AP223" s="222" t="s">
        <v>149</v>
      </c>
      <c r="AQ223" s="222"/>
      <c r="AR223" s="256"/>
      <c r="AS223" s="222" t="s">
        <v>30</v>
      </c>
      <c r="BB223" s="9" t="s">
        <v>72</v>
      </c>
      <c r="BC223" s="11">
        <f>0.97*BC225</f>
        <v>67.899999999999991</v>
      </c>
      <c r="BD223" s="231">
        <v>50</v>
      </c>
      <c r="BE223" s="232" t="s">
        <v>291</v>
      </c>
      <c r="CB223" s="41" t="str">
        <f t="shared" si="120"/>
        <v>DPN N410B</v>
      </c>
      <c r="CC223" s="214" t="s">
        <v>544</v>
      </c>
      <c r="CD223" s="214">
        <v>4</v>
      </c>
      <c r="CE223" s="214">
        <v>10</v>
      </c>
      <c r="CF223" s="214" t="s">
        <v>57</v>
      </c>
      <c r="CG223" s="201" t="s">
        <v>290</v>
      </c>
      <c r="DH223" s="22"/>
      <c r="DI223" s="22"/>
      <c r="DJ223" s="22"/>
      <c r="DK223" s="344"/>
      <c r="DL223" s="361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22"/>
      <c r="EG223" s="22"/>
      <c r="EH223" s="22"/>
      <c r="EI223" s="22"/>
      <c r="EJ223" s="22"/>
      <c r="EK223" s="22"/>
      <c r="EL223" s="22"/>
      <c r="EM223" s="22"/>
      <c r="EN223" s="344"/>
      <c r="EO223" s="344"/>
      <c r="EP223" s="22"/>
      <c r="EQ223" s="22"/>
      <c r="ER223" s="22"/>
      <c r="EU223" s="344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</row>
    <row r="224" spans="27:161" x14ac:dyDescent="0.2">
      <c r="AA224" s="8"/>
      <c r="AB224" s="437"/>
      <c r="AC224" s="49"/>
      <c r="AE224" s="8" t="s">
        <v>132</v>
      </c>
      <c r="AF224" s="107">
        <v>250</v>
      </c>
      <c r="AJ224" s="102" t="str">
        <f t="shared" si="118"/>
        <v>NG125L4</v>
      </c>
      <c r="AK224" s="201" t="s">
        <v>330</v>
      </c>
      <c r="AL224" s="240">
        <v>4</v>
      </c>
      <c r="AM224" s="240">
        <v>50</v>
      </c>
      <c r="AO224" s="102" t="str">
        <f t="shared" si="119"/>
        <v>iID</v>
      </c>
      <c r="AP224" s="222" t="s">
        <v>150</v>
      </c>
      <c r="AQ224" s="222"/>
      <c r="AR224" s="256"/>
      <c r="AS224" s="222" t="s">
        <v>30</v>
      </c>
      <c r="BB224" s="9" t="s">
        <v>72</v>
      </c>
      <c r="BC224" s="11">
        <f>0.98*BC225</f>
        <v>68.599999999999994</v>
      </c>
      <c r="BD224" s="231">
        <v>50</v>
      </c>
      <c r="BE224" s="232" t="s">
        <v>300</v>
      </c>
      <c r="CB224" s="41" t="str">
        <f t="shared" si="120"/>
        <v>DPN N413B</v>
      </c>
      <c r="CC224" s="214" t="s">
        <v>544</v>
      </c>
      <c r="CD224" s="214">
        <v>4</v>
      </c>
      <c r="CE224" s="214">
        <v>13</v>
      </c>
      <c r="CF224" s="214" t="s">
        <v>57</v>
      </c>
      <c r="CG224" s="201" t="s">
        <v>290</v>
      </c>
      <c r="DH224" s="22"/>
      <c r="DI224" s="22"/>
      <c r="DJ224" s="22"/>
      <c r="DK224" s="344"/>
      <c r="DL224" s="361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22"/>
      <c r="EG224" s="22"/>
      <c r="EH224" s="22"/>
      <c r="EI224" s="22"/>
      <c r="EJ224" s="22"/>
      <c r="EK224" s="22"/>
      <c r="EL224" s="22"/>
      <c r="EM224" s="22"/>
      <c r="EN224" s="344"/>
      <c r="EO224" s="344"/>
      <c r="EP224" s="22"/>
      <c r="EQ224" s="22"/>
      <c r="ER224" s="22"/>
      <c r="EU224" s="344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</row>
    <row r="225" spans="27:161" x14ac:dyDescent="0.2">
      <c r="AA225" s="8"/>
      <c r="AB225" s="437"/>
      <c r="AC225" s="49"/>
      <c r="AE225" s="8" t="s">
        <v>133</v>
      </c>
      <c r="AF225" s="107">
        <v>200</v>
      </c>
      <c r="AJ225" s="102" t="str">
        <f t="shared" si="118"/>
        <v>NG125L4</v>
      </c>
      <c r="AK225" s="201" t="s">
        <v>330</v>
      </c>
      <c r="AL225" s="240">
        <v>4</v>
      </c>
      <c r="AM225" s="240">
        <v>63</v>
      </c>
      <c r="AO225" s="102" t="str">
        <f t="shared" si="119"/>
        <v>DPN N6</v>
      </c>
      <c r="AP225" s="222" t="s">
        <v>544</v>
      </c>
      <c r="AQ225" s="222"/>
      <c r="AR225" s="256">
        <v>6</v>
      </c>
      <c r="AS225" s="222" t="s">
        <v>57</v>
      </c>
      <c r="BB225" s="9" t="s">
        <v>72</v>
      </c>
      <c r="BC225" s="11">
        <v>70</v>
      </c>
      <c r="BD225" s="231">
        <v>50</v>
      </c>
      <c r="BE225" s="232" t="s">
        <v>292</v>
      </c>
      <c r="CB225" s="41" t="str">
        <f t="shared" si="120"/>
        <v>DPN N416B</v>
      </c>
      <c r="CC225" s="214" t="s">
        <v>544</v>
      </c>
      <c r="CD225" s="214">
        <v>4</v>
      </c>
      <c r="CE225" s="214">
        <v>16</v>
      </c>
      <c r="CF225" s="214" t="s">
        <v>57</v>
      </c>
      <c r="CG225" s="201" t="s">
        <v>595</v>
      </c>
      <c r="DH225" s="22"/>
      <c r="DI225" s="22"/>
      <c r="DJ225" s="22"/>
      <c r="DK225" s="344"/>
      <c r="DL225" s="361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22"/>
      <c r="EG225" s="22"/>
      <c r="EH225" s="22"/>
      <c r="EI225" s="22"/>
      <c r="EJ225" s="22"/>
      <c r="EK225" s="22"/>
      <c r="EL225" s="22"/>
      <c r="EM225" s="22"/>
      <c r="EN225" s="344"/>
      <c r="EO225" s="344"/>
      <c r="EP225" s="22"/>
      <c r="EQ225" s="22"/>
      <c r="ER225" s="22"/>
      <c r="EU225" s="344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</row>
    <row r="226" spans="27:161" ht="13.5" thickBot="1" x14ac:dyDescent="0.25">
      <c r="AA226" s="8"/>
      <c r="AB226" s="437"/>
      <c r="AC226" s="49"/>
      <c r="AE226" s="8" t="s">
        <v>133</v>
      </c>
      <c r="AF226" s="107">
        <v>250</v>
      </c>
      <c r="AJ226" s="102" t="str">
        <f t="shared" si="118"/>
        <v>NG125L4</v>
      </c>
      <c r="AK226" s="217" t="s">
        <v>330</v>
      </c>
      <c r="AL226" s="241">
        <v>4</v>
      </c>
      <c r="AM226" s="241">
        <v>80</v>
      </c>
      <c r="AO226" s="102" t="str">
        <f t="shared" si="119"/>
        <v>DPN N6</v>
      </c>
      <c r="AP226" s="222" t="s">
        <v>544</v>
      </c>
      <c r="AQ226" s="256"/>
      <c r="AR226" s="256">
        <v>6</v>
      </c>
      <c r="AS226" s="222" t="s">
        <v>58</v>
      </c>
      <c r="BB226" s="9" t="s">
        <v>72</v>
      </c>
      <c r="BC226" s="11">
        <f>0.9*BC234</f>
        <v>72</v>
      </c>
      <c r="BD226" s="231">
        <v>63</v>
      </c>
      <c r="BE226" s="233" t="s">
        <v>30</v>
      </c>
      <c r="CB226" s="41" t="str">
        <f t="shared" si="120"/>
        <v>DPN N416B</v>
      </c>
      <c r="CC226" s="214" t="s">
        <v>544</v>
      </c>
      <c r="CD226" s="214">
        <v>4</v>
      </c>
      <c r="CE226" s="214">
        <v>16</v>
      </c>
      <c r="CF226" s="214" t="s">
        <v>57</v>
      </c>
      <c r="CG226" s="201" t="s">
        <v>290</v>
      </c>
      <c r="DH226" s="22"/>
      <c r="DI226" s="22"/>
      <c r="DJ226" s="22"/>
      <c r="DK226" s="344"/>
      <c r="DL226" s="361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22"/>
      <c r="EG226" s="22"/>
      <c r="EH226" s="22"/>
      <c r="EI226" s="22"/>
      <c r="EJ226" s="22"/>
      <c r="EK226" s="22"/>
      <c r="EL226" s="22"/>
      <c r="EM226" s="22"/>
      <c r="EN226" s="344"/>
      <c r="EO226" s="344"/>
      <c r="EP226" s="22"/>
      <c r="EQ226" s="22"/>
      <c r="ER226" s="22"/>
      <c r="EU226" s="344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</row>
    <row r="227" spans="27:161" ht="13.5" thickTop="1" x14ac:dyDescent="0.2">
      <c r="AA227" s="8"/>
      <c r="AB227" s="437"/>
      <c r="AC227" s="49"/>
      <c r="AE227" s="8" t="s">
        <v>491</v>
      </c>
      <c r="AF227" s="107">
        <v>200</v>
      </c>
      <c r="AJ227" s="102" t="str">
        <f t="shared" si="118"/>
        <v>NSX100</v>
      </c>
      <c r="AK227" s="190" t="s">
        <v>110</v>
      </c>
      <c r="AL227" s="190"/>
      <c r="AM227" s="242">
        <v>16</v>
      </c>
      <c r="AO227" s="102" t="str">
        <f t="shared" si="119"/>
        <v>DPN N10</v>
      </c>
      <c r="AP227" s="222" t="s">
        <v>544</v>
      </c>
      <c r="AQ227" s="222"/>
      <c r="AR227" s="256">
        <v>10</v>
      </c>
      <c r="AS227" s="222" t="s">
        <v>57</v>
      </c>
      <c r="BB227" s="9" t="s">
        <v>72</v>
      </c>
      <c r="BC227" s="11">
        <f>0.92*BC234</f>
        <v>73.600000000000009</v>
      </c>
      <c r="BD227" s="231">
        <v>63</v>
      </c>
      <c r="BE227" s="232" t="s">
        <v>595</v>
      </c>
      <c r="BF227" s="18"/>
      <c r="BG227" s="18"/>
      <c r="BH227" s="18"/>
      <c r="BI227" s="18"/>
      <c r="BJ227" s="18"/>
      <c r="BK227" s="18"/>
      <c r="CB227" s="41" t="str">
        <f t="shared" si="120"/>
        <v>DPN N420B</v>
      </c>
      <c r="CC227" s="214" t="s">
        <v>544</v>
      </c>
      <c r="CD227" s="214">
        <v>4</v>
      </c>
      <c r="CE227" s="214">
        <v>20</v>
      </c>
      <c r="CF227" s="214" t="s">
        <v>57</v>
      </c>
      <c r="CG227" s="201" t="s">
        <v>595</v>
      </c>
      <c r="CH227" s="18"/>
      <c r="CI227" s="18"/>
      <c r="CJ227" s="18"/>
      <c r="CK227" s="18"/>
      <c r="CL227" s="18"/>
      <c r="CM227" s="18"/>
      <c r="CN227" s="18"/>
      <c r="DH227" s="22"/>
      <c r="DI227" s="22"/>
      <c r="DJ227" s="22"/>
      <c r="DK227" s="344"/>
      <c r="DL227" s="361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22"/>
      <c r="EG227" s="22"/>
      <c r="EH227" s="22"/>
      <c r="EI227" s="22"/>
      <c r="EJ227" s="22"/>
      <c r="EK227" s="22"/>
      <c r="EL227" s="22"/>
      <c r="EM227" s="22"/>
      <c r="EN227" s="344"/>
      <c r="EO227" s="344"/>
      <c r="EP227" s="22"/>
      <c r="EQ227" s="22"/>
      <c r="ER227" s="22"/>
      <c r="EU227" s="344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</row>
    <row r="228" spans="27:161" x14ac:dyDescent="0.2">
      <c r="AA228" s="8"/>
      <c r="AB228" s="437"/>
      <c r="AC228" s="49"/>
      <c r="AE228" s="8" t="s">
        <v>491</v>
      </c>
      <c r="AF228" s="107">
        <v>250</v>
      </c>
      <c r="AJ228" s="102" t="str">
        <f t="shared" si="118"/>
        <v>NSX100</v>
      </c>
      <c r="AK228" s="201" t="s">
        <v>110</v>
      </c>
      <c r="AL228" s="201"/>
      <c r="AM228" s="240">
        <v>25</v>
      </c>
      <c r="AO228" s="102" t="str">
        <f t="shared" si="119"/>
        <v>DPN N10</v>
      </c>
      <c r="AP228" s="222" t="s">
        <v>544</v>
      </c>
      <c r="AQ228" s="256"/>
      <c r="AR228" s="256">
        <v>10</v>
      </c>
      <c r="AS228" s="222" t="s">
        <v>58</v>
      </c>
      <c r="BB228" s="9" t="s">
        <v>72</v>
      </c>
      <c r="BC228" s="11">
        <f>0.93*BC234</f>
        <v>74.400000000000006</v>
      </c>
      <c r="BD228" s="231">
        <v>63</v>
      </c>
      <c r="BE228" s="232" t="s">
        <v>596</v>
      </c>
      <c r="CB228" s="41" t="str">
        <f t="shared" si="120"/>
        <v>DPN N420B</v>
      </c>
      <c r="CC228" s="214" t="s">
        <v>544</v>
      </c>
      <c r="CD228" s="214">
        <v>4</v>
      </c>
      <c r="CE228" s="214">
        <v>20</v>
      </c>
      <c r="CF228" s="214" t="s">
        <v>57</v>
      </c>
      <c r="CG228" s="201" t="s">
        <v>290</v>
      </c>
      <c r="DH228" s="22"/>
      <c r="DI228" s="22"/>
      <c r="DJ228" s="22"/>
      <c r="DK228" s="344"/>
      <c r="DL228" s="361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22"/>
      <c r="EG228" s="22"/>
      <c r="EH228" s="22"/>
      <c r="EI228" s="22"/>
      <c r="EJ228" s="22"/>
      <c r="EK228" s="22"/>
      <c r="EL228" s="22"/>
      <c r="EM228" s="22"/>
      <c r="EN228" s="344"/>
      <c r="EO228" s="344"/>
      <c r="EP228" s="22"/>
      <c r="EQ228" s="22"/>
      <c r="ER228" s="22"/>
      <c r="EU228" s="344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</row>
    <row r="229" spans="27:161" x14ac:dyDescent="0.2">
      <c r="AA229" s="8"/>
      <c r="AB229" s="437"/>
      <c r="AC229" s="49"/>
      <c r="AE229" s="8" t="s">
        <v>314</v>
      </c>
      <c r="AF229" s="107">
        <v>400</v>
      </c>
      <c r="AJ229" s="102" t="str">
        <f t="shared" si="118"/>
        <v>NSX100</v>
      </c>
      <c r="AK229" s="201" t="s">
        <v>110</v>
      </c>
      <c r="AL229" s="201"/>
      <c r="AM229" s="240">
        <v>32</v>
      </c>
      <c r="AO229" s="102" t="str">
        <f t="shared" si="119"/>
        <v>DPN N13</v>
      </c>
      <c r="AP229" s="222" t="s">
        <v>544</v>
      </c>
      <c r="AQ229" s="222"/>
      <c r="AR229" s="256">
        <v>13</v>
      </c>
      <c r="AS229" s="222" t="s">
        <v>57</v>
      </c>
      <c r="BB229" s="9" t="s">
        <v>72</v>
      </c>
      <c r="BC229" s="11">
        <f>0.94*BC234</f>
        <v>75.199999999999989</v>
      </c>
      <c r="BD229" s="231">
        <v>63</v>
      </c>
      <c r="BE229" s="232" t="s">
        <v>597</v>
      </c>
      <c r="CB229" s="41" t="str">
        <f t="shared" si="120"/>
        <v>DPN N425B</v>
      </c>
      <c r="CC229" s="214" t="s">
        <v>544</v>
      </c>
      <c r="CD229" s="214">
        <v>4</v>
      </c>
      <c r="CE229" s="214">
        <v>25</v>
      </c>
      <c r="CF229" s="214" t="s">
        <v>57</v>
      </c>
      <c r="CG229" s="201" t="s">
        <v>595</v>
      </c>
      <c r="DH229" s="22"/>
      <c r="DI229" s="22"/>
      <c r="DJ229" s="22"/>
      <c r="DK229" s="344"/>
      <c r="DL229" s="361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22"/>
      <c r="EG229" s="22"/>
      <c r="EH229" s="22"/>
      <c r="EI229" s="22"/>
      <c r="EJ229" s="22"/>
      <c r="EK229" s="22"/>
      <c r="EL229" s="22"/>
      <c r="EM229" s="22"/>
      <c r="EN229" s="344"/>
      <c r="EO229" s="344"/>
      <c r="EP229" s="22"/>
      <c r="EQ229" s="22"/>
      <c r="ER229" s="22"/>
      <c r="EU229" s="344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</row>
    <row r="230" spans="27:161" x14ac:dyDescent="0.2">
      <c r="AA230" s="8"/>
      <c r="AB230" s="437"/>
      <c r="AC230" s="49"/>
      <c r="AE230" s="8" t="s">
        <v>127</v>
      </c>
      <c r="AF230" s="107">
        <v>400</v>
      </c>
      <c r="AJ230" s="102" t="str">
        <f t="shared" si="118"/>
        <v>NSX100</v>
      </c>
      <c r="AK230" s="201" t="s">
        <v>110</v>
      </c>
      <c r="AL230" s="201"/>
      <c r="AM230" s="240">
        <v>40</v>
      </c>
      <c r="AO230" s="102" t="str">
        <f t="shared" si="119"/>
        <v>DPN N13</v>
      </c>
      <c r="AP230" s="222" t="s">
        <v>544</v>
      </c>
      <c r="AQ230" s="256"/>
      <c r="AR230" s="256">
        <v>13</v>
      </c>
      <c r="AS230" s="222" t="s">
        <v>58</v>
      </c>
      <c r="BB230" s="9" t="s">
        <v>72</v>
      </c>
      <c r="BC230" s="11">
        <f>0.95*BC234</f>
        <v>76</v>
      </c>
      <c r="BD230" s="231">
        <v>63</v>
      </c>
      <c r="BE230" s="232" t="s">
        <v>598</v>
      </c>
      <c r="CB230" s="41" t="str">
        <f t="shared" si="120"/>
        <v>DPN N425B</v>
      </c>
      <c r="CC230" s="214" t="s">
        <v>544</v>
      </c>
      <c r="CD230" s="214">
        <v>4</v>
      </c>
      <c r="CE230" s="214">
        <v>25</v>
      </c>
      <c r="CF230" s="214" t="s">
        <v>57</v>
      </c>
      <c r="CG230" s="201" t="s">
        <v>290</v>
      </c>
      <c r="DH230" s="22"/>
      <c r="DI230" s="22"/>
      <c r="DJ230" s="22"/>
      <c r="DK230" s="344"/>
      <c r="DL230" s="361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22"/>
      <c r="EG230" s="22"/>
      <c r="EH230" s="22"/>
      <c r="EI230" s="22"/>
      <c r="EJ230" s="22"/>
      <c r="EK230" s="22"/>
      <c r="EL230" s="22"/>
      <c r="EM230" s="22"/>
      <c r="EN230" s="344"/>
      <c r="EO230" s="344"/>
      <c r="EP230" s="22"/>
      <c r="EQ230" s="22"/>
      <c r="ER230" s="22"/>
      <c r="EU230" s="344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</row>
    <row r="231" spans="27:161" x14ac:dyDescent="0.2">
      <c r="AA231" s="8"/>
      <c r="AB231" s="437"/>
      <c r="AC231" s="49"/>
      <c r="AE231" s="8" t="s">
        <v>492</v>
      </c>
      <c r="AF231" s="107">
        <v>400</v>
      </c>
      <c r="AJ231" s="102" t="str">
        <f t="shared" si="118"/>
        <v>NSX100</v>
      </c>
      <c r="AK231" s="201" t="s">
        <v>110</v>
      </c>
      <c r="AL231" s="201"/>
      <c r="AM231" s="240">
        <v>50</v>
      </c>
      <c r="AO231" s="102" t="str">
        <f t="shared" si="119"/>
        <v>DPN N16</v>
      </c>
      <c r="AP231" s="222" t="s">
        <v>544</v>
      </c>
      <c r="AQ231" s="222"/>
      <c r="AR231" s="256">
        <v>16</v>
      </c>
      <c r="AS231" s="222" t="s">
        <v>57</v>
      </c>
      <c r="BB231" s="9" t="s">
        <v>72</v>
      </c>
      <c r="BC231" s="11">
        <f>0.96*BC234</f>
        <v>76.8</v>
      </c>
      <c r="BD231" s="231">
        <v>63</v>
      </c>
      <c r="BE231" s="232" t="s">
        <v>290</v>
      </c>
      <c r="CB231" s="41" t="str">
        <f t="shared" si="120"/>
        <v>DPN N432B</v>
      </c>
      <c r="CC231" s="214" t="s">
        <v>544</v>
      </c>
      <c r="CD231" s="214">
        <v>4</v>
      </c>
      <c r="CE231" s="214">
        <v>32</v>
      </c>
      <c r="CF231" s="214" t="s">
        <v>57</v>
      </c>
      <c r="CG231" s="201" t="s">
        <v>595</v>
      </c>
      <c r="DH231" s="22"/>
      <c r="DI231" s="22"/>
      <c r="DJ231" s="22"/>
      <c r="DK231" s="344"/>
      <c r="DL231" s="361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22"/>
      <c r="EG231" s="22"/>
      <c r="EH231" s="22"/>
      <c r="EI231" s="22"/>
      <c r="EJ231" s="22"/>
      <c r="EK231" s="22"/>
      <c r="EL231" s="22"/>
      <c r="EM231" s="22"/>
      <c r="EN231" s="344"/>
      <c r="EO231" s="344"/>
      <c r="EP231" s="22"/>
      <c r="EQ231" s="22"/>
      <c r="ER231" s="22"/>
      <c r="EU231" s="344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</row>
    <row r="232" spans="27:161" x14ac:dyDescent="0.2">
      <c r="AA232" s="8"/>
      <c r="AB232" s="437"/>
      <c r="AC232" s="49"/>
      <c r="AE232" s="49" t="s">
        <v>318</v>
      </c>
      <c r="AF232" s="107">
        <v>100</v>
      </c>
      <c r="AJ232" s="102" t="str">
        <f t="shared" si="118"/>
        <v>NSX100</v>
      </c>
      <c r="AK232" s="201" t="s">
        <v>110</v>
      </c>
      <c r="AL232" s="201"/>
      <c r="AM232" s="240">
        <v>63</v>
      </c>
      <c r="AO232" s="102" t="str">
        <f t="shared" si="119"/>
        <v>DPN N16</v>
      </c>
      <c r="AP232" s="222" t="s">
        <v>544</v>
      </c>
      <c r="AQ232" s="256"/>
      <c r="AR232" s="256">
        <v>16</v>
      </c>
      <c r="AS232" s="222" t="s">
        <v>58</v>
      </c>
      <c r="BB232" s="9" t="s">
        <v>72</v>
      </c>
      <c r="BC232" s="11">
        <f>0.97*BC234</f>
        <v>77.599999999999994</v>
      </c>
      <c r="BD232" s="231">
        <v>63</v>
      </c>
      <c r="BE232" s="232" t="s">
        <v>287</v>
      </c>
      <c r="CB232" s="41" t="str">
        <f t="shared" si="120"/>
        <v>DPN N432B</v>
      </c>
      <c r="CC232" s="214" t="s">
        <v>544</v>
      </c>
      <c r="CD232" s="214">
        <v>4</v>
      </c>
      <c r="CE232" s="214">
        <v>32</v>
      </c>
      <c r="CF232" s="214" t="s">
        <v>57</v>
      </c>
      <c r="CG232" s="201" t="s">
        <v>290</v>
      </c>
      <c r="DH232" s="22"/>
      <c r="DI232" s="22"/>
      <c r="DJ232" s="22"/>
      <c r="DK232" s="344"/>
      <c r="DL232" s="361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22"/>
      <c r="EG232" s="22"/>
      <c r="EH232" s="22"/>
      <c r="EI232" s="22"/>
      <c r="EJ232" s="22"/>
      <c r="EK232" s="22"/>
      <c r="EL232" s="22"/>
      <c r="EM232" s="22"/>
      <c r="EN232" s="344"/>
      <c r="EO232" s="344"/>
      <c r="EP232" s="22"/>
      <c r="EQ232" s="22"/>
      <c r="ER232" s="22"/>
      <c r="EU232" s="344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</row>
    <row r="233" spans="27:161" x14ac:dyDescent="0.2">
      <c r="AA233" s="8"/>
      <c r="AB233" s="437"/>
      <c r="AC233" s="49"/>
      <c r="AE233" s="49" t="s">
        <v>317</v>
      </c>
      <c r="AF233" s="107">
        <v>160</v>
      </c>
      <c r="AJ233" s="102" t="str">
        <f t="shared" si="118"/>
        <v>NSX100</v>
      </c>
      <c r="AK233" s="201" t="s">
        <v>110</v>
      </c>
      <c r="AL233" s="201"/>
      <c r="AM233" s="240">
        <v>80</v>
      </c>
      <c r="AO233" s="102" t="str">
        <f t="shared" si="119"/>
        <v>DPN N20</v>
      </c>
      <c r="AP233" s="222" t="s">
        <v>544</v>
      </c>
      <c r="AQ233" s="222"/>
      <c r="AR233" s="256">
        <v>20</v>
      </c>
      <c r="AS233" s="222" t="s">
        <v>57</v>
      </c>
      <c r="BB233" s="9" t="s">
        <v>72</v>
      </c>
      <c r="BC233" s="11">
        <f>0.98*BC234</f>
        <v>78.400000000000006</v>
      </c>
      <c r="BD233" s="231">
        <v>63</v>
      </c>
      <c r="BE233" s="232" t="s">
        <v>291</v>
      </c>
      <c r="CB233" s="41" t="str">
        <f t="shared" si="120"/>
        <v>DPN N440B</v>
      </c>
      <c r="CC233" s="214" t="s">
        <v>544</v>
      </c>
      <c r="CD233" s="214">
        <v>4</v>
      </c>
      <c r="CE233" s="214">
        <v>40</v>
      </c>
      <c r="CF233" s="214" t="s">
        <v>57</v>
      </c>
      <c r="CG233" s="201" t="s">
        <v>595</v>
      </c>
      <c r="DH233" s="22"/>
      <c r="DI233" s="22"/>
      <c r="DJ233" s="22"/>
      <c r="DK233" s="344"/>
      <c r="DL233" s="361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22"/>
      <c r="EG233" s="22"/>
      <c r="EH233" s="22"/>
      <c r="EI233" s="22"/>
      <c r="EJ233" s="22"/>
      <c r="EK233" s="22"/>
      <c r="EL233" s="22"/>
      <c r="EM233" s="22"/>
      <c r="EN233" s="344"/>
      <c r="EO233" s="344"/>
      <c r="EP233" s="22"/>
      <c r="EQ233" s="22"/>
      <c r="ER233" s="22"/>
      <c r="EU233" s="344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</row>
    <row r="234" spans="27:161" ht="13.5" thickBot="1" x14ac:dyDescent="0.25">
      <c r="AA234" s="49"/>
      <c r="AB234" s="437"/>
      <c r="AC234" s="49"/>
      <c r="AE234" s="49" t="s">
        <v>315</v>
      </c>
      <c r="AF234" s="107">
        <v>250</v>
      </c>
      <c r="AJ234" s="102" t="str">
        <f t="shared" si="118"/>
        <v>NSX100</v>
      </c>
      <c r="AK234" s="217" t="s">
        <v>110</v>
      </c>
      <c r="AL234" s="217"/>
      <c r="AM234" s="241">
        <v>100</v>
      </c>
      <c r="AO234" s="102" t="str">
        <f t="shared" si="119"/>
        <v>DPN N20</v>
      </c>
      <c r="AP234" s="222" t="s">
        <v>544</v>
      </c>
      <c r="AQ234" s="256"/>
      <c r="AR234" s="256">
        <v>20</v>
      </c>
      <c r="AS234" s="222" t="s">
        <v>58</v>
      </c>
      <c r="BB234" s="9" t="s">
        <v>72</v>
      </c>
      <c r="BC234" s="11">
        <v>80</v>
      </c>
      <c r="BD234" s="231">
        <v>63</v>
      </c>
      <c r="BE234" s="232" t="s">
        <v>300</v>
      </c>
      <c r="CB234" s="41" t="str">
        <f t="shared" si="120"/>
        <v>DPN N440B</v>
      </c>
      <c r="CC234" s="216" t="s">
        <v>544</v>
      </c>
      <c r="CD234" s="216">
        <v>4</v>
      </c>
      <c r="CE234" s="216">
        <v>40</v>
      </c>
      <c r="CF234" s="216" t="s">
        <v>57</v>
      </c>
      <c r="CG234" s="217" t="s">
        <v>290</v>
      </c>
      <c r="DH234" s="22"/>
      <c r="DI234" s="22"/>
      <c r="DJ234" s="22"/>
      <c r="DK234" s="344"/>
      <c r="DL234" s="361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22"/>
      <c r="EG234" s="22"/>
      <c r="EH234" s="22"/>
      <c r="EI234" s="22"/>
      <c r="EJ234" s="22"/>
      <c r="EK234" s="22"/>
      <c r="EL234" s="22"/>
      <c r="EM234" s="22"/>
      <c r="EN234" s="344"/>
      <c r="EO234" s="344"/>
      <c r="EP234" s="22"/>
      <c r="EQ234" s="22"/>
      <c r="ER234" s="22"/>
      <c r="EU234" s="344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</row>
    <row r="235" spans="27:161" ht="13.5" thickTop="1" x14ac:dyDescent="0.2">
      <c r="AA235" s="49"/>
      <c r="AB235" s="437"/>
      <c r="AC235" s="49"/>
      <c r="AE235" s="49" t="s">
        <v>316</v>
      </c>
      <c r="AF235" s="107">
        <v>400</v>
      </c>
      <c r="AJ235" s="102" t="str">
        <f t="shared" si="118"/>
        <v>NSX160</v>
      </c>
      <c r="AK235" s="201" t="s">
        <v>112</v>
      </c>
      <c r="AL235" s="201"/>
      <c r="AM235" s="240">
        <v>25</v>
      </c>
      <c r="AO235" s="102" t="str">
        <f t="shared" si="119"/>
        <v>DPN N25</v>
      </c>
      <c r="AP235" s="222" t="s">
        <v>544</v>
      </c>
      <c r="AQ235" s="256"/>
      <c r="AR235" s="256">
        <v>25</v>
      </c>
      <c r="AS235" s="222" t="s">
        <v>57</v>
      </c>
      <c r="BB235" s="9" t="s">
        <v>72</v>
      </c>
      <c r="BC235" s="11">
        <f>0.9*BC243</f>
        <v>81</v>
      </c>
      <c r="BD235" s="231">
        <v>63</v>
      </c>
      <c r="BE235" s="232" t="s">
        <v>292</v>
      </c>
      <c r="CB235" s="41" t="str">
        <f t="shared" si="120"/>
        <v>DPN N46C</v>
      </c>
      <c r="CC235" s="187" t="s">
        <v>544</v>
      </c>
      <c r="CD235" s="187">
        <v>4</v>
      </c>
      <c r="CE235" s="187">
        <v>6</v>
      </c>
      <c r="CF235" s="187" t="s">
        <v>58</v>
      </c>
      <c r="CG235" s="190" t="s">
        <v>595</v>
      </c>
      <c r="DH235" s="22"/>
      <c r="DI235" s="22"/>
      <c r="DJ235" s="22"/>
      <c r="DK235" s="344"/>
      <c r="DL235" s="361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22"/>
      <c r="EG235" s="22"/>
      <c r="EH235" s="22"/>
      <c r="EI235" s="22"/>
      <c r="EJ235" s="22"/>
      <c r="EK235" s="22"/>
      <c r="EL235" s="22"/>
      <c r="EM235" s="22"/>
      <c r="EN235" s="344"/>
      <c r="EO235" s="344"/>
      <c r="EP235" s="22"/>
      <c r="EQ235" s="22"/>
      <c r="ER235" s="22"/>
      <c r="EU235" s="344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</row>
    <row r="236" spans="27:161" x14ac:dyDescent="0.2">
      <c r="AA236" s="49"/>
      <c r="AB236" s="437"/>
      <c r="AC236" s="49"/>
      <c r="AJ236" s="102" t="str">
        <f t="shared" si="118"/>
        <v>NSX160</v>
      </c>
      <c r="AK236" s="190" t="s">
        <v>112</v>
      </c>
      <c r="AL236" s="190"/>
      <c r="AM236" s="240">
        <v>32</v>
      </c>
      <c r="AO236" s="102" t="str">
        <f t="shared" si="119"/>
        <v>DPN N25</v>
      </c>
      <c r="AP236" s="222" t="s">
        <v>544</v>
      </c>
      <c r="AQ236" s="256"/>
      <c r="AR236" s="256">
        <v>25</v>
      </c>
      <c r="AS236" s="222" t="s">
        <v>58</v>
      </c>
      <c r="BB236" s="9" t="s">
        <v>72</v>
      </c>
      <c r="BC236" s="11">
        <f>0.92*BC243</f>
        <v>82.8</v>
      </c>
      <c r="BD236" s="1456" t="s">
        <v>183</v>
      </c>
      <c r="BE236" s="1457"/>
      <c r="CB236" s="41" t="str">
        <f t="shared" si="120"/>
        <v>DPN N46C</v>
      </c>
      <c r="CC236" s="214" t="s">
        <v>544</v>
      </c>
      <c r="CD236" s="214">
        <v>4</v>
      </c>
      <c r="CE236" s="214">
        <v>6</v>
      </c>
      <c r="CF236" s="214" t="s">
        <v>58</v>
      </c>
      <c r="CG236" s="201" t="s">
        <v>290</v>
      </c>
      <c r="DH236" s="22"/>
      <c r="DI236" s="22"/>
      <c r="DJ236" s="22"/>
      <c r="DK236" s="344"/>
      <c r="DL236" s="361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22"/>
      <c r="EG236" s="22"/>
      <c r="EH236" s="22"/>
      <c r="EI236" s="22"/>
      <c r="EJ236" s="22"/>
      <c r="EK236" s="22"/>
      <c r="EL236" s="22"/>
      <c r="EM236" s="22"/>
      <c r="EN236" s="344"/>
      <c r="EO236" s="344"/>
      <c r="EP236" s="22"/>
      <c r="EQ236" s="22"/>
      <c r="ER236" s="22"/>
      <c r="EU236" s="344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</row>
    <row r="237" spans="27:161" x14ac:dyDescent="0.2">
      <c r="AA237" s="49"/>
      <c r="AB237" s="437"/>
      <c r="AC237" s="49"/>
      <c r="AJ237" s="102" t="str">
        <f t="shared" si="118"/>
        <v>NSX160</v>
      </c>
      <c r="AK237" s="190" t="s">
        <v>112</v>
      </c>
      <c r="AL237" s="190"/>
      <c r="AM237" s="240">
        <v>40</v>
      </c>
      <c r="AO237" s="102" t="str">
        <f t="shared" si="119"/>
        <v>DPN N32</v>
      </c>
      <c r="AP237" s="222" t="s">
        <v>544</v>
      </c>
      <c r="AQ237" s="256"/>
      <c r="AR237" s="256">
        <v>32</v>
      </c>
      <c r="AS237" s="222" t="s">
        <v>57</v>
      </c>
      <c r="BB237" s="9" t="s">
        <v>72</v>
      </c>
      <c r="BC237" s="11">
        <f>0.93*BC243</f>
        <v>83.7</v>
      </c>
      <c r="BD237" s="231">
        <v>0.5</v>
      </c>
      <c r="BE237" s="233" t="s">
        <v>30</v>
      </c>
      <c r="BF237" s="18"/>
      <c r="BG237" s="18"/>
      <c r="BH237" s="18"/>
      <c r="BI237" s="18"/>
      <c r="BJ237" s="18"/>
      <c r="BK237" s="18"/>
      <c r="CB237" s="41" t="str">
        <f t="shared" si="120"/>
        <v>DPN N410C</v>
      </c>
      <c r="CC237" s="214" t="s">
        <v>544</v>
      </c>
      <c r="CD237" s="214">
        <v>4</v>
      </c>
      <c r="CE237" s="214">
        <v>10</v>
      </c>
      <c r="CF237" s="214" t="s">
        <v>58</v>
      </c>
      <c r="CG237" s="201" t="s">
        <v>595</v>
      </c>
      <c r="CH237" s="18"/>
      <c r="CJ237" s="18"/>
      <c r="CK237" s="18"/>
      <c r="CL237" s="18"/>
      <c r="CM237" s="18"/>
      <c r="CN237" s="18"/>
      <c r="DH237" s="22"/>
      <c r="DI237" s="22"/>
      <c r="DJ237" s="22"/>
      <c r="DK237" s="344"/>
      <c r="DL237" s="361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22"/>
      <c r="EG237" s="22"/>
      <c r="EH237" s="22"/>
      <c r="EI237" s="22"/>
      <c r="EJ237" s="22"/>
      <c r="EK237" s="22"/>
      <c r="EL237" s="22"/>
      <c r="EM237" s="22"/>
      <c r="EN237" s="344"/>
      <c r="EO237" s="344"/>
      <c r="EP237" s="22"/>
      <c r="EQ237" s="22"/>
      <c r="ER237" s="22"/>
      <c r="EU237" s="344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</row>
    <row r="238" spans="27:161" x14ac:dyDescent="0.2">
      <c r="AA238" s="49"/>
      <c r="AB238" s="437"/>
      <c r="AC238" s="49"/>
      <c r="AJ238" s="102" t="str">
        <f t="shared" si="118"/>
        <v>NSX160</v>
      </c>
      <c r="AK238" s="190" t="s">
        <v>112</v>
      </c>
      <c r="AL238" s="190"/>
      <c r="AM238" s="240">
        <v>50</v>
      </c>
      <c r="AO238" s="102" t="str">
        <f t="shared" si="119"/>
        <v>DPN N32</v>
      </c>
      <c r="AP238" s="222" t="s">
        <v>544</v>
      </c>
      <c r="AQ238" s="256"/>
      <c r="AR238" s="256">
        <v>32</v>
      </c>
      <c r="AS238" s="222" t="s">
        <v>58</v>
      </c>
      <c r="BB238" s="9" t="s">
        <v>72</v>
      </c>
      <c r="BC238" s="11">
        <f>0.94*BC243</f>
        <v>84.6</v>
      </c>
      <c r="BD238" s="231">
        <v>0.5</v>
      </c>
      <c r="BE238" s="232" t="s">
        <v>853</v>
      </c>
      <c r="CB238" s="41" t="str">
        <f t="shared" si="120"/>
        <v>DPN N410C</v>
      </c>
      <c r="CC238" s="214" t="s">
        <v>544</v>
      </c>
      <c r="CD238" s="214">
        <v>4</v>
      </c>
      <c r="CE238" s="214">
        <v>10</v>
      </c>
      <c r="CF238" s="214" t="s">
        <v>58</v>
      </c>
      <c r="CG238" s="201" t="s">
        <v>597</v>
      </c>
      <c r="DH238" s="22"/>
      <c r="DI238" s="22"/>
      <c r="DJ238" s="22"/>
      <c r="DK238" s="344"/>
      <c r="DL238" s="361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22"/>
      <c r="EG238" s="22"/>
      <c r="EH238" s="22"/>
      <c r="EI238" s="22"/>
      <c r="EJ238" s="22"/>
      <c r="EK238" s="22"/>
      <c r="EL238" s="22"/>
      <c r="EM238" s="22"/>
      <c r="EN238" s="344"/>
      <c r="EO238" s="344"/>
      <c r="EP238" s="22"/>
      <c r="EQ238" s="22"/>
      <c r="ER238" s="22"/>
      <c r="EU238" s="344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</row>
    <row r="239" spans="27:161" x14ac:dyDescent="0.2">
      <c r="AA239" s="49"/>
      <c r="AB239" s="437"/>
      <c r="AC239" s="49"/>
      <c r="AJ239" s="102" t="str">
        <f t="shared" si="118"/>
        <v>NSX160</v>
      </c>
      <c r="AK239" s="190" t="s">
        <v>112</v>
      </c>
      <c r="AL239" s="190"/>
      <c r="AM239" s="240">
        <v>63</v>
      </c>
      <c r="AO239" s="102" t="str">
        <f t="shared" si="119"/>
        <v>DPN N40</v>
      </c>
      <c r="AP239" s="222" t="s">
        <v>544</v>
      </c>
      <c r="AQ239" s="256"/>
      <c r="AR239" s="256">
        <v>40</v>
      </c>
      <c r="AS239" s="222" t="s">
        <v>57</v>
      </c>
      <c r="BB239" s="9" t="s">
        <v>72</v>
      </c>
      <c r="BC239" s="11">
        <f>0.95*BC243</f>
        <v>85.5</v>
      </c>
      <c r="BD239" s="231">
        <v>0.5</v>
      </c>
      <c r="BE239" s="232" t="s">
        <v>855</v>
      </c>
      <c r="CB239" s="41" t="str">
        <f t="shared" si="120"/>
        <v>DPN N410C</v>
      </c>
      <c r="CC239" s="214" t="s">
        <v>544</v>
      </c>
      <c r="CD239" s="214">
        <v>4</v>
      </c>
      <c r="CE239" s="214">
        <v>10</v>
      </c>
      <c r="CF239" s="214" t="s">
        <v>58</v>
      </c>
      <c r="CG239" s="201" t="s">
        <v>290</v>
      </c>
      <c r="DH239" s="22"/>
      <c r="DI239" s="22"/>
      <c r="DJ239" s="22"/>
      <c r="DK239" s="344"/>
      <c r="DL239" s="361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22"/>
      <c r="EG239" s="22"/>
      <c r="EH239" s="22"/>
      <c r="EI239" s="22"/>
      <c r="EJ239" s="22"/>
      <c r="EK239" s="22"/>
      <c r="EL239" s="22"/>
      <c r="EM239" s="22"/>
      <c r="EN239" s="344"/>
      <c r="EO239" s="344"/>
      <c r="EP239" s="22"/>
      <c r="EQ239" s="22"/>
      <c r="ER239" s="22"/>
      <c r="EU239" s="344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</row>
    <row r="240" spans="27:161" x14ac:dyDescent="0.2">
      <c r="AA240" s="49"/>
      <c r="AB240" s="437"/>
      <c r="AC240" s="49"/>
      <c r="AJ240" s="102" t="str">
        <f t="shared" si="118"/>
        <v>NSX160</v>
      </c>
      <c r="AK240" s="190" t="s">
        <v>112</v>
      </c>
      <c r="AL240" s="190"/>
      <c r="AM240" s="240">
        <v>80</v>
      </c>
      <c r="AO240" s="102" t="str">
        <f t="shared" si="119"/>
        <v>DPN N40</v>
      </c>
      <c r="AP240" s="222" t="s">
        <v>544</v>
      </c>
      <c r="AQ240" s="256"/>
      <c r="AR240" s="256">
        <v>40</v>
      </c>
      <c r="AS240" s="222" t="s">
        <v>58</v>
      </c>
      <c r="BB240" s="9" t="s">
        <v>72</v>
      </c>
      <c r="BC240" s="11">
        <f>0.96*BC243</f>
        <v>86.399999999999991</v>
      </c>
      <c r="BD240" s="231">
        <v>0.5</v>
      </c>
      <c r="BE240" s="232" t="s">
        <v>856</v>
      </c>
      <c r="CB240" s="41" t="str">
        <f t="shared" si="120"/>
        <v>DPN N410C</v>
      </c>
      <c r="CC240" s="214" t="s">
        <v>544</v>
      </c>
      <c r="CD240" s="214">
        <v>4</v>
      </c>
      <c r="CE240" s="214">
        <v>10</v>
      </c>
      <c r="CF240" s="214" t="s">
        <v>58</v>
      </c>
      <c r="CG240" s="201" t="s">
        <v>291</v>
      </c>
      <c r="DH240" s="22"/>
      <c r="DI240" s="22"/>
      <c r="DJ240" s="22"/>
      <c r="DK240" s="344"/>
      <c r="DL240" s="361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22"/>
      <c r="EG240" s="22"/>
      <c r="EH240" s="22"/>
      <c r="EI240" s="22"/>
      <c r="EJ240" s="22"/>
      <c r="EK240" s="22"/>
      <c r="EL240" s="22"/>
      <c r="EM240" s="22"/>
      <c r="EN240" s="344"/>
      <c r="EO240" s="344"/>
      <c r="EP240" s="22"/>
      <c r="EQ240" s="22"/>
      <c r="ER240" s="22"/>
      <c r="EU240" s="344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</row>
    <row r="241" spans="27:161" x14ac:dyDescent="0.2">
      <c r="AA241" s="49"/>
      <c r="AB241" s="437"/>
      <c r="AC241" s="49"/>
      <c r="AJ241" s="102" t="str">
        <f t="shared" si="118"/>
        <v>NSX160</v>
      </c>
      <c r="AK241" s="190" t="s">
        <v>112</v>
      </c>
      <c r="AL241" s="190"/>
      <c r="AM241" s="240">
        <v>100</v>
      </c>
      <c r="AO241" s="102" t="str">
        <f t="shared" si="119"/>
        <v>iDPN N4</v>
      </c>
      <c r="AP241" s="222" t="s">
        <v>543</v>
      </c>
      <c r="AQ241" s="256"/>
      <c r="AR241" s="256">
        <v>4</v>
      </c>
      <c r="AS241" s="256" t="s">
        <v>57</v>
      </c>
      <c r="BB241" s="9" t="s">
        <v>72</v>
      </c>
      <c r="BC241" s="11">
        <f>0.97*BC243</f>
        <v>87.3</v>
      </c>
      <c r="BD241" s="231">
        <v>0.5</v>
      </c>
      <c r="BE241" s="232" t="s">
        <v>353</v>
      </c>
      <c r="CB241" s="41" t="str">
        <f t="shared" si="120"/>
        <v>DPN N410C</v>
      </c>
      <c r="CC241" s="214" t="s">
        <v>544</v>
      </c>
      <c r="CD241" s="214">
        <v>4</v>
      </c>
      <c r="CE241" s="214">
        <v>10</v>
      </c>
      <c r="CF241" s="214" t="s">
        <v>58</v>
      </c>
      <c r="CG241" s="201" t="s">
        <v>292</v>
      </c>
      <c r="DH241" s="22"/>
      <c r="DI241" s="22"/>
      <c r="DJ241" s="22"/>
      <c r="DK241" s="344"/>
      <c r="DL241" s="361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22"/>
      <c r="EG241" s="22"/>
      <c r="EH241" s="22"/>
      <c r="EI241" s="22"/>
      <c r="EJ241" s="22"/>
      <c r="EK241" s="22"/>
      <c r="EL241" s="22"/>
      <c r="EM241" s="22"/>
      <c r="EN241" s="344"/>
      <c r="EO241" s="344"/>
      <c r="EP241" s="22"/>
      <c r="EQ241" s="22"/>
      <c r="ER241" s="22"/>
      <c r="EU241" s="344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</row>
    <row r="242" spans="27:161" x14ac:dyDescent="0.2">
      <c r="AA242" s="8"/>
      <c r="AB242" s="437"/>
      <c r="AC242" s="49"/>
      <c r="AJ242" s="102" t="str">
        <f t="shared" si="118"/>
        <v>NSX160</v>
      </c>
      <c r="AK242" s="190" t="s">
        <v>112</v>
      </c>
      <c r="AL242" s="190"/>
      <c r="AM242" s="242">
        <v>125</v>
      </c>
      <c r="AO242" s="102" t="str">
        <f t="shared" si="119"/>
        <v>iDPN N6</v>
      </c>
      <c r="AP242" s="222" t="s">
        <v>543</v>
      </c>
      <c r="AQ242" s="256"/>
      <c r="AR242" s="256">
        <v>6</v>
      </c>
      <c r="AS242" s="256" t="s">
        <v>57</v>
      </c>
      <c r="BB242" s="9" t="s">
        <v>72</v>
      </c>
      <c r="BC242" s="11">
        <f>0.98*BC243</f>
        <v>88.2</v>
      </c>
      <c r="BD242" s="231">
        <v>0.5</v>
      </c>
      <c r="BE242" s="232" t="s">
        <v>354</v>
      </c>
      <c r="CB242" s="41" t="str">
        <f t="shared" si="120"/>
        <v>DPN N413C</v>
      </c>
      <c r="CC242" s="214" t="s">
        <v>544</v>
      </c>
      <c r="CD242" s="214">
        <v>4</v>
      </c>
      <c r="CE242" s="214">
        <v>13</v>
      </c>
      <c r="CF242" s="214" t="s">
        <v>58</v>
      </c>
      <c r="CG242" s="201" t="s">
        <v>290</v>
      </c>
      <c r="DH242" s="22"/>
      <c r="DI242" s="22"/>
      <c r="DJ242" s="22"/>
      <c r="DK242" s="344"/>
      <c r="DL242" s="361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22"/>
      <c r="EG242" s="22"/>
      <c r="EH242" s="22"/>
      <c r="EI242" s="22"/>
      <c r="EJ242" s="22"/>
      <c r="EK242" s="22"/>
      <c r="EL242" s="22"/>
      <c r="EM242" s="22"/>
      <c r="EN242" s="344"/>
      <c r="EO242" s="344"/>
      <c r="EP242" s="22"/>
      <c r="EQ242" s="22"/>
      <c r="ER242" s="22"/>
      <c r="EU242" s="344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</row>
    <row r="243" spans="27:161" ht="13.5" thickBot="1" x14ac:dyDescent="0.25">
      <c r="AA243" s="8"/>
      <c r="AB243" s="437"/>
      <c r="AC243" s="49"/>
      <c r="AJ243" s="102" t="str">
        <f t="shared" si="118"/>
        <v>NSX160</v>
      </c>
      <c r="AK243" s="217" t="s">
        <v>112</v>
      </c>
      <c r="AL243" s="217"/>
      <c r="AM243" s="241">
        <v>160</v>
      </c>
      <c r="AO243" s="102" t="str">
        <f t="shared" si="119"/>
        <v>iDPN N6</v>
      </c>
      <c r="AP243" s="222" t="s">
        <v>543</v>
      </c>
      <c r="AQ243" s="240"/>
      <c r="AR243" s="244">
        <v>6</v>
      </c>
      <c r="AS243" s="222" t="s">
        <v>58</v>
      </c>
      <c r="BB243" s="9" t="s">
        <v>72</v>
      </c>
      <c r="BC243" s="11">
        <v>90</v>
      </c>
      <c r="BD243" s="231">
        <v>0.5</v>
      </c>
      <c r="BE243" s="232" t="s">
        <v>351</v>
      </c>
      <c r="CB243" s="41" t="str">
        <f t="shared" si="120"/>
        <v>DPN N413C</v>
      </c>
      <c r="CC243" s="214" t="s">
        <v>544</v>
      </c>
      <c r="CD243" s="214">
        <v>4</v>
      </c>
      <c r="CE243" s="214">
        <v>13</v>
      </c>
      <c r="CF243" s="214" t="s">
        <v>58</v>
      </c>
      <c r="CG243" s="201" t="s">
        <v>292</v>
      </c>
      <c r="DH243" s="22"/>
      <c r="DI243" s="22"/>
      <c r="DJ243" s="22"/>
      <c r="DK243" s="344"/>
      <c r="DL243" s="361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22"/>
      <c r="EG243" s="22"/>
      <c r="EH243" s="22"/>
      <c r="EI243" s="22"/>
      <c r="EJ243" s="22"/>
      <c r="EK243" s="22"/>
      <c r="EL243" s="22"/>
      <c r="EM243" s="22"/>
      <c r="EN243" s="344"/>
      <c r="EO243" s="344"/>
      <c r="EP243" s="22"/>
      <c r="EQ243" s="22"/>
      <c r="ER243" s="22"/>
      <c r="EU243" s="344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</row>
    <row r="244" spans="27:161" ht="13.5" thickTop="1" x14ac:dyDescent="0.2">
      <c r="AA244" s="8"/>
      <c r="AB244" s="437"/>
      <c r="AC244" s="49"/>
      <c r="AJ244" s="102" t="str">
        <f t="shared" si="118"/>
        <v>NSX250</v>
      </c>
      <c r="AK244" s="190" t="s">
        <v>113</v>
      </c>
      <c r="AL244" s="190"/>
      <c r="AM244" s="242">
        <v>40</v>
      </c>
      <c r="AO244" s="102" t="str">
        <f t="shared" si="119"/>
        <v>iDPN N10</v>
      </c>
      <c r="AP244" s="222" t="s">
        <v>543</v>
      </c>
      <c r="AQ244" s="256"/>
      <c r="AR244" s="256">
        <v>10</v>
      </c>
      <c r="AS244" s="256" t="s">
        <v>57</v>
      </c>
      <c r="BB244" s="9" t="s">
        <v>72</v>
      </c>
      <c r="BC244" s="11">
        <f>0.9*BC252</f>
        <v>90</v>
      </c>
      <c r="BD244" s="231">
        <v>0.5</v>
      </c>
      <c r="BE244" s="232" t="s">
        <v>355</v>
      </c>
      <c r="CB244" s="41" t="str">
        <f t="shared" si="120"/>
        <v>DPN N416C</v>
      </c>
      <c r="CC244" s="214" t="s">
        <v>544</v>
      </c>
      <c r="CD244" s="214">
        <v>4</v>
      </c>
      <c r="CE244" s="214">
        <v>16</v>
      </c>
      <c r="CF244" s="214" t="s">
        <v>58</v>
      </c>
      <c r="CG244" s="201" t="s">
        <v>595</v>
      </c>
      <c r="DH244" s="22"/>
      <c r="DI244" s="22"/>
      <c r="DJ244" s="22"/>
      <c r="DK244" s="344"/>
      <c r="DL244" s="361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22"/>
      <c r="EG244" s="22"/>
      <c r="EH244" s="22"/>
      <c r="EI244" s="22"/>
      <c r="EJ244" s="22"/>
      <c r="EK244" s="22"/>
      <c r="EL244" s="22"/>
      <c r="EM244" s="22"/>
      <c r="EN244" s="344"/>
      <c r="EO244" s="344"/>
      <c r="EP244" s="22"/>
      <c r="EQ244" s="22"/>
      <c r="ER244" s="22"/>
      <c r="EU244" s="344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</row>
    <row r="245" spans="27:161" x14ac:dyDescent="0.2">
      <c r="AA245" s="8"/>
      <c r="AB245" s="437"/>
      <c r="AC245" s="49"/>
      <c r="AJ245" s="102" t="str">
        <f t="shared" si="118"/>
        <v>NSX250</v>
      </c>
      <c r="AK245" s="190" t="s">
        <v>113</v>
      </c>
      <c r="AL245" s="190"/>
      <c r="AM245" s="240">
        <v>63</v>
      </c>
      <c r="AO245" s="102" t="str">
        <f t="shared" si="119"/>
        <v>iDPN N10</v>
      </c>
      <c r="AP245" s="222" t="s">
        <v>543</v>
      </c>
      <c r="AQ245" s="240"/>
      <c r="AR245" s="244">
        <v>10</v>
      </c>
      <c r="AS245" s="222" t="s">
        <v>58</v>
      </c>
      <c r="BB245" s="9" t="s">
        <v>72</v>
      </c>
      <c r="BC245" s="11">
        <f>0.92*BC252</f>
        <v>92</v>
      </c>
      <c r="BD245" s="231">
        <v>0.5</v>
      </c>
      <c r="BE245" s="232" t="s">
        <v>352</v>
      </c>
      <c r="CB245" s="41" t="str">
        <f t="shared" si="120"/>
        <v>DPN N416C</v>
      </c>
      <c r="CC245" s="214" t="s">
        <v>544</v>
      </c>
      <c r="CD245" s="214">
        <v>4</v>
      </c>
      <c r="CE245" s="214">
        <v>16</v>
      </c>
      <c r="CF245" s="214" t="s">
        <v>58</v>
      </c>
      <c r="CG245" s="201" t="s">
        <v>597</v>
      </c>
      <c r="DH245" s="22"/>
      <c r="DI245" s="22"/>
      <c r="DJ245" s="22"/>
      <c r="DK245" s="344"/>
      <c r="DL245" s="361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22"/>
      <c r="EG245" s="22"/>
      <c r="EH245" s="22"/>
      <c r="EI245" s="22"/>
      <c r="EJ245" s="22"/>
      <c r="EK245" s="22"/>
      <c r="EL245" s="22"/>
      <c r="EM245" s="22"/>
      <c r="EN245" s="344"/>
      <c r="EO245" s="344"/>
      <c r="EP245" s="22"/>
      <c r="EQ245" s="22"/>
      <c r="ER245" s="22"/>
      <c r="EU245" s="344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</row>
    <row r="246" spans="27:161" x14ac:dyDescent="0.2">
      <c r="AA246" s="8"/>
      <c r="AB246" s="437"/>
      <c r="AC246" s="49"/>
      <c r="AJ246" s="102" t="str">
        <f t="shared" si="118"/>
        <v>NSX250</v>
      </c>
      <c r="AK246" s="190" t="s">
        <v>113</v>
      </c>
      <c r="AL246" s="190"/>
      <c r="AM246" s="240">
        <v>80</v>
      </c>
      <c r="AO246" s="102" t="str">
        <f t="shared" si="119"/>
        <v>iDPN N13</v>
      </c>
      <c r="AP246" s="222" t="s">
        <v>543</v>
      </c>
      <c r="AQ246" s="256"/>
      <c r="AR246" s="256">
        <v>13</v>
      </c>
      <c r="AS246" s="256" t="s">
        <v>57</v>
      </c>
      <c r="BB246" s="9" t="s">
        <v>72</v>
      </c>
      <c r="BC246" s="11">
        <f>0.93*BC252</f>
        <v>93</v>
      </c>
      <c r="BD246" s="231">
        <v>1</v>
      </c>
      <c r="BE246" s="233" t="s">
        <v>30</v>
      </c>
      <c r="CB246" s="41" t="str">
        <f t="shared" si="120"/>
        <v>DPN N416C</v>
      </c>
      <c r="CC246" s="214" t="s">
        <v>544</v>
      </c>
      <c r="CD246" s="214">
        <v>4</v>
      </c>
      <c r="CE246" s="214">
        <v>16</v>
      </c>
      <c r="CF246" s="214" t="s">
        <v>58</v>
      </c>
      <c r="CG246" s="201" t="s">
        <v>290</v>
      </c>
      <c r="DH246" s="22"/>
      <c r="DI246" s="22"/>
      <c r="DJ246" s="22"/>
      <c r="DK246" s="344"/>
      <c r="DL246" s="361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22"/>
      <c r="EG246" s="22"/>
      <c r="EH246" s="22"/>
      <c r="EI246" s="22"/>
      <c r="EJ246" s="22"/>
      <c r="EK246" s="22"/>
      <c r="EL246" s="22"/>
      <c r="EM246" s="22"/>
      <c r="EN246" s="344"/>
      <c r="EO246" s="344"/>
      <c r="EP246" s="22"/>
      <c r="EQ246" s="22"/>
      <c r="ER246" s="22"/>
      <c r="EU246" s="344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</row>
    <row r="247" spans="27:161" x14ac:dyDescent="0.2">
      <c r="AA247" s="8"/>
      <c r="AB247" s="437"/>
      <c r="AC247" s="49"/>
      <c r="AJ247" s="102" t="str">
        <f t="shared" si="118"/>
        <v>NSX250</v>
      </c>
      <c r="AK247" s="190" t="s">
        <v>113</v>
      </c>
      <c r="AL247" s="190"/>
      <c r="AM247" s="240">
        <v>100</v>
      </c>
      <c r="AO247" s="102" t="str">
        <f t="shared" si="119"/>
        <v>iDPN N13</v>
      </c>
      <c r="AP247" s="222" t="s">
        <v>543</v>
      </c>
      <c r="AQ247" s="240"/>
      <c r="AR247" s="244">
        <v>13</v>
      </c>
      <c r="AS247" s="222" t="s">
        <v>58</v>
      </c>
      <c r="BB247" s="9" t="s">
        <v>72</v>
      </c>
      <c r="BC247" s="11">
        <f>0.94*BC252</f>
        <v>94</v>
      </c>
      <c r="BD247" s="231">
        <v>1</v>
      </c>
      <c r="BE247" s="232" t="s">
        <v>853</v>
      </c>
      <c r="BF247" s="18"/>
      <c r="BG247" s="18"/>
      <c r="BH247" s="18"/>
      <c r="BI247" s="18"/>
      <c r="BJ247" s="18"/>
      <c r="BK247" s="18"/>
      <c r="CB247" s="41" t="str">
        <f t="shared" si="120"/>
        <v>DPN N416C</v>
      </c>
      <c r="CC247" s="214" t="s">
        <v>544</v>
      </c>
      <c r="CD247" s="214">
        <v>4</v>
      </c>
      <c r="CE247" s="214">
        <v>16</v>
      </c>
      <c r="CF247" s="214" t="s">
        <v>58</v>
      </c>
      <c r="CG247" s="201" t="s">
        <v>291</v>
      </c>
      <c r="CH247" s="18"/>
      <c r="CJ247" s="18"/>
      <c r="CK247" s="18"/>
      <c r="CL247" s="18"/>
      <c r="CM247" s="18"/>
      <c r="CN247" s="18"/>
      <c r="DH247" s="22"/>
      <c r="DI247" s="22"/>
      <c r="DJ247" s="22"/>
      <c r="DK247" s="344"/>
      <c r="DL247" s="361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22"/>
      <c r="EG247" s="22"/>
      <c r="EH247" s="22"/>
      <c r="EI247" s="22"/>
      <c r="EJ247" s="22"/>
      <c r="EK247" s="22"/>
      <c r="EL247" s="22"/>
      <c r="EM247" s="22"/>
      <c r="EN247" s="344"/>
      <c r="EO247" s="344"/>
      <c r="EP247" s="22"/>
      <c r="EQ247" s="22"/>
      <c r="ER247" s="22"/>
      <c r="EU247" s="344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</row>
    <row r="248" spans="27:161" x14ac:dyDescent="0.2">
      <c r="AA248" s="8"/>
      <c r="AB248" s="437"/>
      <c r="AC248" s="49"/>
      <c r="AJ248" s="102" t="str">
        <f t="shared" si="118"/>
        <v>NSX250</v>
      </c>
      <c r="AK248" s="190" t="s">
        <v>113</v>
      </c>
      <c r="AL248" s="190"/>
      <c r="AM248" s="242">
        <v>125</v>
      </c>
      <c r="AO248" s="102" t="str">
        <f t="shared" si="119"/>
        <v>iDPN N16</v>
      </c>
      <c r="AP248" s="222" t="s">
        <v>543</v>
      </c>
      <c r="AQ248" s="256"/>
      <c r="AR248" s="256">
        <v>16</v>
      </c>
      <c r="AS248" s="256" t="s">
        <v>57</v>
      </c>
      <c r="BB248" s="9" t="s">
        <v>72</v>
      </c>
      <c r="BC248" s="11">
        <f>0.95*BC252</f>
        <v>95</v>
      </c>
      <c r="BD248" s="231">
        <v>1</v>
      </c>
      <c r="BE248" s="232" t="s">
        <v>855</v>
      </c>
      <c r="CB248" s="41" t="str">
        <f t="shared" si="120"/>
        <v>DPN N416C</v>
      </c>
      <c r="CC248" s="214" t="s">
        <v>544</v>
      </c>
      <c r="CD248" s="214">
        <v>4</v>
      </c>
      <c r="CE248" s="214">
        <v>16</v>
      </c>
      <c r="CF248" s="214" t="s">
        <v>58</v>
      </c>
      <c r="CG248" s="201" t="s">
        <v>292</v>
      </c>
      <c r="DH248" s="22"/>
      <c r="DI248" s="22"/>
      <c r="DJ248" s="22"/>
      <c r="DK248" s="344"/>
      <c r="DL248" s="361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22"/>
      <c r="EG248" s="22"/>
      <c r="EH248" s="22"/>
      <c r="EI248" s="22"/>
      <c r="EJ248" s="22"/>
      <c r="EK248" s="22"/>
      <c r="EL248" s="22"/>
      <c r="EM248" s="22"/>
      <c r="EN248" s="344"/>
      <c r="EO248" s="344"/>
      <c r="EP248" s="22"/>
      <c r="EQ248" s="22"/>
      <c r="ER248" s="22"/>
      <c r="EU248" s="344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</row>
    <row r="249" spans="27:161" x14ac:dyDescent="0.2">
      <c r="AA249" s="8"/>
      <c r="AB249" s="437"/>
      <c r="AC249" s="49"/>
      <c r="AJ249" s="102" t="str">
        <f t="shared" si="118"/>
        <v>NSX250</v>
      </c>
      <c r="AK249" s="190" t="s">
        <v>113</v>
      </c>
      <c r="AL249" s="190"/>
      <c r="AM249" s="242">
        <v>160</v>
      </c>
      <c r="AO249" s="102" t="str">
        <f t="shared" si="119"/>
        <v>iDPN N16</v>
      </c>
      <c r="AP249" s="222" t="s">
        <v>543</v>
      </c>
      <c r="AQ249" s="240"/>
      <c r="AR249" s="244">
        <v>16</v>
      </c>
      <c r="AS249" s="222" t="s">
        <v>58</v>
      </c>
      <c r="BB249" s="9" t="s">
        <v>72</v>
      </c>
      <c r="BC249" s="11">
        <f>0.96*BC252</f>
        <v>96</v>
      </c>
      <c r="BD249" s="231">
        <v>1</v>
      </c>
      <c r="BE249" s="232" t="s">
        <v>856</v>
      </c>
      <c r="CB249" s="41" t="str">
        <f t="shared" si="120"/>
        <v>DPN N420C</v>
      </c>
      <c r="CC249" s="214" t="s">
        <v>544</v>
      </c>
      <c r="CD249" s="214">
        <v>4</v>
      </c>
      <c r="CE249" s="214">
        <v>20</v>
      </c>
      <c r="CF249" s="214" t="s">
        <v>58</v>
      </c>
      <c r="CG249" s="201" t="s">
        <v>595</v>
      </c>
      <c r="DH249" s="22"/>
      <c r="DI249" s="22"/>
      <c r="DJ249" s="22"/>
      <c r="DK249" s="344"/>
      <c r="DL249" s="361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22"/>
      <c r="EG249" s="22"/>
      <c r="EH249" s="22"/>
      <c r="EI249" s="22"/>
      <c r="EJ249" s="22"/>
      <c r="EK249" s="22"/>
      <c r="EL249" s="22"/>
      <c r="EM249" s="22"/>
      <c r="EN249" s="344"/>
      <c r="EO249" s="344"/>
      <c r="EP249" s="22"/>
      <c r="EQ249" s="22"/>
      <c r="ER249" s="22"/>
      <c r="EU249" s="344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</row>
    <row r="250" spans="27:161" x14ac:dyDescent="0.2">
      <c r="AA250" s="8"/>
      <c r="AB250" s="437"/>
      <c r="AC250" s="49"/>
      <c r="AJ250" s="102" t="str">
        <f t="shared" si="118"/>
        <v>NSX250</v>
      </c>
      <c r="AK250" s="190" t="s">
        <v>113</v>
      </c>
      <c r="AL250" s="190"/>
      <c r="AM250" s="242">
        <v>200</v>
      </c>
      <c r="AO250" s="102" t="str">
        <f t="shared" si="119"/>
        <v>iDPN N20</v>
      </c>
      <c r="AP250" s="222" t="s">
        <v>543</v>
      </c>
      <c r="AQ250" s="256"/>
      <c r="AR250" s="256">
        <v>20</v>
      </c>
      <c r="AS250" s="256" t="s">
        <v>57</v>
      </c>
      <c r="BB250" s="9" t="s">
        <v>72</v>
      </c>
      <c r="BC250" s="11">
        <f>0.97*BC252</f>
        <v>97</v>
      </c>
      <c r="BD250" s="231">
        <v>1</v>
      </c>
      <c r="BE250" s="232" t="s">
        <v>353</v>
      </c>
      <c r="CB250" s="41" t="str">
        <f t="shared" si="120"/>
        <v>DPN N420C</v>
      </c>
      <c r="CC250" s="214" t="s">
        <v>544</v>
      </c>
      <c r="CD250" s="214">
        <v>4</v>
      </c>
      <c r="CE250" s="214">
        <v>20</v>
      </c>
      <c r="CF250" s="214" t="s">
        <v>58</v>
      </c>
      <c r="CG250" s="201" t="s">
        <v>597</v>
      </c>
      <c r="DH250" s="22"/>
      <c r="DI250" s="22"/>
      <c r="DJ250" s="22"/>
      <c r="DK250" s="344"/>
      <c r="DL250" s="361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22"/>
      <c r="EG250" s="22"/>
      <c r="EH250" s="22"/>
      <c r="EI250" s="22"/>
      <c r="EJ250" s="22"/>
      <c r="EK250" s="22"/>
      <c r="EL250" s="22"/>
      <c r="EM250" s="22"/>
      <c r="EN250" s="344"/>
      <c r="EO250" s="344"/>
      <c r="EP250" s="22"/>
      <c r="EQ250" s="22"/>
      <c r="ER250" s="22"/>
      <c r="EU250" s="344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</row>
    <row r="251" spans="27:161" ht="13.5" thickBot="1" x14ac:dyDescent="0.25">
      <c r="AA251" s="8"/>
      <c r="AB251" s="437"/>
      <c r="AC251" s="49"/>
      <c r="AJ251" s="102" t="str">
        <f t="shared" si="118"/>
        <v>NSX250</v>
      </c>
      <c r="AK251" s="217" t="s">
        <v>113</v>
      </c>
      <c r="AL251" s="217"/>
      <c r="AM251" s="241">
        <v>250</v>
      </c>
      <c r="AO251" s="102" t="str">
        <f t="shared" si="119"/>
        <v>iDPN N20</v>
      </c>
      <c r="AP251" s="222" t="s">
        <v>543</v>
      </c>
      <c r="AQ251" s="240"/>
      <c r="AR251" s="244">
        <v>20</v>
      </c>
      <c r="AS251" s="222" t="s">
        <v>58</v>
      </c>
      <c r="BB251" s="9" t="s">
        <v>72</v>
      </c>
      <c r="BC251" s="11">
        <f>0.98*BC252</f>
        <v>98</v>
      </c>
      <c r="BD251" s="231">
        <v>1</v>
      </c>
      <c r="BE251" s="232" t="s">
        <v>354</v>
      </c>
      <c r="CB251" s="41" t="str">
        <f t="shared" si="120"/>
        <v>DPN N420C</v>
      </c>
      <c r="CC251" s="214" t="s">
        <v>544</v>
      </c>
      <c r="CD251" s="214">
        <v>4</v>
      </c>
      <c r="CE251" s="214">
        <v>20</v>
      </c>
      <c r="CF251" s="214" t="s">
        <v>58</v>
      </c>
      <c r="CG251" s="201" t="s">
        <v>290</v>
      </c>
      <c r="DH251" s="22"/>
      <c r="DI251" s="22"/>
      <c r="DJ251" s="22"/>
      <c r="DK251" s="344"/>
      <c r="DL251" s="361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22"/>
      <c r="EG251" s="22"/>
      <c r="EH251" s="22"/>
      <c r="EI251" s="22"/>
      <c r="EJ251" s="22"/>
      <c r="EK251" s="22"/>
      <c r="EL251" s="22"/>
      <c r="EM251" s="22"/>
      <c r="EN251" s="344"/>
      <c r="EO251" s="344"/>
      <c r="EP251" s="22"/>
      <c r="EQ251" s="22"/>
      <c r="ER251" s="22"/>
      <c r="EU251" s="344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</row>
    <row r="252" spans="27:161" ht="14.25" thickTop="1" thickBot="1" x14ac:dyDescent="0.25">
      <c r="AA252" s="8"/>
      <c r="AB252" s="437"/>
      <c r="AC252" s="49"/>
      <c r="AJ252" s="102" t="str">
        <f t="shared" si="118"/>
        <v>NSX400</v>
      </c>
      <c r="AK252" s="250" t="s">
        <v>114</v>
      </c>
      <c r="AL252" s="250"/>
      <c r="AM252" s="251">
        <v>400</v>
      </c>
      <c r="AO252" s="102" t="str">
        <f t="shared" si="119"/>
        <v>iDPN N25</v>
      </c>
      <c r="AP252" s="222" t="s">
        <v>543</v>
      </c>
      <c r="AQ252" s="256"/>
      <c r="AR252" s="256">
        <v>25</v>
      </c>
      <c r="AS252" s="256" t="s">
        <v>57</v>
      </c>
      <c r="BB252" s="9" t="s">
        <v>72</v>
      </c>
      <c r="BC252" s="11">
        <v>100</v>
      </c>
      <c r="BD252" s="231">
        <v>1</v>
      </c>
      <c r="BE252" s="232" t="s">
        <v>351</v>
      </c>
      <c r="CB252" s="41" t="str">
        <f t="shared" si="120"/>
        <v>DPN N420C</v>
      </c>
      <c r="CC252" s="214" t="s">
        <v>544</v>
      </c>
      <c r="CD252" s="214">
        <v>4</v>
      </c>
      <c r="CE252" s="214">
        <v>20</v>
      </c>
      <c r="CF252" s="214" t="s">
        <v>58</v>
      </c>
      <c r="CG252" s="201" t="s">
        <v>291</v>
      </c>
      <c r="DH252" s="22"/>
      <c r="DI252" s="22"/>
      <c r="DJ252" s="22"/>
      <c r="DK252" s="344"/>
      <c r="DL252" s="361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22"/>
      <c r="EG252" s="22"/>
      <c r="EH252" s="22"/>
      <c r="EI252" s="22"/>
      <c r="EJ252" s="22"/>
      <c r="EK252" s="22"/>
      <c r="EL252" s="22"/>
      <c r="EM252" s="22"/>
      <c r="EN252" s="344"/>
      <c r="EO252" s="344"/>
      <c r="EP252" s="22"/>
      <c r="EQ252" s="22"/>
      <c r="ER252" s="22"/>
      <c r="EU252" s="344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</row>
    <row r="253" spans="27:161" ht="14.25" thickTop="1" thickBot="1" x14ac:dyDescent="0.25">
      <c r="AA253" s="8"/>
      <c r="AB253" s="437"/>
      <c r="AC253" s="49"/>
      <c r="AJ253" s="102" t="str">
        <f t="shared" si="118"/>
        <v>NSX630</v>
      </c>
      <c r="AK253" s="324" t="s">
        <v>115</v>
      </c>
      <c r="AL253" s="324"/>
      <c r="AM253" s="251">
        <v>400</v>
      </c>
      <c r="AO253" s="102" t="str">
        <f t="shared" si="119"/>
        <v>iDPN N25</v>
      </c>
      <c r="AP253" s="222" t="s">
        <v>543</v>
      </c>
      <c r="AQ253" s="240"/>
      <c r="AR253" s="244">
        <v>25</v>
      </c>
      <c r="AS253" s="222" t="s">
        <v>58</v>
      </c>
      <c r="BB253" s="9" t="s">
        <v>73</v>
      </c>
      <c r="BC253" s="11">
        <f>0.9*BC261</f>
        <v>56.7</v>
      </c>
      <c r="BD253" s="231">
        <v>1</v>
      </c>
      <c r="BE253" s="232" t="s">
        <v>355</v>
      </c>
      <c r="CB253" s="41" t="str">
        <f t="shared" si="120"/>
        <v>DPN N420C</v>
      </c>
      <c r="CC253" s="214" t="s">
        <v>544</v>
      </c>
      <c r="CD253" s="214">
        <v>4</v>
      </c>
      <c r="CE253" s="214">
        <v>20</v>
      </c>
      <c r="CF253" s="214" t="s">
        <v>58</v>
      </c>
      <c r="CG253" s="201" t="s">
        <v>292</v>
      </c>
      <c r="DH253" s="22"/>
      <c r="DI253" s="22"/>
      <c r="DJ253" s="22"/>
      <c r="DK253" s="344"/>
      <c r="DL253" s="361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22"/>
      <c r="EG253" s="22"/>
      <c r="EH253" s="22"/>
      <c r="EI253" s="22"/>
      <c r="EJ253" s="22"/>
      <c r="EK253" s="22"/>
      <c r="EL253" s="22"/>
      <c r="EM253" s="22"/>
      <c r="EN253" s="344"/>
      <c r="EO253" s="344"/>
      <c r="EP253" s="22"/>
      <c r="EQ253" s="22"/>
      <c r="ER253" s="22"/>
      <c r="EU253" s="344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</row>
    <row r="254" spans="27:161" ht="14.25" thickTop="1" thickBot="1" x14ac:dyDescent="0.25">
      <c r="AA254" s="49"/>
      <c r="AB254" s="437"/>
      <c r="AC254" s="49"/>
      <c r="AJ254" s="102" t="str">
        <f t="shared" si="118"/>
        <v>NSX630</v>
      </c>
      <c r="AK254" s="324" t="s">
        <v>115</v>
      </c>
      <c r="AL254" s="324"/>
      <c r="AM254" s="325">
        <v>630</v>
      </c>
      <c r="AO254" s="102" t="str">
        <f t="shared" si="119"/>
        <v>iDPN N32</v>
      </c>
      <c r="AP254" s="222" t="s">
        <v>543</v>
      </c>
      <c r="AQ254" s="256"/>
      <c r="AR254" s="256">
        <v>32</v>
      </c>
      <c r="AS254" s="256" t="s">
        <v>57</v>
      </c>
      <c r="BB254" s="9" t="s">
        <v>73</v>
      </c>
      <c r="BC254" s="11">
        <f>0.92*BC261</f>
        <v>57.96</v>
      </c>
      <c r="BD254" s="231">
        <v>1</v>
      </c>
      <c r="BE254" s="232" t="s">
        <v>352</v>
      </c>
      <c r="CB254" s="41" t="str">
        <f t="shared" si="120"/>
        <v>DPN N425C</v>
      </c>
      <c r="CC254" s="214" t="s">
        <v>544</v>
      </c>
      <c r="CD254" s="214">
        <v>4</v>
      </c>
      <c r="CE254" s="214">
        <v>25</v>
      </c>
      <c r="CF254" s="214" t="s">
        <v>58</v>
      </c>
      <c r="CG254" s="201" t="s">
        <v>595</v>
      </c>
      <c r="DH254" s="22"/>
      <c r="DI254" s="22"/>
      <c r="DJ254" s="22"/>
      <c r="DK254" s="344"/>
      <c r="DL254" s="361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22"/>
      <c r="EG254" s="22"/>
      <c r="EH254" s="22"/>
      <c r="EI254" s="22"/>
      <c r="EJ254" s="22"/>
      <c r="EK254" s="22"/>
      <c r="EL254" s="22"/>
      <c r="EM254" s="22"/>
      <c r="EN254" s="344"/>
      <c r="EO254" s="344"/>
      <c r="EP254" s="22"/>
      <c r="EQ254" s="22"/>
      <c r="ER254" s="22"/>
      <c r="EU254" s="344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</row>
    <row r="255" spans="27:161" ht="14.25" thickTop="1" thickBot="1" x14ac:dyDescent="0.25">
      <c r="AA255" s="49"/>
      <c r="AB255" s="437"/>
      <c r="AC255" s="49"/>
      <c r="AJ255" s="102" t="str">
        <f t="shared" si="118"/>
        <v>NSX100NA</v>
      </c>
      <c r="AK255" s="250" t="s">
        <v>143</v>
      </c>
      <c r="AL255" s="250"/>
      <c r="AM255" s="251">
        <v>100</v>
      </c>
      <c r="AO255" s="102" t="str">
        <f t="shared" si="119"/>
        <v>iDPN N32</v>
      </c>
      <c r="AP255" s="222" t="s">
        <v>543</v>
      </c>
      <c r="AQ255" s="240"/>
      <c r="AR255" s="244">
        <v>32</v>
      </c>
      <c r="AS255" s="222" t="s">
        <v>58</v>
      </c>
      <c r="BB255" s="9" t="s">
        <v>73</v>
      </c>
      <c r="BC255" s="11">
        <f>0.93*BC261</f>
        <v>58.59</v>
      </c>
      <c r="BD255" s="231">
        <v>2</v>
      </c>
      <c r="BE255" s="233" t="s">
        <v>30</v>
      </c>
      <c r="CB255" s="41" t="str">
        <f t="shared" si="120"/>
        <v>DPN N425C</v>
      </c>
      <c r="CC255" s="214" t="s">
        <v>544</v>
      </c>
      <c r="CD255" s="214">
        <v>4</v>
      </c>
      <c r="CE255" s="214">
        <v>25</v>
      </c>
      <c r="CF255" s="214" t="s">
        <v>58</v>
      </c>
      <c r="CG255" s="201" t="s">
        <v>597</v>
      </c>
      <c r="DH255" s="22"/>
      <c r="DI255" s="22"/>
      <c r="DJ255" s="22"/>
      <c r="DK255" s="344"/>
      <c r="DL255" s="361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22"/>
      <c r="EG255" s="22"/>
      <c r="EH255" s="22"/>
      <c r="EI255" s="22"/>
      <c r="EJ255" s="22"/>
      <c r="EK255" s="22"/>
      <c r="EL255" s="22"/>
      <c r="EM255" s="22"/>
      <c r="EN255" s="344"/>
      <c r="EO255" s="344"/>
      <c r="EP255" s="22"/>
      <c r="EQ255" s="22"/>
      <c r="ER255" s="22"/>
      <c r="EU255" s="344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</row>
    <row r="256" spans="27:161" ht="14.25" thickTop="1" thickBot="1" x14ac:dyDescent="0.25">
      <c r="AA256" s="49"/>
      <c r="AB256" s="437"/>
      <c r="AC256" s="49"/>
      <c r="AJ256" s="102" t="str">
        <f t="shared" si="118"/>
        <v>NSX160NA</v>
      </c>
      <c r="AK256" s="250" t="s">
        <v>144</v>
      </c>
      <c r="AL256" s="250"/>
      <c r="AM256" s="251">
        <v>160</v>
      </c>
      <c r="AO256" s="102" t="str">
        <f t="shared" si="119"/>
        <v>iDPN N40</v>
      </c>
      <c r="AP256" s="222" t="s">
        <v>543</v>
      </c>
      <c r="AQ256" s="256"/>
      <c r="AR256" s="256">
        <v>40</v>
      </c>
      <c r="AS256" s="256" t="s">
        <v>57</v>
      </c>
      <c r="BB256" s="9" t="s">
        <v>73</v>
      </c>
      <c r="BC256" s="11">
        <f>0.94*BC261</f>
        <v>59.22</v>
      </c>
      <c r="BD256" s="231">
        <v>2</v>
      </c>
      <c r="BE256" s="232" t="s">
        <v>853</v>
      </c>
      <c r="CB256" s="41" t="str">
        <f t="shared" si="120"/>
        <v>DPN N425C</v>
      </c>
      <c r="CC256" s="214" t="s">
        <v>544</v>
      </c>
      <c r="CD256" s="214">
        <v>4</v>
      </c>
      <c r="CE256" s="214">
        <v>25</v>
      </c>
      <c r="CF256" s="214" t="s">
        <v>58</v>
      </c>
      <c r="CG256" s="201" t="s">
        <v>290</v>
      </c>
      <c r="DH256" s="22"/>
      <c r="DI256" s="22"/>
      <c r="DJ256" s="22"/>
      <c r="DK256" s="344"/>
      <c r="DL256" s="361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22"/>
      <c r="EG256" s="22"/>
      <c r="EH256" s="22"/>
      <c r="EI256" s="22"/>
      <c r="EJ256" s="22"/>
      <c r="EK256" s="22"/>
      <c r="EL256" s="22"/>
      <c r="EM256" s="22"/>
      <c r="EN256" s="344"/>
      <c r="EO256" s="344"/>
      <c r="EP256" s="22"/>
      <c r="EQ256" s="22"/>
      <c r="ER256" s="22"/>
      <c r="EU256" s="344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</row>
    <row r="257" spans="27:161" ht="14.25" thickTop="1" thickBot="1" x14ac:dyDescent="0.25">
      <c r="AA257" s="155"/>
      <c r="AB257" s="437"/>
      <c r="AC257" s="49"/>
      <c r="AJ257" s="102" t="str">
        <f t="shared" si="118"/>
        <v>NSX250NA</v>
      </c>
      <c r="AK257" s="250" t="s">
        <v>145</v>
      </c>
      <c r="AL257" s="250"/>
      <c r="AM257" s="251">
        <v>250</v>
      </c>
      <c r="AO257" s="102" t="str">
        <f t="shared" si="119"/>
        <v>iDPN N40</v>
      </c>
      <c r="AP257" s="222" t="s">
        <v>543</v>
      </c>
      <c r="AQ257" s="240"/>
      <c r="AR257" s="244">
        <v>40</v>
      </c>
      <c r="AS257" s="222" t="s">
        <v>58</v>
      </c>
      <c r="BB257" s="9" t="s">
        <v>73</v>
      </c>
      <c r="BC257" s="11">
        <f>0.95*BC261</f>
        <v>59.849999999999994</v>
      </c>
      <c r="BD257" s="231">
        <v>2</v>
      </c>
      <c r="BE257" s="232" t="s">
        <v>855</v>
      </c>
      <c r="BF257" s="18"/>
      <c r="BG257" s="18"/>
      <c r="BH257" s="18"/>
      <c r="BI257" s="18"/>
      <c r="BJ257" s="18"/>
      <c r="BK257" s="18"/>
      <c r="CB257" s="41" t="str">
        <f t="shared" si="120"/>
        <v>DPN N425C</v>
      </c>
      <c r="CC257" s="214" t="s">
        <v>544</v>
      </c>
      <c r="CD257" s="214">
        <v>4</v>
      </c>
      <c r="CE257" s="214">
        <v>25</v>
      </c>
      <c r="CF257" s="214" t="s">
        <v>58</v>
      </c>
      <c r="CG257" s="201" t="s">
        <v>291</v>
      </c>
      <c r="CH257" s="18"/>
      <c r="CJ257" s="18"/>
      <c r="CK257" s="18"/>
      <c r="CL257" s="18"/>
      <c r="CM257" s="18"/>
      <c r="CN257" s="18"/>
      <c r="DH257" s="22"/>
      <c r="DI257" s="22"/>
      <c r="DJ257" s="22"/>
      <c r="DK257" s="344"/>
      <c r="DL257" s="361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22"/>
      <c r="EG257" s="22"/>
      <c r="EH257" s="22"/>
      <c r="EI257" s="22"/>
      <c r="EJ257" s="22"/>
      <c r="EK257" s="22"/>
      <c r="EL257" s="22"/>
      <c r="EM257" s="22"/>
      <c r="EN257" s="344"/>
      <c r="EO257" s="344"/>
      <c r="EP257" s="22"/>
      <c r="EQ257" s="22"/>
      <c r="ER257" s="22"/>
      <c r="EU257" s="344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</row>
    <row r="258" spans="27:161" ht="14.25" thickTop="1" thickBot="1" x14ac:dyDescent="0.25">
      <c r="AA258" s="155"/>
      <c r="AB258" s="437"/>
      <c r="AC258" s="49"/>
      <c r="AJ258" s="102" t="str">
        <f t="shared" si="118"/>
        <v>NSX400NA</v>
      </c>
      <c r="AK258" s="250" t="s">
        <v>146</v>
      </c>
      <c r="AL258" s="250"/>
      <c r="AM258" s="251">
        <v>400</v>
      </c>
      <c r="AO258" s="102" t="str">
        <f t="shared" si="119"/>
        <v>iDPN H6</v>
      </c>
      <c r="AP258" s="246" t="s">
        <v>542</v>
      </c>
      <c r="AQ258" s="201"/>
      <c r="AR258" s="244">
        <v>6</v>
      </c>
      <c r="AS258" s="222" t="s">
        <v>57</v>
      </c>
      <c r="BB258" s="9" t="s">
        <v>73</v>
      </c>
      <c r="BC258" s="11">
        <f>0.96*BC261</f>
        <v>60.48</v>
      </c>
      <c r="BD258" s="231">
        <v>2</v>
      </c>
      <c r="BE258" s="232" t="s">
        <v>856</v>
      </c>
      <c r="CB258" s="41" t="str">
        <f t="shared" si="120"/>
        <v>DPN N425C</v>
      </c>
      <c r="CC258" s="214" t="s">
        <v>544</v>
      </c>
      <c r="CD258" s="214">
        <v>4</v>
      </c>
      <c r="CE258" s="214">
        <v>25</v>
      </c>
      <c r="CF258" s="214" t="s">
        <v>58</v>
      </c>
      <c r="CG258" s="201" t="s">
        <v>292</v>
      </c>
      <c r="DH258" s="22"/>
      <c r="DI258" s="22"/>
      <c r="DJ258" s="22"/>
      <c r="DK258" s="344"/>
      <c r="DL258" s="361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22"/>
      <c r="EG258" s="22"/>
      <c r="EH258" s="22"/>
      <c r="EI258" s="22"/>
      <c r="EJ258" s="22"/>
      <c r="EK258" s="22"/>
      <c r="EL258" s="22"/>
      <c r="EM258" s="22"/>
      <c r="EN258" s="344"/>
      <c r="EO258" s="344"/>
      <c r="EP258" s="22"/>
      <c r="EQ258" s="22"/>
      <c r="ER258" s="22"/>
      <c r="EU258" s="344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</row>
    <row r="259" spans="27:161" ht="14.25" thickTop="1" thickBot="1" x14ac:dyDescent="0.25">
      <c r="AA259" s="155"/>
      <c r="AB259" s="437"/>
      <c r="AC259" s="49"/>
      <c r="AJ259" s="102" t="str">
        <f t="shared" ref="AJ259:AJ306" si="122">AK259&amp;AL259</f>
        <v>NSX630NA</v>
      </c>
      <c r="AK259" s="250" t="s">
        <v>147</v>
      </c>
      <c r="AL259" s="250"/>
      <c r="AM259" s="251">
        <v>630</v>
      </c>
      <c r="AO259" s="102" t="str">
        <f t="shared" ref="AO259:AO285" si="123">AP259&amp;AQ259&amp;AR259</f>
        <v>iDPN H6</v>
      </c>
      <c r="AP259" s="246" t="s">
        <v>542</v>
      </c>
      <c r="AQ259" s="201"/>
      <c r="AR259" s="244">
        <v>6</v>
      </c>
      <c r="AS259" s="222" t="s">
        <v>58</v>
      </c>
      <c r="BB259" s="9" t="s">
        <v>73</v>
      </c>
      <c r="BC259" s="11">
        <f>0.97*BC261</f>
        <v>61.11</v>
      </c>
      <c r="BD259" s="231">
        <v>2</v>
      </c>
      <c r="BE259" s="232" t="s">
        <v>353</v>
      </c>
      <c r="CB259" s="41" t="str">
        <f t="shared" ref="CB259:CB322" si="124">CC259&amp;CD259&amp;CE259&amp;CF259</f>
        <v>DPN N432C</v>
      </c>
      <c r="CC259" s="214" t="s">
        <v>544</v>
      </c>
      <c r="CD259" s="214">
        <v>4</v>
      </c>
      <c r="CE259" s="214">
        <v>32</v>
      </c>
      <c r="CF259" s="214" t="s">
        <v>58</v>
      </c>
      <c r="CG259" s="201" t="s">
        <v>595</v>
      </c>
      <c r="DH259" s="22"/>
      <c r="DI259" s="22"/>
      <c r="DJ259" s="22"/>
      <c r="DK259" s="344"/>
      <c r="DL259" s="361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22"/>
      <c r="EG259" s="22"/>
      <c r="EH259" s="22"/>
      <c r="EI259" s="22"/>
      <c r="EJ259" s="22"/>
      <c r="EK259" s="22"/>
      <c r="EL259" s="22"/>
      <c r="EM259" s="22"/>
      <c r="EN259" s="344"/>
      <c r="EO259" s="344"/>
      <c r="EP259" s="22"/>
      <c r="EQ259" s="22"/>
      <c r="ER259" s="22"/>
      <c r="EU259" s="344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</row>
    <row r="260" spans="27:161" ht="13.5" thickTop="1" x14ac:dyDescent="0.2">
      <c r="AA260" s="155"/>
      <c r="AB260" s="437"/>
      <c r="AC260" s="49"/>
      <c r="AJ260" s="102" t="str">
        <f t="shared" si="122"/>
        <v>iC60 (АВР.ПР06-025)</v>
      </c>
      <c r="AK260" s="319" t="s">
        <v>736</v>
      </c>
      <c r="AL260" s="319"/>
      <c r="AM260" s="326">
        <v>16</v>
      </c>
      <c r="AO260" s="102" t="str">
        <f t="shared" si="123"/>
        <v>iDPN H10</v>
      </c>
      <c r="AP260" s="246" t="s">
        <v>542</v>
      </c>
      <c r="AQ260" s="201"/>
      <c r="AR260" s="244">
        <v>10</v>
      </c>
      <c r="AS260" s="222" t="s">
        <v>57</v>
      </c>
      <c r="BB260" s="9" t="s">
        <v>73</v>
      </c>
      <c r="BC260" s="11">
        <f>0.98*BC261</f>
        <v>61.74</v>
      </c>
      <c r="BD260" s="231">
        <v>2</v>
      </c>
      <c r="BE260" s="232" t="s">
        <v>354</v>
      </c>
      <c r="CB260" s="41" t="str">
        <f t="shared" si="124"/>
        <v>DPN N432C</v>
      </c>
      <c r="CC260" s="214" t="s">
        <v>544</v>
      </c>
      <c r="CD260" s="214">
        <v>4</v>
      </c>
      <c r="CE260" s="214">
        <v>32</v>
      </c>
      <c r="CF260" s="214" t="s">
        <v>58</v>
      </c>
      <c r="CG260" s="201" t="s">
        <v>597</v>
      </c>
      <c r="DH260" s="22"/>
      <c r="DI260" s="22"/>
      <c r="DJ260" s="22"/>
      <c r="DK260" s="344"/>
      <c r="DL260" s="361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22"/>
      <c r="EG260" s="22"/>
      <c r="EH260" s="22"/>
      <c r="EI260" s="22"/>
      <c r="EJ260" s="22"/>
      <c r="EK260" s="22"/>
      <c r="EL260" s="22"/>
      <c r="EM260" s="22"/>
      <c r="EN260" s="344"/>
      <c r="EO260" s="344"/>
      <c r="EP260" s="22"/>
      <c r="EQ260" s="22"/>
      <c r="ER260" s="22"/>
      <c r="EU260" s="344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</row>
    <row r="261" spans="27:161" x14ac:dyDescent="0.2">
      <c r="AA261" s="155"/>
      <c r="AB261" s="437"/>
      <c r="AC261" s="49"/>
      <c r="AJ261" s="102" t="str">
        <f t="shared" si="122"/>
        <v>iC60 (АВР.ПР06-025)</v>
      </c>
      <c r="AK261" s="296" t="s">
        <v>736</v>
      </c>
      <c r="AL261" s="296"/>
      <c r="AM261" s="327">
        <v>20</v>
      </c>
      <c r="AO261" s="102" t="str">
        <f t="shared" si="123"/>
        <v>iDPN H10</v>
      </c>
      <c r="AP261" s="246" t="s">
        <v>542</v>
      </c>
      <c r="AQ261" s="201"/>
      <c r="AR261" s="244">
        <v>10</v>
      </c>
      <c r="AS261" s="222" t="s">
        <v>58</v>
      </c>
      <c r="BB261" s="9" t="s">
        <v>73</v>
      </c>
      <c r="BC261" s="11">
        <v>63</v>
      </c>
      <c r="BD261" s="231">
        <v>2</v>
      </c>
      <c r="BE261" s="232" t="s">
        <v>351</v>
      </c>
      <c r="CB261" s="41" t="str">
        <f t="shared" si="124"/>
        <v>DPN N432C</v>
      </c>
      <c r="CC261" s="214" t="s">
        <v>544</v>
      </c>
      <c r="CD261" s="214">
        <v>4</v>
      </c>
      <c r="CE261" s="214">
        <v>32</v>
      </c>
      <c r="CF261" s="214" t="s">
        <v>58</v>
      </c>
      <c r="CG261" s="201" t="s">
        <v>290</v>
      </c>
      <c r="DH261" s="22"/>
      <c r="DI261" s="22"/>
      <c r="DJ261" s="22"/>
      <c r="DK261" s="344"/>
      <c r="DL261" s="361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22"/>
      <c r="EG261" s="22"/>
      <c r="EH261" s="22"/>
      <c r="EI261" s="22"/>
      <c r="EJ261" s="22"/>
      <c r="EK261" s="22"/>
      <c r="EL261" s="22"/>
      <c r="EM261" s="22"/>
      <c r="EN261" s="344"/>
      <c r="EO261" s="344"/>
      <c r="EP261" s="22"/>
      <c r="EQ261" s="22"/>
      <c r="ER261" s="22"/>
      <c r="EU261" s="344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</row>
    <row r="262" spans="27:161" x14ac:dyDescent="0.2">
      <c r="AA262" s="155"/>
      <c r="AB262" s="437"/>
      <c r="AC262" s="49"/>
      <c r="AJ262" s="102" t="str">
        <f t="shared" si="122"/>
        <v>iC60 (АВР.ПР06-025)</v>
      </c>
      <c r="AK262" s="296" t="s">
        <v>736</v>
      </c>
      <c r="AL262" s="296"/>
      <c r="AM262" s="327">
        <v>25</v>
      </c>
      <c r="AO262" s="102" t="str">
        <f t="shared" si="123"/>
        <v>iDPN H16</v>
      </c>
      <c r="AP262" s="246" t="s">
        <v>542</v>
      </c>
      <c r="AQ262" s="201"/>
      <c r="AR262" s="244">
        <v>16</v>
      </c>
      <c r="AS262" s="222" t="s">
        <v>57</v>
      </c>
      <c r="BB262" s="9" t="s">
        <v>73</v>
      </c>
      <c r="BC262" s="11">
        <f>0.9*BC270</f>
        <v>63</v>
      </c>
      <c r="BD262" s="231">
        <v>2</v>
      </c>
      <c r="BE262" s="232" t="s">
        <v>355</v>
      </c>
      <c r="CB262" s="41" t="str">
        <f t="shared" si="124"/>
        <v>DPN N432C</v>
      </c>
      <c r="CC262" s="214" t="s">
        <v>544</v>
      </c>
      <c r="CD262" s="214">
        <v>4</v>
      </c>
      <c r="CE262" s="214">
        <v>32</v>
      </c>
      <c r="CF262" s="214" t="s">
        <v>58</v>
      </c>
      <c r="CG262" s="201" t="s">
        <v>291</v>
      </c>
      <c r="DH262" s="22"/>
      <c r="DI262" s="22"/>
      <c r="DJ262" s="22"/>
      <c r="DK262" s="344"/>
      <c r="DL262" s="361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22"/>
      <c r="EG262" s="22"/>
      <c r="EH262" s="22"/>
      <c r="EI262" s="22"/>
      <c r="EJ262" s="22"/>
      <c r="EK262" s="22"/>
      <c r="EL262" s="22"/>
      <c r="EM262" s="22"/>
      <c r="EN262" s="344"/>
      <c r="EO262" s="344"/>
      <c r="EP262" s="22"/>
      <c r="EQ262" s="22"/>
      <c r="ER262" s="22"/>
      <c r="EU262" s="344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</row>
    <row r="263" spans="27:161" x14ac:dyDescent="0.2">
      <c r="AA263" s="155"/>
      <c r="AB263" s="437"/>
      <c r="AC263" s="49"/>
      <c r="AJ263" s="102" t="str">
        <f t="shared" si="122"/>
        <v>iC60 (АВР.ПР06-040)</v>
      </c>
      <c r="AK263" s="296" t="s">
        <v>739</v>
      </c>
      <c r="AL263" s="296"/>
      <c r="AM263" s="327">
        <v>32</v>
      </c>
      <c r="AO263" s="102" t="str">
        <f t="shared" si="123"/>
        <v>iDPN H16</v>
      </c>
      <c r="AP263" s="246" t="s">
        <v>542</v>
      </c>
      <c r="AQ263" s="201"/>
      <c r="AR263" s="244">
        <v>16</v>
      </c>
      <c r="AS263" s="222" t="s">
        <v>58</v>
      </c>
      <c r="BB263" s="9" t="s">
        <v>73</v>
      </c>
      <c r="BC263" s="11">
        <f>0.92*BC270</f>
        <v>64.400000000000006</v>
      </c>
      <c r="BD263" s="231">
        <v>2</v>
      </c>
      <c r="BE263" s="232" t="s">
        <v>352</v>
      </c>
      <c r="CB263" s="41" t="str">
        <f t="shared" si="124"/>
        <v>DPN N432C</v>
      </c>
      <c r="CC263" s="214" t="s">
        <v>544</v>
      </c>
      <c r="CD263" s="214">
        <v>4</v>
      </c>
      <c r="CE263" s="214">
        <v>32</v>
      </c>
      <c r="CF263" s="214" t="s">
        <v>58</v>
      </c>
      <c r="CG263" s="201" t="s">
        <v>292</v>
      </c>
      <c r="DH263" s="22"/>
      <c r="DI263" s="22"/>
      <c r="DJ263" s="22"/>
      <c r="DK263" s="344"/>
      <c r="DL263" s="361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22"/>
      <c r="EG263" s="22"/>
      <c r="EH263" s="22"/>
      <c r="EI263" s="22"/>
      <c r="EJ263" s="22"/>
      <c r="EK263" s="22"/>
      <c r="EL263" s="22"/>
      <c r="EM263" s="22"/>
      <c r="EN263" s="344"/>
      <c r="EO263" s="344"/>
      <c r="EP263" s="22"/>
      <c r="EQ263" s="22"/>
      <c r="ER263" s="22"/>
      <c r="EU263" s="344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</row>
    <row r="264" spans="27:161" x14ac:dyDescent="0.2">
      <c r="AA264" s="155"/>
      <c r="AB264" s="437"/>
      <c r="AC264" s="49"/>
      <c r="AJ264" s="102" t="str">
        <f t="shared" si="122"/>
        <v>iC60 (АВР.ПР06-040)</v>
      </c>
      <c r="AK264" s="296" t="s">
        <v>739</v>
      </c>
      <c r="AL264" s="296"/>
      <c r="AM264" s="327">
        <v>40</v>
      </c>
      <c r="AO264" s="102" t="str">
        <f t="shared" si="123"/>
        <v>iDPN H20</v>
      </c>
      <c r="AP264" s="246" t="s">
        <v>542</v>
      </c>
      <c r="AQ264" s="201"/>
      <c r="AR264" s="244">
        <v>20</v>
      </c>
      <c r="AS264" s="222" t="s">
        <v>57</v>
      </c>
      <c r="BB264" s="9" t="s">
        <v>73</v>
      </c>
      <c r="BC264" s="11">
        <f>0.93*BC270</f>
        <v>65.100000000000009</v>
      </c>
      <c r="BD264" s="231">
        <v>3</v>
      </c>
      <c r="BE264" s="233" t="s">
        <v>30</v>
      </c>
      <c r="CB264" s="41" t="str">
        <f t="shared" si="124"/>
        <v>DPN N440C</v>
      </c>
      <c r="CC264" s="214" t="s">
        <v>544</v>
      </c>
      <c r="CD264" s="214">
        <v>4</v>
      </c>
      <c r="CE264" s="214">
        <v>40</v>
      </c>
      <c r="CF264" s="214" t="s">
        <v>58</v>
      </c>
      <c r="CG264" s="201" t="s">
        <v>595</v>
      </c>
      <c r="DH264" s="22"/>
      <c r="DI264" s="22"/>
      <c r="DJ264" s="22"/>
      <c r="DK264" s="344"/>
      <c r="DL264" s="361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22"/>
      <c r="EG264" s="22"/>
      <c r="EH264" s="22"/>
      <c r="EI264" s="22"/>
      <c r="EJ264" s="22"/>
      <c r="EK264" s="22"/>
      <c r="EL264" s="22"/>
      <c r="EM264" s="22"/>
      <c r="EN264" s="344"/>
      <c r="EO264" s="344"/>
      <c r="EP264" s="22"/>
      <c r="EQ264" s="22"/>
      <c r="ER264" s="22"/>
      <c r="EU264" s="344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</row>
    <row r="265" spans="27:161" x14ac:dyDescent="0.2">
      <c r="AA265" s="8"/>
      <c r="AB265" s="437"/>
      <c r="AC265" s="155"/>
      <c r="AJ265" s="102" t="str">
        <f t="shared" si="122"/>
        <v>iC60 (АВР.ПР06-063)</v>
      </c>
      <c r="AK265" s="296" t="s">
        <v>740</v>
      </c>
      <c r="AL265" s="296"/>
      <c r="AM265" s="327">
        <v>50</v>
      </c>
      <c r="AO265" s="102" t="str">
        <f t="shared" si="123"/>
        <v>iDPN H20</v>
      </c>
      <c r="AP265" s="246" t="s">
        <v>542</v>
      </c>
      <c r="AQ265" s="201"/>
      <c r="AR265" s="244">
        <v>20</v>
      </c>
      <c r="AS265" s="222" t="s">
        <v>58</v>
      </c>
      <c r="BB265" s="9" t="s">
        <v>73</v>
      </c>
      <c r="BC265" s="11">
        <f>0.94*BC270</f>
        <v>65.8</v>
      </c>
      <c r="BD265" s="231">
        <v>3</v>
      </c>
      <c r="BE265" s="232" t="s">
        <v>853</v>
      </c>
      <c r="CB265" s="41" t="str">
        <f t="shared" si="124"/>
        <v>DPN N440C</v>
      </c>
      <c r="CC265" s="214" t="s">
        <v>544</v>
      </c>
      <c r="CD265" s="214">
        <v>4</v>
      </c>
      <c r="CE265" s="214">
        <v>40</v>
      </c>
      <c r="CF265" s="214" t="s">
        <v>58</v>
      </c>
      <c r="CG265" s="201" t="s">
        <v>597</v>
      </c>
      <c r="DH265" s="22"/>
      <c r="DI265" s="22"/>
      <c r="DJ265" s="22"/>
      <c r="DK265" s="344"/>
      <c r="DL265" s="361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22"/>
      <c r="EG265" s="22"/>
      <c r="EH265" s="22"/>
      <c r="EI265" s="22"/>
      <c r="EJ265" s="22"/>
      <c r="EK265" s="22"/>
      <c r="EL265" s="22"/>
      <c r="EM265" s="22"/>
      <c r="EN265" s="344"/>
      <c r="EO265" s="344"/>
      <c r="EP265" s="22"/>
      <c r="EQ265" s="22"/>
      <c r="ER265" s="22"/>
      <c r="EU265" s="344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</row>
    <row r="266" spans="27:161" ht="13.5" thickBot="1" x14ac:dyDescent="0.25">
      <c r="AA266" s="8"/>
      <c r="AB266" s="437"/>
      <c r="AC266" s="155"/>
      <c r="AE266" s="116"/>
      <c r="AF266" s="119"/>
      <c r="AJ266" s="102" t="str">
        <f t="shared" si="122"/>
        <v>iC60 (АВР.ПР06-063)</v>
      </c>
      <c r="AK266" s="321" t="s">
        <v>740</v>
      </c>
      <c r="AL266" s="321"/>
      <c r="AM266" s="328">
        <v>63</v>
      </c>
      <c r="AO266" s="102" t="str">
        <f t="shared" si="123"/>
        <v>iDPN H25</v>
      </c>
      <c r="AP266" s="246" t="s">
        <v>542</v>
      </c>
      <c r="AQ266" s="201"/>
      <c r="AR266" s="244">
        <v>25</v>
      </c>
      <c r="AS266" s="222" t="s">
        <v>57</v>
      </c>
      <c r="BB266" s="9" t="s">
        <v>73</v>
      </c>
      <c r="BC266" s="11">
        <f>0.95*BC270</f>
        <v>66.5</v>
      </c>
      <c r="BD266" s="231">
        <v>3</v>
      </c>
      <c r="BE266" s="232" t="s">
        <v>855</v>
      </c>
      <c r="CB266" s="41" t="str">
        <f t="shared" si="124"/>
        <v>DPN N440C</v>
      </c>
      <c r="CC266" s="214" t="s">
        <v>544</v>
      </c>
      <c r="CD266" s="214">
        <v>4</v>
      </c>
      <c r="CE266" s="214">
        <v>40</v>
      </c>
      <c r="CF266" s="214" t="s">
        <v>58</v>
      </c>
      <c r="CG266" s="201" t="s">
        <v>290</v>
      </c>
      <c r="DH266" s="22"/>
      <c r="DI266" s="22"/>
      <c r="DJ266" s="22"/>
      <c r="DK266" s="344"/>
      <c r="DL266" s="361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22"/>
      <c r="EG266" s="22"/>
      <c r="EH266" s="22"/>
      <c r="EI266" s="22"/>
      <c r="EJ266" s="22"/>
      <c r="EK266" s="22"/>
      <c r="EL266" s="22"/>
      <c r="EM266" s="22"/>
      <c r="EN266" s="344"/>
      <c r="EO266" s="344"/>
      <c r="EP266" s="22"/>
      <c r="EQ266" s="22"/>
      <c r="ER266" s="22"/>
      <c r="EU266" s="344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</row>
    <row r="267" spans="27:161" ht="13.5" thickTop="1" x14ac:dyDescent="0.2">
      <c r="AA267" s="8"/>
      <c r="AB267" s="437"/>
      <c r="AC267" s="155"/>
      <c r="AE267" s="116"/>
      <c r="AF267" s="119"/>
      <c r="AJ267" s="102" t="str">
        <f t="shared" si="122"/>
        <v>iSW (АВР.ПР06-020)</v>
      </c>
      <c r="AK267" s="320" t="s">
        <v>337</v>
      </c>
      <c r="AL267" s="320"/>
      <c r="AM267" s="329">
        <v>20</v>
      </c>
      <c r="AO267" s="102" t="str">
        <f t="shared" si="123"/>
        <v>iDPN H25</v>
      </c>
      <c r="AP267" s="246" t="s">
        <v>542</v>
      </c>
      <c r="AQ267" s="201"/>
      <c r="AR267" s="244">
        <v>25</v>
      </c>
      <c r="AS267" s="222" t="s">
        <v>58</v>
      </c>
      <c r="BB267" s="9" t="s">
        <v>73</v>
      </c>
      <c r="BC267" s="11">
        <f>0.96*BC270</f>
        <v>67.2</v>
      </c>
      <c r="BD267" s="231">
        <v>3</v>
      </c>
      <c r="BE267" s="232" t="s">
        <v>856</v>
      </c>
      <c r="BF267" s="40"/>
      <c r="BG267" s="40"/>
      <c r="BH267" s="40"/>
      <c r="BI267" s="40"/>
      <c r="BJ267" s="40"/>
      <c r="BK267" s="40"/>
      <c r="BL267" s="40"/>
      <c r="CB267" s="41" t="str">
        <f t="shared" si="124"/>
        <v>DPN N440C</v>
      </c>
      <c r="CC267" s="214" t="s">
        <v>544</v>
      </c>
      <c r="CD267" s="214">
        <v>4</v>
      </c>
      <c r="CE267" s="214">
        <v>40</v>
      </c>
      <c r="CF267" s="214" t="s">
        <v>58</v>
      </c>
      <c r="CG267" s="201" t="s">
        <v>291</v>
      </c>
      <c r="CH267" s="40"/>
      <c r="CJ267" s="40"/>
      <c r="CK267" s="40"/>
      <c r="CL267" s="40"/>
      <c r="CM267" s="40"/>
      <c r="CN267" s="40"/>
      <c r="DH267" s="22"/>
      <c r="DI267" s="22"/>
      <c r="DJ267" s="22"/>
      <c r="DK267" s="344"/>
      <c r="DL267" s="361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22"/>
      <c r="EG267" s="22"/>
      <c r="EH267" s="22"/>
      <c r="EI267" s="22"/>
      <c r="EJ267" s="22"/>
      <c r="EK267" s="22"/>
      <c r="EL267" s="22"/>
      <c r="EM267" s="22"/>
      <c r="EN267" s="344"/>
      <c r="EO267" s="344"/>
      <c r="EP267" s="22"/>
      <c r="EQ267" s="22"/>
      <c r="ER267" s="22"/>
      <c r="EU267" s="344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</row>
    <row r="268" spans="27:161" ht="13.5" thickBot="1" x14ac:dyDescent="0.25">
      <c r="AA268" s="8"/>
      <c r="AB268" s="437"/>
      <c r="AC268" s="155"/>
      <c r="AE268" s="116"/>
      <c r="AF268" s="119"/>
      <c r="AJ268" s="102" t="str">
        <f t="shared" si="122"/>
        <v>iSW (АВР.ПР06-032)</v>
      </c>
      <c r="AK268" s="296" t="s">
        <v>332</v>
      </c>
      <c r="AL268" s="296"/>
      <c r="AM268" s="327">
        <v>32</v>
      </c>
      <c r="AO268" s="102" t="str">
        <f t="shared" si="123"/>
        <v>iDPN H32</v>
      </c>
      <c r="AP268" s="246" t="s">
        <v>542</v>
      </c>
      <c r="AQ268" s="201"/>
      <c r="AR268" s="244">
        <v>32</v>
      </c>
      <c r="AS268" s="222" t="s">
        <v>57</v>
      </c>
      <c r="BB268" s="9" t="s">
        <v>73</v>
      </c>
      <c r="BC268" s="11">
        <f>0.97*BC270</f>
        <v>67.899999999999991</v>
      </c>
      <c r="BD268" s="231">
        <v>3</v>
      </c>
      <c r="BE268" s="232" t="s">
        <v>353</v>
      </c>
      <c r="CB268" s="41" t="str">
        <f t="shared" si="124"/>
        <v>DPN N440C</v>
      </c>
      <c r="CC268" s="216" t="s">
        <v>544</v>
      </c>
      <c r="CD268" s="216">
        <v>4</v>
      </c>
      <c r="CE268" s="216">
        <v>40</v>
      </c>
      <c r="CF268" s="216" t="s">
        <v>58</v>
      </c>
      <c r="CG268" s="217" t="s">
        <v>292</v>
      </c>
      <c r="DH268" s="22"/>
      <c r="DI268" s="22"/>
      <c r="DJ268" s="22"/>
      <c r="DK268" s="344"/>
      <c r="DL268" s="361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22"/>
      <c r="EG268" s="22"/>
      <c r="EH268" s="22"/>
      <c r="EI268" s="22"/>
      <c r="EJ268" s="22"/>
      <c r="EK268" s="22"/>
      <c r="EL268" s="22"/>
      <c r="EM268" s="22"/>
      <c r="EN268" s="344"/>
      <c r="EO268" s="344"/>
      <c r="EP268" s="22"/>
      <c r="EQ268" s="22"/>
      <c r="ER268" s="22"/>
      <c r="EU268" s="344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</row>
    <row r="269" spans="27:161" ht="13.5" thickTop="1" x14ac:dyDescent="0.2">
      <c r="AA269" s="8"/>
      <c r="AB269" s="437"/>
      <c r="AC269" s="155"/>
      <c r="AE269" s="116"/>
      <c r="AF269" s="119"/>
      <c r="AJ269" s="102" t="str">
        <f t="shared" si="122"/>
        <v>iSW (АВР.ПР06-040)</v>
      </c>
      <c r="AK269" s="296" t="s">
        <v>333</v>
      </c>
      <c r="AL269" s="296"/>
      <c r="AM269" s="327">
        <v>40</v>
      </c>
      <c r="AO269" s="102" t="str">
        <f t="shared" si="123"/>
        <v>iDPN H32</v>
      </c>
      <c r="AP269" s="246" t="s">
        <v>542</v>
      </c>
      <c r="AQ269" s="201"/>
      <c r="AR269" s="244">
        <v>32</v>
      </c>
      <c r="AS269" s="222" t="s">
        <v>58</v>
      </c>
      <c r="BB269" s="9" t="s">
        <v>73</v>
      </c>
      <c r="BC269" s="11">
        <f>0.98*BC270</f>
        <v>68.599999999999994</v>
      </c>
      <c r="BD269" s="231">
        <v>3</v>
      </c>
      <c r="BE269" s="232" t="s">
        <v>354</v>
      </c>
      <c r="CB269" s="41" t="str">
        <f t="shared" si="124"/>
        <v>iDPN N24B</v>
      </c>
      <c r="CC269" s="187" t="s">
        <v>543</v>
      </c>
      <c r="CD269" s="187">
        <v>2</v>
      </c>
      <c r="CE269" s="187">
        <v>4</v>
      </c>
      <c r="CF269" s="187" t="s">
        <v>57</v>
      </c>
      <c r="CG269" s="190" t="s">
        <v>595</v>
      </c>
      <c r="DH269" s="22"/>
      <c r="DI269" s="22"/>
      <c r="DJ269" s="22"/>
      <c r="DK269" s="344"/>
      <c r="DL269" s="361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22"/>
      <c r="EG269" s="22"/>
      <c r="EH269" s="22"/>
      <c r="EI269" s="22"/>
      <c r="EJ269" s="22"/>
      <c r="EK269" s="22"/>
      <c r="EL269" s="22"/>
      <c r="EM269" s="22"/>
      <c r="EN269" s="344"/>
      <c r="EO269" s="344"/>
      <c r="EP269" s="22"/>
      <c r="EQ269" s="22"/>
      <c r="ER269" s="22"/>
      <c r="EU269" s="344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</row>
    <row r="270" spans="27:161" x14ac:dyDescent="0.2">
      <c r="AA270" s="8"/>
      <c r="AB270" s="437"/>
      <c r="AC270" s="155"/>
      <c r="AE270" s="116"/>
      <c r="AF270" s="119"/>
      <c r="AJ270" s="102" t="str">
        <f t="shared" si="122"/>
        <v>iSW (АВР.ПР06-063)</v>
      </c>
      <c r="AK270" s="296" t="s">
        <v>334</v>
      </c>
      <c r="AL270" s="296"/>
      <c r="AM270" s="327">
        <v>63</v>
      </c>
      <c r="AO270" s="102" t="str">
        <f t="shared" si="123"/>
        <v>NSX1002,5</v>
      </c>
      <c r="AP270" s="246" t="s">
        <v>110</v>
      </c>
      <c r="AQ270" s="201"/>
      <c r="AR270" s="240">
        <v>2.5</v>
      </c>
      <c r="AS270" s="201" t="s">
        <v>1311</v>
      </c>
      <c r="BB270" s="9" t="s">
        <v>73</v>
      </c>
      <c r="BC270" s="11">
        <v>70</v>
      </c>
      <c r="BD270" s="231">
        <v>3</v>
      </c>
      <c r="BE270" s="232" t="s">
        <v>351</v>
      </c>
      <c r="CB270" s="41" t="str">
        <f t="shared" si="124"/>
        <v>iDPN N24B</v>
      </c>
      <c r="CC270" s="214" t="s">
        <v>543</v>
      </c>
      <c r="CD270" s="214">
        <v>2</v>
      </c>
      <c r="CE270" s="214">
        <v>4</v>
      </c>
      <c r="CF270" s="214" t="s">
        <v>57</v>
      </c>
      <c r="CG270" s="201" t="s">
        <v>597</v>
      </c>
      <c r="DH270" s="22"/>
      <c r="DI270" s="22"/>
      <c r="DJ270" s="22"/>
      <c r="DK270" s="344"/>
      <c r="DL270" s="361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22"/>
      <c r="EG270" s="22"/>
      <c r="EH270" s="22"/>
      <c r="EI270" s="22"/>
      <c r="EJ270" s="22"/>
      <c r="EK270" s="22"/>
      <c r="EL270" s="22"/>
      <c r="EM270" s="22"/>
      <c r="EN270" s="344"/>
      <c r="EO270" s="344"/>
      <c r="EP270" s="22"/>
      <c r="EQ270" s="22"/>
      <c r="ER270" s="22"/>
      <c r="EU270" s="344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</row>
    <row r="271" spans="27:161" x14ac:dyDescent="0.2">
      <c r="AA271" s="8"/>
      <c r="AB271" s="437"/>
      <c r="AC271" s="155"/>
      <c r="AE271" s="116"/>
      <c r="AF271" s="119"/>
      <c r="AJ271" s="102" t="str">
        <f t="shared" si="122"/>
        <v>iSW (АВР.ПР06-100)</v>
      </c>
      <c r="AK271" s="296" t="s">
        <v>335</v>
      </c>
      <c r="AL271" s="296"/>
      <c r="AM271" s="327">
        <v>100</v>
      </c>
      <c r="AO271" s="102" t="str">
        <f t="shared" si="123"/>
        <v>NSX1006,3</v>
      </c>
      <c r="AP271" s="246" t="s">
        <v>110</v>
      </c>
      <c r="AQ271" s="201"/>
      <c r="AR271" s="240">
        <v>6.3</v>
      </c>
      <c r="AS271" s="201" t="s">
        <v>1312</v>
      </c>
      <c r="BB271" s="9" t="s">
        <v>73</v>
      </c>
      <c r="BC271" s="11">
        <f>0.9*BC279</f>
        <v>72</v>
      </c>
      <c r="BD271" s="231">
        <v>3</v>
      </c>
      <c r="BE271" s="232" t="s">
        <v>355</v>
      </c>
      <c r="CB271" s="41" t="str">
        <f t="shared" si="124"/>
        <v>iDPN N24B</v>
      </c>
      <c r="CC271" s="214" t="s">
        <v>543</v>
      </c>
      <c r="CD271" s="214">
        <v>2</v>
      </c>
      <c r="CE271" s="214">
        <v>4</v>
      </c>
      <c r="CF271" s="214" t="s">
        <v>57</v>
      </c>
      <c r="CG271" s="201" t="s">
        <v>290</v>
      </c>
      <c r="DH271" s="22"/>
      <c r="DI271" s="22"/>
      <c r="DJ271" s="22"/>
      <c r="DK271" s="344"/>
      <c r="DL271" s="361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22"/>
      <c r="EG271" s="22"/>
      <c r="EH271" s="22"/>
      <c r="EI271" s="22"/>
      <c r="EJ271" s="22"/>
      <c r="EK271" s="22"/>
      <c r="EL271" s="22"/>
      <c r="EM271" s="22"/>
      <c r="EN271" s="344"/>
      <c r="EO271" s="344"/>
      <c r="EP271" s="22"/>
      <c r="EQ271" s="22"/>
      <c r="ER271" s="22"/>
      <c r="EU271" s="344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</row>
    <row r="272" spans="27:161" ht="13.5" thickBot="1" x14ac:dyDescent="0.25">
      <c r="AA272" s="8"/>
      <c r="AB272" s="437"/>
      <c r="AC272" s="155"/>
      <c r="AE272" s="116"/>
      <c r="AF272" s="119"/>
      <c r="AJ272" s="102" t="str">
        <f t="shared" si="122"/>
        <v>iSW (АВР.ПР06-125)</v>
      </c>
      <c r="AK272" s="321" t="s">
        <v>336</v>
      </c>
      <c r="AL272" s="321"/>
      <c r="AM272" s="328">
        <v>125</v>
      </c>
      <c r="AO272" s="102" t="str">
        <f t="shared" si="123"/>
        <v>NSX10012,5</v>
      </c>
      <c r="AP272" s="246" t="s">
        <v>110</v>
      </c>
      <c r="AQ272" s="201"/>
      <c r="AR272" s="240">
        <v>12.5</v>
      </c>
      <c r="AS272" s="201" t="s">
        <v>1313</v>
      </c>
      <c r="BB272" s="9" t="s">
        <v>73</v>
      </c>
      <c r="BC272" s="11">
        <f>0.92*BC279</f>
        <v>73.600000000000009</v>
      </c>
      <c r="BD272" s="231">
        <v>3</v>
      </c>
      <c r="BE272" s="232" t="s">
        <v>352</v>
      </c>
      <c r="CB272" s="41" t="str">
        <f t="shared" si="124"/>
        <v>iDPN N24B</v>
      </c>
      <c r="CC272" s="214" t="s">
        <v>543</v>
      </c>
      <c r="CD272" s="214">
        <v>2</v>
      </c>
      <c r="CE272" s="214">
        <v>4</v>
      </c>
      <c r="CF272" s="214" t="s">
        <v>57</v>
      </c>
      <c r="CG272" s="201" t="s">
        <v>287</v>
      </c>
      <c r="DH272" s="22"/>
      <c r="DI272" s="22"/>
      <c r="DJ272" s="22"/>
      <c r="DK272" s="344"/>
      <c r="DL272" s="361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22"/>
      <c r="EG272" s="22"/>
      <c r="EH272" s="22"/>
      <c r="EI272" s="22"/>
      <c r="EJ272" s="22"/>
      <c r="EK272" s="22"/>
      <c r="EL272" s="22"/>
      <c r="EM272" s="22"/>
      <c r="EN272" s="344"/>
      <c r="EO272" s="344"/>
      <c r="EP272" s="22"/>
      <c r="EQ272" s="22"/>
      <c r="ER272" s="22"/>
      <c r="EU272" s="344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</row>
    <row r="273" spans="27:161" ht="13.5" thickTop="1" x14ac:dyDescent="0.2">
      <c r="AA273" s="8"/>
      <c r="AB273" s="437"/>
      <c r="AC273" s="155"/>
      <c r="AE273" s="116"/>
      <c r="AF273" s="119"/>
      <c r="AJ273" s="102" t="str">
        <f t="shared" si="122"/>
        <v>C120 (АВР.ПР06-063)</v>
      </c>
      <c r="AK273" s="330" t="s">
        <v>745</v>
      </c>
      <c r="AL273" s="319"/>
      <c r="AM273" s="326">
        <v>63</v>
      </c>
      <c r="AO273" s="102" t="str">
        <f t="shared" si="123"/>
        <v>NSX10016</v>
      </c>
      <c r="AP273" s="246" t="s">
        <v>110</v>
      </c>
      <c r="AQ273" s="201"/>
      <c r="AR273" s="240">
        <v>16</v>
      </c>
      <c r="AS273" s="201" t="s">
        <v>60</v>
      </c>
      <c r="BB273" s="9" t="s">
        <v>73</v>
      </c>
      <c r="BC273" s="11">
        <f>0.93*BC279</f>
        <v>74.400000000000006</v>
      </c>
      <c r="BD273" s="231">
        <v>4</v>
      </c>
      <c r="BE273" s="233" t="s">
        <v>30</v>
      </c>
      <c r="CB273" s="41" t="str">
        <f t="shared" si="124"/>
        <v>iDPN N24B</v>
      </c>
      <c r="CC273" s="214" t="s">
        <v>543</v>
      </c>
      <c r="CD273" s="214">
        <v>2</v>
      </c>
      <c r="CE273" s="214">
        <v>4</v>
      </c>
      <c r="CF273" s="214" t="s">
        <v>57</v>
      </c>
      <c r="CG273" s="201" t="s">
        <v>291</v>
      </c>
      <c r="DH273" s="22"/>
      <c r="DI273" s="22"/>
      <c r="DJ273" s="22"/>
      <c r="DK273" s="344"/>
      <c r="DL273" s="361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22"/>
      <c r="EG273" s="22"/>
      <c r="EH273" s="22"/>
      <c r="EI273" s="22"/>
      <c r="EJ273" s="22"/>
      <c r="EK273" s="22"/>
      <c r="EL273" s="22"/>
      <c r="EM273" s="22"/>
      <c r="EN273" s="344"/>
      <c r="EO273" s="344"/>
      <c r="EP273" s="22"/>
      <c r="EQ273" s="22"/>
      <c r="ER273" s="22"/>
      <c r="EU273" s="344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</row>
    <row r="274" spans="27:161" x14ac:dyDescent="0.2">
      <c r="AA274" s="8"/>
      <c r="AB274" s="437"/>
      <c r="AC274" s="155"/>
      <c r="AE274" s="116"/>
      <c r="AF274" s="119"/>
      <c r="AJ274" s="102" t="str">
        <f t="shared" si="122"/>
        <v>C120 (АВР.ПР06-080)</v>
      </c>
      <c r="AK274" s="298" t="s">
        <v>746</v>
      </c>
      <c r="AL274" s="296"/>
      <c r="AM274" s="327">
        <v>80</v>
      </c>
      <c r="AO274" s="102" t="str">
        <f t="shared" si="123"/>
        <v>NSX10016</v>
      </c>
      <c r="AP274" s="246" t="s">
        <v>110</v>
      </c>
      <c r="AQ274" s="201"/>
      <c r="AR274" s="240">
        <v>16</v>
      </c>
      <c r="AS274" s="201" t="s">
        <v>562</v>
      </c>
      <c r="BB274" s="9" t="s">
        <v>73</v>
      </c>
      <c r="BC274" s="11">
        <f>0.94*BC279</f>
        <v>75.199999999999989</v>
      </c>
      <c r="BD274" s="231">
        <v>4</v>
      </c>
      <c r="BE274" s="232" t="s">
        <v>853</v>
      </c>
      <c r="CB274" s="41" t="str">
        <f t="shared" si="124"/>
        <v>iDPN N26B</v>
      </c>
      <c r="CC274" s="214" t="s">
        <v>543</v>
      </c>
      <c r="CD274" s="214">
        <v>2</v>
      </c>
      <c r="CE274" s="214">
        <v>6</v>
      </c>
      <c r="CF274" s="214" t="s">
        <v>57</v>
      </c>
      <c r="CG274" s="201" t="s">
        <v>595</v>
      </c>
      <c r="DH274" s="22"/>
      <c r="DI274" s="22"/>
      <c r="DJ274" s="22"/>
      <c r="DK274" s="344"/>
      <c r="DL274" s="361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22"/>
      <c r="EG274" s="22"/>
      <c r="EH274" s="22"/>
      <c r="EI274" s="22"/>
      <c r="EJ274" s="22"/>
      <c r="EK274" s="22"/>
      <c r="EL274" s="22"/>
      <c r="EM274" s="22"/>
      <c r="EN274" s="344"/>
      <c r="EO274" s="344"/>
      <c r="EP274" s="22"/>
      <c r="EQ274" s="22"/>
      <c r="ER274" s="22"/>
      <c r="EU274" s="344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</row>
    <row r="275" spans="27:161" x14ac:dyDescent="0.2">
      <c r="AA275" s="8"/>
      <c r="AB275" s="437"/>
      <c r="AC275" s="155"/>
      <c r="AJ275" s="102" t="str">
        <f t="shared" si="122"/>
        <v>C120 (АВР.ПР06-100)</v>
      </c>
      <c r="AK275" s="298" t="s">
        <v>747</v>
      </c>
      <c r="AL275" s="296"/>
      <c r="AM275" s="327">
        <v>100</v>
      </c>
      <c r="AO275" s="102" t="str">
        <f t="shared" si="123"/>
        <v>NSX10025</v>
      </c>
      <c r="AP275" s="246" t="s">
        <v>110</v>
      </c>
      <c r="AQ275" s="201"/>
      <c r="AR275" s="240">
        <v>25</v>
      </c>
      <c r="AS275" s="201" t="s">
        <v>1314</v>
      </c>
      <c r="BB275" s="9" t="s">
        <v>73</v>
      </c>
      <c r="BC275" s="11">
        <f>0.95*BC279</f>
        <v>76</v>
      </c>
      <c r="BD275" s="231">
        <v>4</v>
      </c>
      <c r="BE275" s="232" t="s">
        <v>855</v>
      </c>
      <c r="CB275" s="41" t="str">
        <f t="shared" si="124"/>
        <v>iDPN N26B</v>
      </c>
      <c r="CC275" s="214" t="s">
        <v>543</v>
      </c>
      <c r="CD275" s="214">
        <v>2</v>
      </c>
      <c r="CE275" s="214">
        <v>6</v>
      </c>
      <c r="CF275" s="214" t="s">
        <v>57</v>
      </c>
      <c r="CG275" s="201" t="s">
        <v>597</v>
      </c>
      <c r="DH275" s="22"/>
      <c r="DI275" s="22"/>
      <c r="DJ275" s="22"/>
      <c r="DK275" s="344"/>
      <c r="DL275" s="361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22"/>
      <c r="EG275" s="22"/>
      <c r="EH275" s="22"/>
      <c r="EI275" s="22"/>
      <c r="EJ275" s="22"/>
      <c r="EK275" s="22"/>
      <c r="EL275" s="22"/>
      <c r="EM275" s="22"/>
      <c r="EN275" s="344"/>
      <c r="EO275" s="344"/>
      <c r="EP275" s="22"/>
      <c r="EQ275" s="22"/>
      <c r="ER275" s="22"/>
      <c r="EU275" s="344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</row>
    <row r="276" spans="27:161" ht="13.5" thickBot="1" x14ac:dyDescent="0.25">
      <c r="AA276" s="8"/>
      <c r="AB276" s="437"/>
      <c r="AC276" s="155"/>
      <c r="AJ276" s="102" t="str">
        <f t="shared" si="122"/>
        <v>C120 (АВР.ПР06-125)</v>
      </c>
      <c r="AK276" s="331" t="s">
        <v>748</v>
      </c>
      <c r="AL276" s="321"/>
      <c r="AM276" s="328">
        <v>125</v>
      </c>
      <c r="AO276" s="102" t="str">
        <f t="shared" si="123"/>
        <v>NSX10025</v>
      </c>
      <c r="AP276" s="246" t="s">
        <v>110</v>
      </c>
      <c r="AQ276" s="201"/>
      <c r="AR276" s="240">
        <v>25</v>
      </c>
      <c r="AS276" s="201" t="s">
        <v>61</v>
      </c>
      <c r="BB276" s="9" t="s">
        <v>73</v>
      </c>
      <c r="BC276" s="11">
        <f>0.96*BC279</f>
        <v>76.8</v>
      </c>
      <c r="BD276" s="231">
        <v>4</v>
      </c>
      <c r="BE276" s="232" t="s">
        <v>856</v>
      </c>
      <c r="CB276" s="41" t="str">
        <f t="shared" si="124"/>
        <v>iDPN N26B</v>
      </c>
      <c r="CC276" s="214" t="s">
        <v>543</v>
      </c>
      <c r="CD276" s="214">
        <v>2</v>
      </c>
      <c r="CE276" s="214">
        <v>6</v>
      </c>
      <c r="CF276" s="214" t="s">
        <v>57</v>
      </c>
      <c r="CG276" s="201" t="s">
        <v>290</v>
      </c>
      <c r="DH276" s="22"/>
      <c r="DI276" s="22"/>
      <c r="DJ276" s="22"/>
      <c r="DK276" s="344"/>
      <c r="DL276" s="361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22"/>
      <c r="EG276" s="22"/>
      <c r="EH276" s="22"/>
      <c r="EI276" s="22"/>
      <c r="EJ276" s="22"/>
      <c r="EK276" s="22"/>
      <c r="EL276" s="22"/>
      <c r="EM276" s="22"/>
      <c r="EN276" s="344"/>
      <c r="EO276" s="344"/>
      <c r="EP276" s="22"/>
      <c r="EQ276" s="22"/>
      <c r="ER276" s="22"/>
      <c r="EU276" s="344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</row>
    <row r="277" spans="27:161" ht="13.5" thickTop="1" x14ac:dyDescent="0.2">
      <c r="AA277" s="8"/>
      <c r="AB277" s="437"/>
      <c r="AC277" s="155"/>
      <c r="AJ277" s="102" t="str">
        <f t="shared" si="122"/>
        <v>NSX100 (АВР.ПР06-100)</v>
      </c>
      <c r="AK277" s="320" t="s">
        <v>741</v>
      </c>
      <c r="AL277" s="320"/>
      <c r="AM277" s="329">
        <v>16</v>
      </c>
      <c r="AO277" s="102" t="str">
        <f t="shared" si="123"/>
        <v>NSX10025</v>
      </c>
      <c r="AP277" s="246" t="s">
        <v>110</v>
      </c>
      <c r="AQ277" s="201"/>
      <c r="AR277" s="240">
        <v>25</v>
      </c>
      <c r="AS277" s="201" t="s">
        <v>563</v>
      </c>
      <c r="BB277" s="9" t="s">
        <v>73</v>
      </c>
      <c r="BC277" s="11">
        <f>0.97*BC279</f>
        <v>77.599999999999994</v>
      </c>
      <c r="BD277" s="231">
        <v>4</v>
      </c>
      <c r="BE277" s="232" t="s">
        <v>353</v>
      </c>
      <c r="CB277" s="41" t="str">
        <f t="shared" si="124"/>
        <v>iDPN N26B</v>
      </c>
      <c r="CC277" s="214" t="s">
        <v>543</v>
      </c>
      <c r="CD277" s="214">
        <v>2</v>
      </c>
      <c r="CE277" s="214">
        <v>6</v>
      </c>
      <c r="CF277" s="214" t="s">
        <v>57</v>
      </c>
      <c r="CG277" s="201" t="s">
        <v>287</v>
      </c>
      <c r="DH277" s="22"/>
      <c r="DI277" s="22"/>
      <c r="DJ277" s="22"/>
      <c r="DK277" s="344"/>
      <c r="DL277" s="361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22"/>
      <c r="EG277" s="22"/>
      <c r="EH277" s="22"/>
      <c r="EI277" s="22"/>
      <c r="EJ277" s="22"/>
      <c r="EK277" s="22"/>
      <c r="EL277" s="22"/>
      <c r="EM277" s="22"/>
      <c r="EN277" s="344"/>
      <c r="EO277" s="344"/>
      <c r="EP277" s="22"/>
      <c r="EQ277" s="22"/>
      <c r="ER277" s="22"/>
      <c r="EU277" s="344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</row>
    <row r="278" spans="27:161" x14ac:dyDescent="0.2">
      <c r="AA278" s="8"/>
      <c r="AB278" s="437"/>
      <c r="AC278" s="155"/>
      <c r="AJ278" s="102" t="str">
        <f t="shared" si="122"/>
        <v>NSX100 (АВР.ПР06-100)</v>
      </c>
      <c r="AK278" s="296" t="s">
        <v>741</v>
      </c>
      <c r="AL278" s="296"/>
      <c r="AM278" s="327">
        <v>25</v>
      </c>
      <c r="AO278" s="102" t="str">
        <f t="shared" si="123"/>
        <v>NSX10032</v>
      </c>
      <c r="AP278" s="246" t="s">
        <v>110</v>
      </c>
      <c r="AQ278" s="201"/>
      <c r="AR278" s="240">
        <v>32</v>
      </c>
      <c r="AS278" s="201" t="s">
        <v>111</v>
      </c>
      <c r="BB278" s="9" t="s">
        <v>73</v>
      </c>
      <c r="BC278" s="11">
        <f>0.98*BC279</f>
        <v>78.400000000000006</v>
      </c>
      <c r="BD278" s="231">
        <v>4</v>
      </c>
      <c r="BE278" s="232" t="s">
        <v>354</v>
      </c>
      <c r="CB278" s="41" t="str">
        <f t="shared" si="124"/>
        <v>iDPN N26B</v>
      </c>
      <c r="CC278" s="214" t="s">
        <v>543</v>
      </c>
      <c r="CD278" s="214">
        <v>2</v>
      </c>
      <c r="CE278" s="214">
        <v>6</v>
      </c>
      <c r="CF278" s="214" t="s">
        <v>57</v>
      </c>
      <c r="CG278" s="201" t="s">
        <v>291</v>
      </c>
      <c r="DH278" s="22"/>
      <c r="DI278" s="22"/>
      <c r="DJ278" s="22"/>
      <c r="DK278" s="344"/>
      <c r="DL278" s="361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22"/>
      <c r="EG278" s="22"/>
      <c r="EH278" s="22"/>
      <c r="EI278" s="22"/>
      <c r="EJ278" s="22"/>
      <c r="EK278" s="22"/>
      <c r="EL278" s="22"/>
      <c r="EM278" s="22"/>
      <c r="EN278" s="344"/>
      <c r="EO278" s="344"/>
      <c r="EP278" s="22"/>
      <c r="EQ278" s="22"/>
      <c r="ER278" s="22"/>
      <c r="EU278" s="344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</row>
    <row r="279" spans="27:161" x14ac:dyDescent="0.2">
      <c r="AA279" s="8"/>
      <c r="AB279" s="437"/>
      <c r="AC279" s="155"/>
      <c r="AJ279" s="102" t="str">
        <f t="shared" si="122"/>
        <v>NSX100 (АВР.ПР06-100)</v>
      </c>
      <c r="AK279" s="296" t="s">
        <v>741</v>
      </c>
      <c r="AL279" s="296"/>
      <c r="AM279" s="327">
        <v>32</v>
      </c>
      <c r="AO279" s="102" t="str">
        <f t="shared" si="123"/>
        <v>NSX10040</v>
      </c>
      <c r="AP279" s="246" t="s">
        <v>110</v>
      </c>
      <c r="AQ279" s="201"/>
      <c r="AR279" s="240">
        <v>40</v>
      </c>
      <c r="AS279" s="201" t="s">
        <v>62</v>
      </c>
      <c r="BB279" s="9" t="s">
        <v>73</v>
      </c>
      <c r="BC279" s="11">
        <v>80</v>
      </c>
      <c r="BD279" s="231">
        <v>4</v>
      </c>
      <c r="BE279" s="232" t="s">
        <v>351</v>
      </c>
      <c r="CB279" s="41" t="str">
        <f t="shared" si="124"/>
        <v>iDPN N210B</v>
      </c>
      <c r="CC279" s="214" t="s">
        <v>543</v>
      </c>
      <c r="CD279" s="214">
        <v>2</v>
      </c>
      <c r="CE279" s="214">
        <v>10</v>
      </c>
      <c r="CF279" s="214" t="s">
        <v>57</v>
      </c>
      <c r="CG279" s="201" t="s">
        <v>595</v>
      </c>
      <c r="DH279" s="22"/>
      <c r="DI279" s="22"/>
      <c r="DJ279" s="22"/>
      <c r="DK279" s="344"/>
      <c r="DL279" s="361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22"/>
      <c r="EG279" s="22"/>
      <c r="EH279" s="22"/>
      <c r="EI279" s="22"/>
      <c r="EJ279" s="22"/>
      <c r="EK279" s="22"/>
      <c r="EL279" s="22"/>
      <c r="EM279" s="22"/>
      <c r="EN279" s="344"/>
      <c r="EO279" s="344"/>
      <c r="EP279" s="22"/>
      <c r="EQ279" s="22"/>
      <c r="ER279" s="22"/>
      <c r="EU279" s="344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</row>
    <row r="280" spans="27:161" x14ac:dyDescent="0.2">
      <c r="AA280" s="8"/>
      <c r="AB280" s="437"/>
      <c r="AC280" s="155"/>
      <c r="AJ280" s="102" t="str">
        <f t="shared" si="122"/>
        <v>NSX100 (АВР.ПР06-100)</v>
      </c>
      <c r="AK280" s="296" t="s">
        <v>741</v>
      </c>
      <c r="AL280" s="296"/>
      <c r="AM280" s="327">
        <v>40</v>
      </c>
      <c r="AO280" s="102" t="str">
        <f t="shared" si="123"/>
        <v>NSX10040</v>
      </c>
      <c r="AP280" s="246" t="s">
        <v>110</v>
      </c>
      <c r="AQ280" s="201"/>
      <c r="AR280" s="240">
        <v>40</v>
      </c>
      <c r="AS280" s="201" t="s">
        <v>565</v>
      </c>
      <c r="BB280" s="9" t="s">
        <v>73</v>
      </c>
      <c r="BC280" s="11">
        <f>0.9*BC288</f>
        <v>81</v>
      </c>
      <c r="BD280" s="231">
        <v>4</v>
      </c>
      <c r="BE280" s="232" t="s">
        <v>355</v>
      </c>
      <c r="CB280" s="41" t="str">
        <f t="shared" si="124"/>
        <v>iDPN N210B</v>
      </c>
      <c r="CC280" s="214" t="s">
        <v>543</v>
      </c>
      <c r="CD280" s="214">
        <v>2</v>
      </c>
      <c r="CE280" s="214">
        <v>10</v>
      </c>
      <c r="CF280" s="214" t="s">
        <v>57</v>
      </c>
      <c r="CG280" s="201" t="s">
        <v>597</v>
      </c>
      <c r="DH280" s="22"/>
      <c r="DI280" s="22"/>
      <c r="DJ280" s="22"/>
      <c r="DK280" s="344"/>
      <c r="DL280" s="361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22"/>
      <c r="EG280" s="22"/>
      <c r="EH280" s="22"/>
      <c r="EI280" s="22"/>
      <c r="EJ280" s="22"/>
      <c r="EK280" s="22"/>
      <c r="EL280" s="22"/>
      <c r="EM280" s="22"/>
      <c r="EN280" s="344"/>
      <c r="EO280" s="344"/>
      <c r="EP280" s="22"/>
      <c r="EQ280" s="22"/>
      <c r="ER280" s="22"/>
      <c r="EU280" s="344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</row>
    <row r="281" spans="27:161" x14ac:dyDescent="0.2">
      <c r="AA281" s="8"/>
      <c r="AB281" s="437"/>
      <c r="AC281" s="155"/>
      <c r="AJ281" s="102" t="str">
        <f t="shared" si="122"/>
        <v>NSX100 (АВР.ПР06-100)</v>
      </c>
      <c r="AK281" s="296" t="s">
        <v>741</v>
      </c>
      <c r="AL281" s="296"/>
      <c r="AM281" s="327">
        <v>50</v>
      </c>
      <c r="AO281" s="102" t="str">
        <f t="shared" si="123"/>
        <v>NSX10040</v>
      </c>
      <c r="AP281" s="246" t="s">
        <v>110</v>
      </c>
      <c r="AQ281" s="201"/>
      <c r="AR281" s="240">
        <v>40</v>
      </c>
      <c r="AS281" s="201" t="s">
        <v>71</v>
      </c>
      <c r="BB281" s="9" t="s">
        <v>73</v>
      </c>
      <c r="BC281" s="11">
        <f>0.92*BC288</f>
        <v>82.8</v>
      </c>
      <c r="BD281" s="231">
        <v>4</v>
      </c>
      <c r="BE281" s="232" t="s">
        <v>352</v>
      </c>
      <c r="CB281" s="41" t="str">
        <f t="shared" si="124"/>
        <v>iDPN N210B</v>
      </c>
      <c r="CC281" s="214" t="s">
        <v>543</v>
      </c>
      <c r="CD281" s="214">
        <v>2</v>
      </c>
      <c r="CE281" s="214">
        <v>10</v>
      </c>
      <c r="CF281" s="214" t="s">
        <v>57</v>
      </c>
      <c r="CG281" s="201" t="s">
        <v>367</v>
      </c>
      <c r="DH281" s="22"/>
      <c r="DI281" s="22"/>
      <c r="DJ281" s="22"/>
      <c r="DK281" s="344"/>
      <c r="DL281" s="361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22"/>
      <c r="EG281" s="22"/>
      <c r="EH281" s="22"/>
      <c r="EI281" s="22"/>
      <c r="EJ281" s="22"/>
      <c r="EK281" s="22"/>
      <c r="EL281" s="22"/>
      <c r="EM281" s="22"/>
      <c r="EN281" s="344"/>
      <c r="EO281" s="344"/>
      <c r="EP281" s="22"/>
      <c r="EQ281" s="22"/>
      <c r="ER281" s="22"/>
      <c r="EU281" s="344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</row>
    <row r="282" spans="27:161" x14ac:dyDescent="0.2">
      <c r="AA282" s="8"/>
      <c r="AB282" s="437"/>
      <c r="AC282" s="155"/>
      <c r="AJ282" s="102" t="str">
        <f t="shared" si="122"/>
        <v>NSX100 (АВР.ПР06-100)</v>
      </c>
      <c r="AK282" s="296" t="s">
        <v>741</v>
      </c>
      <c r="AL282" s="296"/>
      <c r="AM282" s="327">
        <v>63</v>
      </c>
      <c r="AO282" s="102" t="str">
        <f t="shared" si="123"/>
        <v>NSX10040</v>
      </c>
      <c r="AP282" s="246" t="s">
        <v>110</v>
      </c>
      <c r="AQ282" s="201"/>
      <c r="AR282" s="240">
        <v>40</v>
      </c>
      <c r="AS282" s="201" t="s">
        <v>553</v>
      </c>
      <c r="BB282" s="9" t="s">
        <v>73</v>
      </c>
      <c r="BC282" s="11">
        <f>0.93*BC288</f>
        <v>83.7</v>
      </c>
      <c r="BD282" s="231">
        <v>5</v>
      </c>
      <c r="BE282" s="233" t="s">
        <v>30</v>
      </c>
      <c r="CB282" s="41" t="str">
        <f t="shared" si="124"/>
        <v>iDPN N210B</v>
      </c>
      <c r="CC282" s="214" t="s">
        <v>543</v>
      </c>
      <c r="CD282" s="214">
        <v>2</v>
      </c>
      <c r="CE282" s="214">
        <v>10</v>
      </c>
      <c r="CF282" s="214" t="s">
        <v>57</v>
      </c>
      <c r="CG282" s="201" t="s">
        <v>290</v>
      </c>
      <c r="DH282" s="22"/>
      <c r="DI282" s="22"/>
      <c r="DJ282" s="22"/>
      <c r="DK282" s="344"/>
      <c r="DL282" s="361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22"/>
      <c r="EG282" s="22"/>
      <c r="EH282" s="22"/>
      <c r="EI282" s="22"/>
      <c r="EJ282" s="22"/>
      <c r="EK282" s="22"/>
      <c r="EL282" s="22"/>
      <c r="EM282" s="22"/>
      <c r="EN282" s="344"/>
      <c r="EO282" s="344"/>
      <c r="EP282" s="22"/>
      <c r="EQ282" s="22"/>
      <c r="ER282" s="22"/>
      <c r="EU282" s="344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</row>
    <row r="283" spans="27:161" x14ac:dyDescent="0.2">
      <c r="AA283" s="8"/>
      <c r="AB283" s="437"/>
      <c r="AC283" s="155"/>
      <c r="AJ283" s="102" t="str">
        <f t="shared" si="122"/>
        <v>NSX100 (АВР.ПР06-100)</v>
      </c>
      <c r="AK283" s="296" t="s">
        <v>741</v>
      </c>
      <c r="AL283" s="296"/>
      <c r="AM283" s="327">
        <v>80</v>
      </c>
      <c r="AO283" s="102" t="str">
        <f t="shared" si="123"/>
        <v>NSX10040</v>
      </c>
      <c r="AP283" s="246" t="s">
        <v>110</v>
      </c>
      <c r="AQ283" s="201"/>
      <c r="AR283" s="240">
        <v>40</v>
      </c>
      <c r="AS283" s="201" t="s">
        <v>1245</v>
      </c>
      <c r="BB283" s="9" t="s">
        <v>73</v>
      </c>
      <c r="BC283" s="11">
        <f>0.94*BC288</f>
        <v>84.6</v>
      </c>
      <c r="BD283" s="231">
        <v>5</v>
      </c>
      <c r="BE283" s="232" t="s">
        <v>853</v>
      </c>
      <c r="CB283" s="41" t="str">
        <f t="shared" si="124"/>
        <v>iDPN N210B</v>
      </c>
      <c r="CC283" s="214" t="s">
        <v>543</v>
      </c>
      <c r="CD283" s="214">
        <v>2</v>
      </c>
      <c r="CE283" s="214">
        <v>10</v>
      </c>
      <c r="CF283" s="214" t="s">
        <v>57</v>
      </c>
      <c r="CG283" s="201" t="s">
        <v>287</v>
      </c>
      <c r="DH283" s="22"/>
      <c r="DI283" s="22"/>
      <c r="DJ283" s="22"/>
      <c r="DK283" s="344"/>
      <c r="DL283" s="361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22"/>
      <c r="EG283" s="22"/>
      <c r="EH283" s="22"/>
      <c r="EI283" s="22"/>
      <c r="EJ283" s="22"/>
      <c r="EK283" s="22"/>
      <c r="EL283" s="22"/>
      <c r="EM283" s="22"/>
      <c r="EN283" s="344"/>
      <c r="EO283" s="344"/>
      <c r="EP283" s="22"/>
      <c r="EQ283" s="22"/>
      <c r="ER283" s="22"/>
      <c r="EU283" s="344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</row>
    <row r="284" spans="27:161" ht="13.5" thickBot="1" x14ac:dyDescent="0.25">
      <c r="AA284" s="8"/>
      <c r="AB284" s="437"/>
      <c r="AC284" s="155"/>
      <c r="AJ284" s="102" t="str">
        <f t="shared" si="122"/>
        <v>NSX100 (АВР.ПР06-100)</v>
      </c>
      <c r="AK284" s="321" t="s">
        <v>741</v>
      </c>
      <c r="AL284" s="321"/>
      <c r="AM284" s="328">
        <v>100</v>
      </c>
      <c r="AO284" s="102" t="str">
        <f t="shared" si="123"/>
        <v>NSX10040</v>
      </c>
      <c r="AP284" s="246" t="s">
        <v>110</v>
      </c>
      <c r="AQ284" s="201"/>
      <c r="AR284" s="240">
        <v>40</v>
      </c>
      <c r="AS284" s="201" t="s">
        <v>1246</v>
      </c>
      <c r="BB284" s="9" t="s">
        <v>73</v>
      </c>
      <c r="BC284" s="11">
        <f>0.95*BC288</f>
        <v>85.5</v>
      </c>
      <c r="BD284" s="231">
        <v>5</v>
      </c>
      <c r="BE284" s="232" t="s">
        <v>855</v>
      </c>
      <c r="CB284" s="41" t="str">
        <f t="shared" si="124"/>
        <v>iDPN N210B</v>
      </c>
      <c r="CC284" s="214" t="s">
        <v>543</v>
      </c>
      <c r="CD284" s="214">
        <v>2</v>
      </c>
      <c r="CE284" s="214">
        <v>10</v>
      </c>
      <c r="CF284" s="214" t="s">
        <v>57</v>
      </c>
      <c r="CG284" s="201" t="s">
        <v>291</v>
      </c>
      <c r="DH284" s="22"/>
      <c r="DI284" s="22"/>
      <c r="DJ284" s="22"/>
      <c r="DK284" s="344"/>
      <c r="DL284" s="361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22"/>
      <c r="EG284" s="22"/>
      <c r="EH284" s="22"/>
      <c r="EI284" s="22"/>
      <c r="EJ284" s="22"/>
      <c r="EK284" s="22"/>
      <c r="EL284" s="22"/>
      <c r="EM284" s="22"/>
      <c r="EN284" s="344"/>
      <c r="EO284" s="344"/>
      <c r="EP284" s="22"/>
      <c r="EQ284" s="22"/>
      <c r="ER284" s="22"/>
      <c r="EU284" s="344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</row>
    <row r="285" spans="27:161" ht="13.5" thickTop="1" x14ac:dyDescent="0.2">
      <c r="AA285" s="8"/>
      <c r="AB285" s="437"/>
      <c r="AC285" s="155"/>
      <c r="AJ285" s="102" t="str">
        <f t="shared" si="122"/>
        <v>NSX160 (АВР.ПР06-160)</v>
      </c>
      <c r="AK285" s="320" t="s">
        <v>742</v>
      </c>
      <c r="AL285" s="320"/>
      <c r="AM285" s="322">
        <v>25</v>
      </c>
      <c r="AO285" s="102" t="str">
        <f t="shared" si="123"/>
        <v>NSX10040</v>
      </c>
      <c r="AP285" s="246" t="s">
        <v>110</v>
      </c>
      <c r="AQ285" s="201"/>
      <c r="AR285" s="240">
        <v>40</v>
      </c>
      <c r="AS285" s="201" t="s">
        <v>1247</v>
      </c>
      <c r="BB285" s="9" t="s">
        <v>73</v>
      </c>
      <c r="BC285" s="11">
        <f>0.96*BC288</f>
        <v>86.399999999999991</v>
      </c>
      <c r="BD285" s="231">
        <v>5</v>
      </c>
      <c r="BE285" s="232" t="s">
        <v>856</v>
      </c>
      <c r="CB285" s="41" t="str">
        <f t="shared" si="124"/>
        <v>iDPN N213B</v>
      </c>
      <c r="CC285" s="214" t="s">
        <v>543</v>
      </c>
      <c r="CD285" s="214">
        <v>2</v>
      </c>
      <c r="CE285" s="214">
        <v>13</v>
      </c>
      <c r="CF285" s="214" t="s">
        <v>57</v>
      </c>
      <c r="CG285" s="201" t="s">
        <v>290</v>
      </c>
      <c r="DH285" s="22"/>
      <c r="DI285" s="22"/>
      <c r="DJ285" s="22"/>
      <c r="DK285" s="344"/>
      <c r="DL285" s="361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22"/>
      <c r="EG285" s="22"/>
      <c r="EH285" s="22"/>
      <c r="EI285" s="22"/>
      <c r="EJ285" s="22"/>
      <c r="EK285" s="22"/>
      <c r="EL285" s="22"/>
      <c r="EM285" s="22"/>
      <c r="EN285" s="344"/>
      <c r="EO285" s="344"/>
      <c r="EP285" s="22"/>
      <c r="EQ285" s="22"/>
      <c r="ER285" s="22"/>
      <c r="EU285" s="344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</row>
    <row r="286" spans="27:161" x14ac:dyDescent="0.2">
      <c r="AA286" s="8"/>
      <c r="AB286" s="437"/>
      <c r="AC286" s="155"/>
      <c r="AJ286" s="102" t="str">
        <f t="shared" si="122"/>
        <v>NSX160 (АВР.ПР06-160)</v>
      </c>
      <c r="AK286" s="296" t="s">
        <v>742</v>
      </c>
      <c r="AL286" s="296"/>
      <c r="AM286" s="318">
        <v>32</v>
      </c>
      <c r="AO286" s="102" t="str">
        <f t="shared" ref="AO286:AO328" si="125">AP286&amp;AQ286&amp;AR286</f>
        <v>NSX10050</v>
      </c>
      <c r="AP286" s="246" t="s">
        <v>110</v>
      </c>
      <c r="AQ286" s="201"/>
      <c r="AR286" s="240">
        <v>50</v>
      </c>
      <c r="AS286" s="201" t="s">
        <v>1315</v>
      </c>
      <c r="BB286" s="9" t="s">
        <v>73</v>
      </c>
      <c r="BC286" s="11">
        <f>0.97*BC288</f>
        <v>87.3</v>
      </c>
      <c r="BD286" s="231">
        <v>5</v>
      </c>
      <c r="BE286" s="232" t="s">
        <v>353</v>
      </c>
      <c r="CB286" s="41" t="str">
        <f t="shared" si="124"/>
        <v>iDPN N213B</v>
      </c>
      <c r="CC286" s="214" t="s">
        <v>543</v>
      </c>
      <c r="CD286" s="214">
        <v>2</v>
      </c>
      <c r="CE286" s="214">
        <v>13</v>
      </c>
      <c r="CF286" s="214" t="s">
        <v>57</v>
      </c>
      <c r="CG286" s="201" t="s">
        <v>287</v>
      </c>
      <c r="DH286" s="22"/>
      <c r="DI286" s="22"/>
      <c r="DJ286" s="22"/>
      <c r="DK286" s="344"/>
      <c r="DL286" s="361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22"/>
      <c r="EG286" s="22"/>
      <c r="EH286" s="22"/>
      <c r="EI286" s="22"/>
      <c r="EJ286" s="22"/>
      <c r="EK286" s="22"/>
      <c r="EL286" s="22"/>
      <c r="EM286" s="22"/>
      <c r="EN286" s="344"/>
      <c r="EO286" s="344"/>
      <c r="EP286" s="22"/>
      <c r="EQ286" s="22"/>
      <c r="ER286" s="22"/>
      <c r="EU286" s="344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</row>
    <row r="287" spans="27:161" x14ac:dyDescent="0.2">
      <c r="AA287" s="49"/>
      <c r="AB287" s="437"/>
      <c r="AC287" s="155"/>
      <c r="AJ287" s="102" t="str">
        <f t="shared" si="122"/>
        <v>NSX160 (АВР.ПР06-160)</v>
      </c>
      <c r="AK287" s="296" t="s">
        <v>742</v>
      </c>
      <c r="AL287" s="296"/>
      <c r="AM287" s="318">
        <v>40</v>
      </c>
      <c r="AO287" s="102" t="str">
        <f t="shared" si="125"/>
        <v>NSX10050</v>
      </c>
      <c r="AP287" s="246" t="s">
        <v>110</v>
      </c>
      <c r="AQ287" s="201"/>
      <c r="AR287" s="240">
        <v>50</v>
      </c>
      <c r="AS287" s="201" t="s">
        <v>63</v>
      </c>
      <c r="BB287" s="9" t="s">
        <v>73</v>
      </c>
      <c r="BC287" s="11">
        <f>0.98*BC288</f>
        <v>88.2</v>
      </c>
      <c r="BD287" s="231">
        <v>5</v>
      </c>
      <c r="BE287" s="232" t="s">
        <v>354</v>
      </c>
      <c r="CB287" s="41" t="str">
        <f t="shared" si="124"/>
        <v>iDPN N213B</v>
      </c>
      <c r="CC287" s="214" t="s">
        <v>543</v>
      </c>
      <c r="CD287" s="214">
        <v>2</v>
      </c>
      <c r="CE287" s="214">
        <v>13</v>
      </c>
      <c r="CF287" s="214" t="s">
        <v>57</v>
      </c>
      <c r="CG287" s="201" t="s">
        <v>291</v>
      </c>
      <c r="DH287" s="22"/>
      <c r="DI287" s="22"/>
      <c r="DJ287" s="22"/>
      <c r="DK287" s="344"/>
      <c r="DL287" s="361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22"/>
      <c r="EG287" s="22"/>
      <c r="EH287" s="22"/>
      <c r="EI287" s="22"/>
      <c r="EJ287" s="22"/>
      <c r="EK287" s="22"/>
      <c r="EL287" s="22"/>
      <c r="EM287" s="22"/>
      <c r="EN287" s="344"/>
      <c r="EO287" s="344"/>
      <c r="EP287" s="22"/>
      <c r="EQ287" s="22"/>
      <c r="ER287" s="22"/>
      <c r="EU287" s="344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</row>
    <row r="288" spans="27:161" x14ac:dyDescent="0.2">
      <c r="AA288" s="49"/>
      <c r="AB288" s="437"/>
      <c r="AC288" s="155"/>
      <c r="AJ288" s="102" t="str">
        <f t="shared" si="122"/>
        <v>NSX160 (АВР.ПР06-160)</v>
      </c>
      <c r="AK288" s="296" t="s">
        <v>742</v>
      </c>
      <c r="AL288" s="296"/>
      <c r="AM288" s="318">
        <v>50</v>
      </c>
      <c r="AO288" s="102" t="str">
        <f t="shared" si="125"/>
        <v>NSX10063</v>
      </c>
      <c r="AP288" s="246" t="s">
        <v>110</v>
      </c>
      <c r="AQ288" s="201"/>
      <c r="AR288" s="240">
        <v>63</v>
      </c>
      <c r="AS288" s="201" t="s">
        <v>64</v>
      </c>
      <c r="BB288" s="9" t="s">
        <v>73</v>
      </c>
      <c r="BC288" s="11">
        <v>90</v>
      </c>
      <c r="BD288" s="231">
        <v>5</v>
      </c>
      <c r="BE288" s="232" t="s">
        <v>351</v>
      </c>
      <c r="CB288" s="41" t="str">
        <f t="shared" si="124"/>
        <v>iDPN N216B</v>
      </c>
      <c r="CC288" s="214" t="s">
        <v>543</v>
      </c>
      <c r="CD288" s="214">
        <v>2</v>
      </c>
      <c r="CE288" s="214">
        <v>16</v>
      </c>
      <c r="CF288" s="214" t="s">
        <v>57</v>
      </c>
      <c r="CG288" s="201" t="s">
        <v>595</v>
      </c>
      <c r="DH288" s="22"/>
      <c r="DI288" s="22"/>
      <c r="DJ288" s="22"/>
      <c r="DK288" s="344"/>
      <c r="DL288" s="361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22"/>
      <c r="EG288" s="22"/>
      <c r="EH288" s="22"/>
      <c r="EI288" s="22"/>
      <c r="EJ288" s="22"/>
      <c r="EK288" s="22"/>
      <c r="EL288" s="22"/>
      <c r="EM288" s="22"/>
      <c r="EN288" s="344"/>
      <c r="EO288" s="344"/>
      <c r="EP288" s="22"/>
      <c r="EQ288" s="22"/>
      <c r="ER288" s="22"/>
      <c r="EU288" s="344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</row>
    <row r="289" spans="27:161" x14ac:dyDescent="0.2">
      <c r="AA289" s="49"/>
      <c r="AB289" s="437"/>
      <c r="AC289" s="155"/>
      <c r="AJ289" s="102" t="str">
        <f t="shared" si="122"/>
        <v>NSX160 (АВР.ПР06-160)</v>
      </c>
      <c r="AK289" s="296" t="s">
        <v>742</v>
      </c>
      <c r="AL289" s="296"/>
      <c r="AM289" s="318">
        <v>63</v>
      </c>
      <c r="AO289" s="102" t="str">
        <f t="shared" si="125"/>
        <v>NSX10063</v>
      </c>
      <c r="AP289" s="246" t="s">
        <v>110</v>
      </c>
      <c r="AQ289" s="201"/>
      <c r="AR289" s="240">
        <v>63</v>
      </c>
      <c r="AS289" s="201" t="s">
        <v>567</v>
      </c>
      <c r="BB289" s="9" t="s">
        <v>73</v>
      </c>
      <c r="BC289" s="11">
        <f>0.92*BC296</f>
        <v>92</v>
      </c>
      <c r="BD289" s="231">
        <v>5</v>
      </c>
      <c r="BE289" s="232" t="s">
        <v>355</v>
      </c>
      <c r="CB289" s="41" t="str">
        <f t="shared" si="124"/>
        <v>iDPN N216B</v>
      </c>
      <c r="CC289" s="214" t="s">
        <v>543</v>
      </c>
      <c r="CD289" s="214">
        <v>2</v>
      </c>
      <c r="CE289" s="214">
        <v>16</v>
      </c>
      <c r="CF289" s="214" t="s">
        <v>57</v>
      </c>
      <c r="CG289" s="201" t="s">
        <v>597</v>
      </c>
      <c r="DH289" s="22"/>
      <c r="DI289" s="22"/>
      <c r="DJ289" s="22"/>
      <c r="DK289" s="344"/>
      <c r="DL289" s="361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22"/>
      <c r="EG289" s="22"/>
      <c r="EH289" s="22"/>
      <c r="EI289" s="22"/>
      <c r="EJ289" s="22"/>
      <c r="EK289" s="22"/>
      <c r="EL289" s="22"/>
      <c r="EM289" s="22"/>
      <c r="EN289" s="344"/>
      <c r="EO289" s="344"/>
      <c r="EP289" s="22"/>
      <c r="EQ289" s="22"/>
      <c r="ER289" s="22"/>
      <c r="EU289" s="344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</row>
    <row r="290" spans="27:161" x14ac:dyDescent="0.2">
      <c r="AA290" s="49"/>
      <c r="AB290" s="437"/>
      <c r="AC290" s="155"/>
      <c r="AJ290" s="102" t="str">
        <f t="shared" si="122"/>
        <v>NSX160 (АВР.ПР06-160)</v>
      </c>
      <c r="AK290" s="296" t="s">
        <v>742</v>
      </c>
      <c r="AL290" s="296"/>
      <c r="AM290" s="318">
        <v>80</v>
      </c>
      <c r="AO290" s="102" t="str">
        <f t="shared" si="125"/>
        <v>NSX10080</v>
      </c>
      <c r="AP290" s="246" t="s">
        <v>110</v>
      </c>
      <c r="AQ290" s="201"/>
      <c r="AR290" s="240">
        <v>80</v>
      </c>
      <c r="AS290" s="201" t="s">
        <v>65</v>
      </c>
      <c r="BB290" s="9" t="s">
        <v>73</v>
      </c>
      <c r="BC290" s="11">
        <f>0.93*BC296</f>
        <v>93</v>
      </c>
      <c r="BD290" s="231">
        <v>5</v>
      </c>
      <c r="BE290" s="232" t="s">
        <v>352</v>
      </c>
      <c r="CB290" s="41" t="str">
        <f t="shared" si="124"/>
        <v>iDPN N216B</v>
      </c>
      <c r="CC290" s="214" t="s">
        <v>543</v>
      </c>
      <c r="CD290" s="214">
        <v>2</v>
      </c>
      <c r="CE290" s="214">
        <v>16</v>
      </c>
      <c r="CF290" s="214" t="s">
        <v>57</v>
      </c>
      <c r="CG290" s="201" t="s">
        <v>367</v>
      </c>
      <c r="DH290" s="22"/>
      <c r="DI290" s="22"/>
      <c r="DJ290" s="22"/>
      <c r="DK290" s="344"/>
      <c r="DL290" s="361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22"/>
      <c r="EG290" s="22"/>
      <c r="EH290" s="22"/>
      <c r="EI290" s="22"/>
      <c r="EJ290" s="22"/>
      <c r="EK290" s="22"/>
      <c r="EL290" s="22"/>
      <c r="EM290" s="22"/>
      <c r="EN290" s="344"/>
      <c r="EO290" s="344"/>
      <c r="EP290" s="22"/>
      <c r="EQ290" s="22"/>
      <c r="ER290" s="22"/>
      <c r="EU290" s="344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</row>
    <row r="291" spans="27:161" x14ac:dyDescent="0.2">
      <c r="AA291" s="49"/>
      <c r="AB291" s="437"/>
      <c r="AC291" s="155"/>
      <c r="AJ291" s="102" t="str">
        <f t="shared" si="122"/>
        <v>NSX160 (АВР.ПР06-160)</v>
      </c>
      <c r="AK291" s="296" t="s">
        <v>742</v>
      </c>
      <c r="AL291" s="296"/>
      <c r="AM291" s="318">
        <v>100</v>
      </c>
      <c r="AO291" s="102" t="str">
        <f t="shared" si="125"/>
        <v>NSX10080</v>
      </c>
      <c r="AP291" s="246" t="s">
        <v>110</v>
      </c>
      <c r="AQ291" s="201"/>
      <c r="AR291" s="240">
        <v>80</v>
      </c>
      <c r="AS291" s="201" t="s">
        <v>568</v>
      </c>
      <c r="BB291" s="9" t="s">
        <v>73</v>
      </c>
      <c r="BC291" s="11">
        <f>0.94*BC296</f>
        <v>94</v>
      </c>
      <c r="BD291" s="231">
        <v>6</v>
      </c>
      <c r="BE291" s="233" t="s">
        <v>30</v>
      </c>
      <c r="CB291" s="41" t="str">
        <f t="shared" si="124"/>
        <v>iDPN N216B</v>
      </c>
      <c r="CC291" s="214" t="s">
        <v>543</v>
      </c>
      <c r="CD291" s="214">
        <v>2</v>
      </c>
      <c r="CE291" s="214">
        <v>16</v>
      </c>
      <c r="CF291" s="214" t="s">
        <v>57</v>
      </c>
      <c r="CG291" s="201" t="s">
        <v>290</v>
      </c>
      <c r="DH291" s="22"/>
      <c r="DI291" s="22"/>
      <c r="DJ291" s="22"/>
      <c r="DK291" s="344"/>
      <c r="DL291" s="361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22"/>
      <c r="EG291" s="22"/>
      <c r="EH291" s="22"/>
      <c r="EI291" s="22"/>
      <c r="EJ291" s="22"/>
      <c r="EK291" s="22"/>
      <c r="EL291" s="22"/>
      <c r="EM291" s="22"/>
      <c r="EN291" s="344"/>
      <c r="EO291" s="344"/>
      <c r="EP291" s="22"/>
      <c r="EQ291" s="22"/>
      <c r="ER291" s="22"/>
      <c r="EU291" s="344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</row>
    <row r="292" spans="27:161" x14ac:dyDescent="0.2">
      <c r="AA292" s="49"/>
      <c r="AB292" s="437"/>
      <c r="AC292" s="155"/>
      <c r="AJ292" s="102" t="str">
        <f t="shared" si="122"/>
        <v>NSX160 (АВР.ПР06-160)</v>
      </c>
      <c r="AK292" s="296" t="s">
        <v>742</v>
      </c>
      <c r="AL292" s="296"/>
      <c r="AM292" s="318">
        <v>125</v>
      </c>
      <c r="AO292" s="102" t="str">
        <f t="shared" si="125"/>
        <v>NSX100100</v>
      </c>
      <c r="AP292" s="246" t="s">
        <v>110</v>
      </c>
      <c r="AQ292" s="201"/>
      <c r="AR292" s="240">
        <v>100</v>
      </c>
      <c r="AS292" s="201" t="s">
        <v>1316</v>
      </c>
      <c r="BB292" s="9" t="s">
        <v>73</v>
      </c>
      <c r="BC292" s="11">
        <f>0.95*BC296</f>
        <v>95</v>
      </c>
      <c r="BD292" s="231">
        <v>6</v>
      </c>
      <c r="BE292" s="232" t="s">
        <v>853</v>
      </c>
      <c r="CB292" s="41" t="str">
        <f t="shared" si="124"/>
        <v>iDPN N216B</v>
      </c>
      <c r="CC292" s="214" t="s">
        <v>543</v>
      </c>
      <c r="CD292" s="214">
        <v>2</v>
      </c>
      <c r="CE292" s="214">
        <v>16</v>
      </c>
      <c r="CF292" s="214" t="s">
        <v>57</v>
      </c>
      <c r="CG292" s="201" t="s">
        <v>287</v>
      </c>
      <c r="DH292" s="22"/>
      <c r="DI292" s="22"/>
      <c r="DJ292" s="22"/>
      <c r="DK292" s="344"/>
      <c r="DL292" s="361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22"/>
      <c r="EG292" s="22"/>
      <c r="EH292" s="22"/>
      <c r="EI292" s="22"/>
      <c r="EJ292" s="22"/>
      <c r="EK292" s="22"/>
      <c r="EL292" s="22"/>
      <c r="EM292" s="22"/>
      <c r="EN292" s="344"/>
      <c r="EO292" s="344"/>
      <c r="EP292" s="22"/>
      <c r="EQ292" s="22"/>
      <c r="ER292" s="22"/>
      <c r="EU292" s="344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</row>
    <row r="293" spans="27:161" ht="13.5" thickBot="1" x14ac:dyDescent="0.25">
      <c r="AA293" s="49"/>
      <c r="AB293" s="437"/>
      <c r="AC293" s="155"/>
      <c r="AJ293" s="102" t="str">
        <f t="shared" si="122"/>
        <v>NSX160 (АВР.ПР06-160)</v>
      </c>
      <c r="AK293" s="321" t="s">
        <v>742</v>
      </c>
      <c r="AL293" s="321"/>
      <c r="AM293" s="323">
        <v>160</v>
      </c>
      <c r="AO293" s="102" t="str">
        <f t="shared" si="125"/>
        <v>NSX100100</v>
      </c>
      <c r="AP293" s="246" t="s">
        <v>110</v>
      </c>
      <c r="AQ293" s="201"/>
      <c r="AR293" s="240">
        <v>100</v>
      </c>
      <c r="AS293" s="201" t="s">
        <v>66</v>
      </c>
      <c r="BB293" s="9" t="s">
        <v>73</v>
      </c>
      <c r="BC293" s="11">
        <f>0.96*BC296</f>
        <v>96</v>
      </c>
      <c r="BD293" s="231">
        <v>6</v>
      </c>
      <c r="BE293" s="232" t="s">
        <v>855</v>
      </c>
      <c r="CB293" s="41" t="str">
        <f t="shared" si="124"/>
        <v>iDPN N216B</v>
      </c>
      <c r="CC293" s="214" t="s">
        <v>543</v>
      </c>
      <c r="CD293" s="214">
        <v>2</v>
      </c>
      <c r="CE293" s="214">
        <v>16</v>
      </c>
      <c r="CF293" s="214" t="s">
        <v>57</v>
      </c>
      <c r="CG293" s="201" t="s">
        <v>291</v>
      </c>
      <c r="DH293" s="22"/>
      <c r="DI293" s="22"/>
      <c r="DJ293" s="22"/>
      <c r="DK293" s="344"/>
      <c r="DL293" s="361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22"/>
      <c r="EG293" s="22"/>
      <c r="EH293" s="22"/>
      <c r="EI293" s="22"/>
      <c r="EJ293" s="22"/>
      <c r="EK293" s="22"/>
      <c r="EL293" s="22"/>
      <c r="EM293" s="22"/>
      <c r="EN293" s="344"/>
      <c r="EO293" s="344"/>
      <c r="EP293" s="22"/>
      <c r="EQ293" s="22"/>
      <c r="ER293" s="22"/>
      <c r="EU293" s="344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</row>
    <row r="294" spans="27:161" ht="13.5" thickTop="1" x14ac:dyDescent="0.2">
      <c r="AA294" s="49"/>
      <c r="AB294" s="437"/>
      <c r="AC294" s="155"/>
      <c r="AJ294" s="102" t="str">
        <f t="shared" si="122"/>
        <v>NSX250 (АВР.ПР06-250)</v>
      </c>
      <c r="AK294" s="320" t="s">
        <v>743</v>
      </c>
      <c r="AL294" s="320"/>
      <c r="AM294" s="322">
        <v>40</v>
      </c>
      <c r="AO294" s="102" t="str">
        <f t="shared" si="125"/>
        <v>NSX100100</v>
      </c>
      <c r="AP294" s="246" t="s">
        <v>110</v>
      </c>
      <c r="AQ294" s="201"/>
      <c r="AR294" s="240">
        <v>100</v>
      </c>
      <c r="AS294" s="201" t="s">
        <v>569</v>
      </c>
      <c r="BB294" s="9" t="s">
        <v>73</v>
      </c>
      <c r="BC294" s="11">
        <f>0.97*BC296</f>
        <v>97</v>
      </c>
      <c r="BD294" s="231">
        <v>6</v>
      </c>
      <c r="BE294" s="232" t="s">
        <v>856</v>
      </c>
      <c r="CB294" s="41" t="str">
        <f t="shared" si="124"/>
        <v>iDPN N220B</v>
      </c>
      <c r="CC294" s="214" t="s">
        <v>543</v>
      </c>
      <c r="CD294" s="214">
        <v>2</v>
      </c>
      <c r="CE294" s="214">
        <v>20</v>
      </c>
      <c r="CF294" s="214" t="s">
        <v>57</v>
      </c>
      <c r="CG294" s="201" t="s">
        <v>595</v>
      </c>
      <c r="DH294" s="22"/>
      <c r="DI294" s="22"/>
      <c r="DJ294" s="22"/>
      <c r="DK294" s="344"/>
      <c r="DL294" s="361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22"/>
      <c r="EG294" s="22"/>
      <c r="EH294" s="22"/>
      <c r="EI294" s="22"/>
      <c r="EJ294" s="22"/>
      <c r="EK294" s="22"/>
      <c r="EL294" s="22"/>
      <c r="EM294" s="22"/>
      <c r="EN294" s="344"/>
      <c r="EO294" s="344"/>
      <c r="EP294" s="22"/>
      <c r="EQ294" s="22"/>
      <c r="ER294" s="22"/>
      <c r="EU294" s="344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</row>
    <row r="295" spans="27:161" x14ac:dyDescent="0.2">
      <c r="AA295" s="8"/>
      <c r="AB295" s="437"/>
      <c r="AC295" s="155"/>
      <c r="AJ295" s="102" t="str">
        <f t="shared" si="122"/>
        <v>NSX250 (АВР.ПР06-250)</v>
      </c>
      <c r="AK295" s="296" t="s">
        <v>743</v>
      </c>
      <c r="AL295" s="296"/>
      <c r="AM295" s="318">
        <v>63</v>
      </c>
      <c r="AO295" s="102" t="str">
        <f t="shared" si="125"/>
        <v>NSX100100</v>
      </c>
      <c r="AP295" s="246" t="s">
        <v>110</v>
      </c>
      <c r="AQ295" s="201"/>
      <c r="AR295" s="240">
        <v>100</v>
      </c>
      <c r="AS295" s="201" t="s">
        <v>72</v>
      </c>
      <c r="BB295" s="9" t="s">
        <v>73</v>
      </c>
      <c r="BC295" s="11">
        <f>0.98*BC296</f>
        <v>98</v>
      </c>
      <c r="BD295" s="231">
        <v>6</v>
      </c>
      <c r="BE295" s="232" t="s">
        <v>353</v>
      </c>
      <c r="CB295" s="41" t="str">
        <f t="shared" si="124"/>
        <v>iDPN N220B</v>
      </c>
      <c r="CC295" s="214" t="s">
        <v>543</v>
      </c>
      <c r="CD295" s="214">
        <v>2</v>
      </c>
      <c r="CE295" s="214">
        <v>20</v>
      </c>
      <c r="CF295" s="214" t="s">
        <v>57</v>
      </c>
      <c r="CG295" s="201" t="s">
        <v>597</v>
      </c>
      <c r="DH295" s="22"/>
      <c r="DI295" s="22"/>
      <c r="DJ295" s="22"/>
      <c r="DK295" s="344"/>
      <c r="DL295" s="361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22"/>
      <c r="EG295" s="22"/>
      <c r="EH295" s="22"/>
      <c r="EI295" s="22"/>
      <c r="EJ295" s="22"/>
      <c r="EK295" s="22"/>
      <c r="EL295" s="22"/>
      <c r="EM295" s="22"/>
      <c r="EN295" s="344"/>
      <c r="EO295" s="344"/>
      <c r="EP295" s="22"/>
      <c r="EQ295" s="22"/>
      <c r="ER295" s="22"/>
      <c r="EU295" s="344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</row>
    <row r="296" spans="27:161" x14ac:dyDescent="0.2">
      <c r="AA296" s="8"/>
      <c r="AB296" s="437"/>
      <c r="AC296" s="155"/>
      <c r="AJ296" s="102" t="str">
        <f t="shared" si="122"/>
        <v>NSX250 (АВР.ПР06-250)</v>
      </c>
      <c r="AK296" s="296" t="s">
        <v>743</v>
      </c>
      <c r="AL296" s="296"/>
      <c r="AM296" s="318">
        <v>80</v>
      </c>
      <c r="AO296" s="102" t="str">
        <f t="shared" si="125"/>
        <v>NSX100100</v>
      </c>
      <c r="AP296" s="246" t="s">
        <v>110</v>
      </c>
      <c r="AQ296" s="201"/>
      <c r="AR296" s="240">
        <v>100</v>
      </c>
      <c r="AS296" s="201" t="s">
        <v>554</v>
      </c>
      <c r="BB296" s="9" t="s">
        <v>73</v>
      </c>
      <c r="BC296" s="11">
        <v>100</v>
      </c>
      <c r="BD296" s="231">
        <v>6</v>
      </c>
      <c r="BE296" s="232" t="s">
        <v>354</v>
      </c>
      <c r="CB296" s="41" t="str">
        <f t="shared" si="124"/>
        <v>iDPN N220B</v>
      </c>
      <c r="CC296" s="214" t="s">
        <v>543</v>
      </c>
      <c r="CD296" s="214">
        <v>2</v>
      </c>
      <c r="CE296" s="214">
        <v>20</v>
      </c>
      <c r="CF296" s="214" t="s">
        <v>57</v>
      </c>
      <c r="CG296" s="201" t="s">
        <v>290</v>
      </c>
      <c r="DH296" s="22"/>
      <c r="DI296" s="22"/>
      <c r="DJ296" s="22"/>
      <c r="DK296" s="344"/>
      <c r="DL296" s="361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22"/>
      <c r="EG296" s="22"/>
      <c r="EH296" s="22"/>
      <c r="EI296" s="22"/>
      <c r="EJ296" s="22"/>
      <c r="EK296" s="22"/>
      <c r="EL296" s="22"/>
      <c r="EM296" s="22"/>
      <c r="EN296" s="344"/>
      <c r="EO296" s="344"/>
      <c r="EP296" s="22"/>
      <c r="EQ296" s="22"/>
      <c r="ER296" s="22"/>
      <c r="EU296" s="344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</row>
    <row r="297" spans="27:161" x14ac:dyDescent="0.2">
      <c r="AA297" s="8"/>
      <c r="AB297" s="437"/>
      <c r="AC297" s="155"/>
      <c r="AJ297" s="102" t="str">
        <f t="shared" si="122"/>
        <v>NSX250 (АВР.ПР06-250)</v>
      </c>
      <c r="AK297" s="296" t="s">
        <v>743</v>
      </c>
      <c r="AL297" s="296"/>
      <c r="AM297" s="318">
        <v>100</v>
      </c>
      <c r="AO297" s="102" t="str">
        <f t="shared" si="125"/>
        <v>NSX100100</v>
      </c>
      <c r="AP297" s="246" t="s">
        <v>110</v>
      </c>
      <c r="AQ297" s="201"/>
      <c r="AR297" s="240">
        <v>100</v>
      </c>
      <c r="AS297" s="201" t="s">
        <v>1248</v>
      </c>
      <c r="BB297" s="9" t="s">
        <v>73</v>
      </c>
      <c r="BC297" s="11">
        <f>0.9*BC305</f>
        <v>99</v>
      </c>
      <c r="BD297" s="231">
        <v>6</v>
      </c>
      <c r="BE297" s="232" t="s">
        <v>351</v>
      </c>
      <c r="CB297" s="41" t="str">
        <f t="shared" si="124"/>
        <v>iDPN N220B</v>
      </c>
      <c r="CC297" s="214" t="s">
        <v>543</v>
      </c>
      <c r="CD297" s="214">
        <v>2</v>
      </c>
      <c r="CE297" s="214">
        <v>20</v>
      </c>
      <c r="CF297" s="214" t="s">
        <v>57</v>
      </c>
      <c r="CG297" s="201" t="s">
        <v>287</v>
      </c>
      <c r="DH297" s="22"/>
      <c r="DI297" s="22"/>
      <c r="DJ297" s="22"/>
      <c r="DK297" s="344"/>
      <c r="DL297" s="361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22"/>
      <c r="EG297" s="22"/>
      <c r="EH297" s="22"/>
      <c r="EI297" s="22"/>
      <c r="EJ297" s="22"/>
      <c r="EK297" s="22"/>
      <c r="EL297" s="22"/>
      <c r="EM297" s="22"/>
      <c r="EN297" s="344"/>
      <c r="EO297" s="344"/>
      <c r="EP297" s="22"/>
      <c r="EQ297" s="22"/>
      <c r="ER297" s="22"/>
      <c r="EU297" s="344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</row>
    <row r="298" spans="27:161" x14ac:dyDescent="0.2">
      <c r="AA298" s="8"/>
      <c r="AB298" s="437"/>
      <c r="AC298" s="155"/>
      <c r="AJ298" s="102" t="str">
        <f t="shared" si="122"/>
        <v>NSX250 (АВР.ПР06-250)</v>
      </c>
      <c r="AK298" s="296" t="s">
        <v>743</v>
      </c>
      <c r="AL298" s="296"/>
      <c r="AM298" s="318">
        <v>125</v>
      </c>
      <c r="AO298" s="102" t="str">
        <f t="shared" si="125"/>
        <v>NSX100100</v>
      </c>
      <c r="AP298" s="246" t="s">
        <v>110</v>
      </c>
      <c r="AQ298" s="201"/>
      <c r="AR298" s="240">
        <v>100</v>
      </c>
      <c r="AS298" s="201" t="s">
        <v>1249</v>
      </c>
      <c r="BB298" s="9" t="s">
        <v>73</v>
      </c>
      <c r="BC298" s="11">
        <f>0.92*BC305</f>
        <v>101.2</v>
      </c>
      <c r="BD298" s="231">
        <v>6</v>
      </c>
      <c r="BE298" s="232" t="s">
        <v>355</v>
      </c>
      <c r="CB298" s="41" t="str">
        <f t="shared" si="124"/>
        <v>iDPN N220B</v>
      </c>
      <c r="CC298" s="214" t="s">
        <v>543</v>
      </c>
      <c r="CD298" s="214">
        <v>2</v>
      </c>
      <c r="CE298" s="214">
        <v>20</v>
      </c>
      <c r="CF298" s="214" t="s">
        <v>57</v>
      </c>
      <c r="CG298" s="201" t="s">
        <v>291</v>
      </c>
      <c r="DH298" s="22"/>
      <c r="DI298" s="22"/>
      <c r="DJ298" s="22"/>
      <c r="DK298" s="344"/>
      <c r="DL298" s="361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22"/>
      <c r="EG298" s="22"/>
      <c r="EH298" s="22"/>
      <c r="EI298" s="22"/>
      <c r="EJ298" s="22"/>
      <c r="EK298" s="22"/>
      <c r="EL298" s="22"/>
      <c r="EM298" s="22"/>
      <c r="EN298" s="344"/>
      <c r="EO298" s="344"/>
      <c r="EP298" s="22"/>
      <c r="EQ298" s="22"/>
      <c r="ER298" s="22"/>
      <c r="EU298" s="344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</row>
    <row r="299" spans="27:161" x14ac:dyDescent="0.2">
      <c r="AA299" s="8"/>
      <c r="AB299" s="437"/>
      <c r="AC299" s="155"/>
      <c r="AJ299" s="102" t="str">
        <f t="shared" si="122"/>
        <v>NSX250 (АВР.ПР06-250)</v>
      </c>
      <c r="AK299" s="296" t="s">
        <v>743</v>
      </c>
      <c r="AL299" s="296"/>
      <c r="AM299" s="318">
        <v>160</v>
      </c>
      <c r="AO299" s="102" t="str">
        <f t="shared" si="125"/>
        <v>NSX100100</v>
      </c>
      <c r="AP299" s="246" t="s">
        <v>110</v>
      </c>
      <c r="AQ299" s="201"/>
      <c r="AR299" s="240">
        <v>100</v>
      </c>
      <c r="AS299" s="201" t="s">
        <v>1250</v>
      </c>
      <c r="BB299" s="9" t="s">
        <v>73</v>
      </c>
      <c r="BC299" s="11">
        <f>0.93*BC305</f>
        <v>102.30000000000001</v>
      </c>
      <c r="BD299" s="231">
        <v>6</v>
      </c>
      <c r="BE299" s="232" t="s">
        <v>352</v>
      </c>
      <c r="CB299" s="41" t="str">
        <f t="shared" si="124"/>
        <v>iDPN N225B</v>
      </c>
      <c r="CC299" s="214" t="s">
        <v>543</v>
      </c>
      <c r="CD299" s="214">
        <v>2</v>
      </c>
      <c r="CE299" s="214">
        <v>25</v>
      </c>
      <c r="CF299" s="214" t="s">
        <v>57</v>
      </c>
      <c r="CG299" s="201" t="s">
        <v>595</v>
      </c>
      <c r="DH299" s="22"/>
      <c r="DI299" s="22"/>
      <c r="DJ299" s="22"/>
      <c r="DK299" s="344"/>
      <c r="DL299" s="361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22"/>
      <c r="EG299" s="22"/>
      <c r="EH299" s="22"/>
      <c r="EI299" s="22"/>
      <c r="EJ299" s="22"/>
      <c r="EK299" s="22"/>
      <c r="EL299" s="22"/>
      <c r="EM299" s="22"/>
      <c r="EN299" s="344"/>
      <c r="EO299" s="344"/>
      <c r="EP299" s="22"/>
      <c r="EQ299" s="22"/>
      <c r="ER299" s="22"/>
      <c r="EU299" s="344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</row>
    <row r="300" spans="27:161" x14ac:dyDescent="0.2">
      <c r="AA300" s="8"/>
      <c r="AB300" s="437"/>
      <c r="AC300" s="155"/>
      <c r="AJ300" s="102" t="str">
        <f t="shared" si="122"/>
        <v>NSX250 (АВР.ПР06-250)</v>
      </c>
      <c r="AK300" s="296" t="s">
        <v>743</v>
      </c>
      <c r="AL300" s="296"/>
      <c r="AM300" s="318">
        <v>200</v>
      </c>
      <c r="AO300" s="102" t="str">
        <f t="shared" si="125"/>
        <v>NSX16025</v>
      </c>
      <c r="AP300" s="246" t="s">
        <v>112</v>
      </c>
      <c r="AQ300" s="201"/>
      <c r="AR300" s="240">
        <v>25</v>
      </c>
      <c r="AS300" s="201" t="s">
        <v>1314</v>
      </c>
      <c r="BB300" s="9" t="s">
        <v>73</v>
      </c>
      <c r="BC300" s="11">
        <f>0.94*BC305</f>
        <v>103.39999999999999</v>
      </c>
      <c r="BD300" s="231">
        <v>10</v>
      </c>
      <c r="BE300" s="233" t="s">
        <v>30</v>
      </c>
      <c r="CB300" s="41" t="str">
        <f t="shared" si="124"/>
        <v>iDPN N225B</v>
      </c>
      <c r="CC300" s="214" t="s">
        <v>543</v>
      </c>
      <c r="CD300" s="214">
        <v>2</v>
      </c>
      <c r="CE300" s="214">
        <v>25</v>
      </c>
      <c r="CF300" s="214" t="s">
        <v>57</v>
      </c>
      <c r="CG300" s="201" t="s">
        <v>597</v>
      </c>
      <c r="DH300" s="22"/>
      <c r="DI300" s="22"/>
      <c r="DJ300" s="22"/>
      <c r="DK300" s="344"/>
      <c r="DL300" s="361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22"/>
      <c r="EG300" s="22"/>
      <c r="EH300" s="22"/>
      <c r="EI300" s="22"/>
      <c r="EJ300" s="22"/>
      <c r="EK300" s="22"/>
      <c r="EL300" s="22"/>
      <c r="EM300" s="22"/>
      <c r="EN300" s="344"/>
      <c r="EO300" s="344"/>
      <c r="EP300" s="22"/>
      <c r="EQ300" s="22"/>
      <c r="ER300" s="22"/>
      <c r="EU300" s="344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</row>
    <row r="301" spans="27:161" x14ac:dyDescent="0.2">
      <c r="AA301" s="8"/>
      <c r="AB301" s="437"/>
      <c r="AC301" s="155"/>
      <c r="AJ301" s="102" t="str">
        <f t="shared" si="122"/>
        <v>NSX250 (АВР.ПР06-250)</v>
      </c>
      <c r="AK301" s="296" t="s">
        <v>743</v>
      </c>
      <c r="AL301" s="296"/>
      <c r="AM301" s="318">
        <v>250</v>
      </c>
      <c r="AO301" s="102" t="str">
        <f t="shared" si="125"/>
        <v>NSX16025</v>
      </c>
      <c r="AP301" s="246" t="s">
        <v>112</v>
      </c>
      <c r="AQ301" s="201"/>
      <c r="AR301" s="240">
        <v>25</v>
      </c>
      <c r="AS301" s="201" t="s">
        <v>563</v>
      </c>
      <c r="BB301" s="9" t="s">
        <v>73</v>
      </c>
      <c r="BC301" s="11">
        <f>0.95*BC305</f>
        <v>104.5</v>
      </c>
      <c r="BD301" s="231">
        <v>10</v>
      </c>
      <c r="BE301" s="232" t="s">
        <v>853</v>
      </c>
      <c r="CB301" s="41" t="str">
        <f t="shared" si="124"/>
        <v>iDPN N225B</v>
      </c>
      <c r="CC301" s="214" t="s">
        <v>543</v>
      </c>
      <c r="CD301" s="214">
        <v>2</v>
      </c>
      <c r="CE301" s="214">
        <v>25</v>
      </c>
      <c r="CF301" s="214" t="s">
        <v>57</v>
      </c>
      <c r="CG301" s="201" t="s">
        <v>290</v>
      </c>
      <c r="DH301" s="22"/>
      <c r="DI301" s="22"/>
      <c r="DJ301" s="22"/>
      <c r="DK301" s="344"/>
      <c r="DL301" s="361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22"/>
      <c r="EG301" s="22"/>
      <c r="EH301" s="22"/>
      <c r="EI301" s="22"/>
      <c r="EJ301" s="22"/>
      <c r="EK301" s="22"/>
      <c r="EL301" s="22"/>
      <c r="EM301" s="22"/>
      <c r="EN301" s="344"/>
      <c r="EO301" s="344"/>
      <c r="EP301" s="22"/>
      <c r="EQ301" s="22"/>
      <c r="ER301" s="22"/>
      <c r="EU301" s="344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</row>
    <row r="302" spans="27:161" ht="13.5" thickBot="1" x14ac:dyDescent="0.25">
      <c r="AA302" s="8"/>
      <c r="AB302" s="437"/>
      <c r="AC302" s="155"/>
      <c r="AJ302" s="102" t="str">
        <f t="shared" si="122"/>
        <v>NSX400 (АВР.ПР06-400)</v>
      </c>
      <c r="AK302" s="321" t="s">
        <v>744</v>
      </c>
      <c r="AL302" s="321"/>
      <c r="AM302" s="323">
        <v>400</v>
      </c>
      <c r="AO302" s="102" t="str">
        <f t="shared" si="125"/>
        <v>NSX16032</v>
      </c>
      <c r="AP302" s="246" t="s">
        <v>112</v>
      </c>
      <c r="AQ302" s="201"/>
      <c r="AR302" s="240">
        <v>32</v>
      </c>
      <c r="AS302" s="201" t="s">
        <v>111</v>
      </c>
      <c r="BB302" s="9" t="s">
        <v>73</v>
      </c>
      <c r="BC302" s="11">
        <f>0.96*BC305</f>
        <v>105.6</v>
      </c>
      <c r="BD302" s="231">
        <v>10</v>
      </c>
      <c r="BE302" s="232" t="s">
        <v>855</v>
      </c>
      <c r="CB302" s="41" t="str">
        <f t="shared" si="124"/>
        <v>iDPN N225B</v>
      </c>
      <c r="CC302" s="214" t="s">
        <v>543</v>
      </c>
      <c r="CD302" s="214">
        <v>2</v>
      </c>
      <c r="CE302" s="214">
        <v>25</v>
      </c>
      <c r="CF302" s="214" t="s">
        <v>57</v>
      </c>
      <c r="CG302" s="201" t="s">
        <v>287</v>
      </c>
      <c r="DH302" s="22"/>
      <c r="DI302" s="22"/>
      <c r="DJ302" s="22"/>
      <c r="DK302" s="344"/>
      <c r="DL302" s="361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22"/>
      <c r="EG302" s="22"/>
      <c r="EH302" s="22"/>
      <c r="EI302" s="22"/>
      <c r="EJ302" s="22"/>
      <c r="EK302" s="22"/>
      <c r="EL302" s="22"/>
      <c r="EM302" s="22"/>
      <c r="EN302" s="344"/>
      <c r="EO302" s="344"/>
      <c r="EP302" s="22"/>
      <c r="EQ302" s="22"/>
      <c r="ER302" s="22"/>
      <c r="EU302" s="344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</row>
    <row r="303" spans="27:161" ht="13.5" thickTop="1" x14ac:dyDescent="0.2">
      <c r="AA303" s="8"/>
      <c r="AB303" s="437"/>
      <c r="AC303" s="155"/>
      <c r="AJ303" s="102" t="str">
        <f t="shared" si="122"/>
        <v>NSX100NA (АВР.ПР06-100)</v>
      </c>
      <c r="AK303" s="320" t="s">
        <v>318</v>
      </c>
      <c r="AL303" s="320"/>
      <c r="AM303" s="322">
        <v>100</v>
      </c>
      <c r="AO303" s="102" t="str">
        <f t="shared" si="125"/>
        <v>NSX16040</v>
      </c>
      <c r="AP303" s="246" t="s">
        <v>112</v>
      </c>
      <c r="AQ303" s="201"/>
      <c r="AR303" s="240">
        <v>40</v>
      </c>
      <c r="AS303" s="201" t="s">
        <v>62</v>
      </c>
      <c r="BB303" s="9" t="s">
        <v>73</v>
      </c>
      <c r="BC303" s="11">
        <f>0.97*BC305</f>
        <v>106.7</v>
      </c>
      <c r="BD303" s="231">
        <v>10</v>
      </c>
      <c r="BE303" s="232" t="s">
        <v>856</v>
      </c>
      <c r="CB303" s="41" t="str">
        <f t="shared" si="124"/>
        <v>iDPN N225B</v>
      </c>
      <c r="CC303" s="214" t="s">
        <v>543</v>
      </c>
      <c r="CD303" s="214">
        <v>2</v>
      </c>
      <c r="CE303" s="214">
        <v>25</v>
      </c>
      <c r="CF303" s="214" t="s">
        <v>57</v>
      </c>
      <c r="CG303" s="201" t="s">
        <v>291</v>
      </c>
      <c r="DH303" s="22"/>
      <c r="DI303" s="22"/>
      <c r="DJ303" s="22"/>
      <c r="DK303" s="344"/>
      <c r="DL303" s="361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22"/>
      <c r="EG303" s="22"/>
      <c r="EH303" s="22"/>
      <c r="EI303" s="22"/>
      <c r="EJ303" s="22"/>
      <c r="EK303" s="22"/>
      <c r="EL303" s="22"/>
      <c r="EM303" s="22"/>
      <c r="EN303" s="344"/>
      <c r="EO303" s="344"/>
      <c r="EP303" s="22"/>
      <c r="EQ303" s="22"/>
      <c r="ER303" s="22"/>
      <c r="EU303" s="344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</row>
    <row r="304" spans="27:161" x14ac:dyDescent="0.2">
      <c r="AA304" s="8"/>
      <c r="AB304" s="437"/>
      <c r="AC304" s="155"/>
      <c r="AJ304" s="102" t="str">
        <f t="shared" si="122"/>
        <v>NSX160NA (АВР.ПР06-160)</v>
      </c>
      <c r="AK304" s="296" t="s">
        <v>317</v>
      </c>
      <c r="AL304" s="296"/>
      <c r="AM304" s="318">
        <v>160</v>
      </c>
      <c r="AO304" s="102" t="str">
        <f t="shared" si="125"/>
        <v>NSX16040</v>
      </c>
      <c r="AP304" s="246" t="s">
        <v>112</v>
      </c>
      <c r="AQ304" s="201"/>
      <c r="AR304" s="240">
        <v>40</v>
      </c>
      <c r="AS304" s="201" t="s">
        <v>565</v>
      </c>
      <c r="BB304" s="9" t="s">
        <v>73</v>
      </c>
      <c r="BC304" s="11">
        <f>0.98*BC305</f>
        <v>107.8</v>
      </c>
      <c r="BD304" s="231">
        <v>10</v>
      </c>
      <c r="BE304" s="232" t="s">
        <v>353</v>
      </c>
      <c r="CB304" s="41" t="str">
        <f t="shared" si="124"/>
        <v>iDPN N232B</v>
      </c>
      <c r="CC304" s="214" t="s">
        <v>543</v>
      </c>
      <c r="CD304" s="214">
        <v>2</v>
      </c>
      <c r="CE304" s="214">
        <v>32</v>
      </c>
      <c r="CF304" s="214" t="s">
        <v>57</v>
      </c>
      <c r="CG304" s="201" t="s">
        <v>595</v>
      </c>
      <c r="DH304" s="22"/>
      <c r="DI304" s="22"/>
      <c r="DJ304" s="22"/>
      <c r="DK304" s="344"/>
      <c r="DL304" s="361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22"/>
      <c r="EG304" s="22"/>
      <c r="EH304" s="22"/>
      <c r="EI304" s="22"/>
      <c r="EJ304" s="22"/>
      <c r="EK304" s="22"/>
      <c r="EL304" s="22"/>
      <c r="EM304" s="22"/>
      <c r="EN304" s="344"/>
      <c r="EO304" s="344"/>
      <c r="EP304" s="22"/>
      <c r="EQ304" s="22"/>
      <c r="ER304" s="22"/>
      <c r="EU304" s="344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</row>
    <row r="305" spans="27:161" x14ac:dyDescent="0.2">
      <c r="AA305" s="8"/>
      <c r="AB305" s="437"/>
      <c r="AC305" s="155"/>
      <c r="AJ305" s="102" t="str">
        <f t="shared" si="122"/>
        <v>NSX250NA (АВР.ПР06-250)</v>
      </c>
      <c r="AK305" s="296" t="s">
        <v>315</v>
      </c>
      <c r="AL305" s="296"/>
      <c r="AM305" s="318">
        <v>250</v>
      </c>
      <c r="AO305" s="102" t="str">
        <f t="shared" si="125"/>
        <v>NSX16040</v>
      </c>
      <c r="AP305" s="246" t="s">
        <v>112</v>
      </c>
      <c r="AQ305" s="201"/>
      <c r="AR305" s="240">
        <v>40</v>
      </c>
      <c r="AS305" s="201" t="s">
        <v>71</v>
      </c>
      <c r="BB305" s="9" t="s">
        <v>73</v>
      </c>
      <c r="BC305" s="11">
        <v>110</v>
      </c>
      <c r="BD305" s="231">
        <v>10</v>
      </c>
      <c r="BE305" s="232" t="s">
        <v>354</v>
      </c>
      <c r="CB305" s="41" t="str">
        <f t="shared" si="124"/>
        <v>iDPN N232B</v>
      </c>
      <c r="CC305" s="214" t="s">
        <v>543</v>
      </c>
      <c r="CD305" s="214">
        <v>2</v>
      </c>
      <c r="CE305" s="214">
        <v>32</v>
      </c>
      <c r="CF305" s="214" t="s">
        <v>57</v>
      </c>
      <c r="CG305" s="201" t="s">
        <v>597</v>
      </c>
      <c r="DH305" s="22"/>
      <c r="DI305" s="22"/>
      <c r="DJ305" s="22"/>
      <c r="DK305" s="344"/>
      <c r="DL305" s="361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22"/>
      <c r="EG305" s="22"/>
      <c r="EH305" s="22"/>
      <c r="EI305" s="22"/>
      <c r="EJ305" s="22"/>
      <c r="EK305" s="22"/>
      <c r="EL305" s="22"/>
      <c r="EM305" s="22"/>
      <c r="EN305" s="344"/>
      <c r="EO305" s="344"/>
      <c r="EP305" s="22"/>
      <c r="EQ305" s="22"/>
      <c r="ER305" s="22"/>
      <c r="EU305" s="344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</row>
    <row r="306" spans="27:161" x14ac:dyDescent="0.2">
      <c r="AA306" s="8"/>
      <c r="AB306" s="437"/>
      <c r="AC306" s="155"/>
      <c r="AJ306" s="102" t="str">
        <f t="shared" si="122"/>
        <v>NSX400NA (АВР.ПР06-400)</v>
      </c>
      <c r="AK306" s="296" t="s">
        <v>316</v>
      </c>
      <c r="AL306" s="296"/>
      <c r="AM306" s="318">
        <v>400</v>
      </c>
      <c r="AO306" s="102" t="str">
        <f t="shared" si="125"/>
        <v>NSX16040</v>
      </c>
      <c r="AP306" s="246" t="s">
        <v>112</v>
      </c>
      <c r="AQ306" s="201"/>
      <c r="AR306" s="240">
        <v>40</v>
      </c>
      <c r="AS306" s="201" t="s">
        <v>553</v>
      </c>
      <c r="BB306" s="9" t="s">
        <v>73</v>
      </c>
      <c r="BC306" s="11">
        <f>0.9*BC314</f>
        <v>112.5</v>
      </c>
      <c r="BD306" s="231">
        <v>10</v>
      </c>
      <c r="BE306" s="232" t="s">
        <v>351</v>
      </c>
      <c r="CB306" s="41" t="str">
        <f t="shared" si="124"/>
        <v>iDPN N232B</v>
      </c>
      <c r="CC306" s="214" t="s">
        <v>543</v>
      </c>
      <c r="CD306" s="214">
        <v>2</v>
      </c>
      <c r="CE306" s="214">
        <v>32</v>
      </c>
      <c r="CF306" s="214" t="s">
        <v>57</v>
      </c>
      <c r="CG306" s="201" t="s">
        <v>290</v>
      </c>
      <c r="DH306" s="22"/>
      <c r="DI306" s="22"/>
      <c r="DJ306" s="22"/>
      <c r="DK306" s="344"/>
      <c r="DL306" s="361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22"/>
      <c r="EG306" s="22"/>
      <c r="EH306" s="22"/>
      <c r="EI306" s="22"/>
      <c r="EJ306" s="22"/>
      <c r="EK306" s="22"/>
      <c r="EL306" s="22"/>
      <c r="EM306" s="22"/>
      <c r="EN306" s="344"/>
      <c r="EO306" s="344"/>
      <c r="EP306" s="22"/>
      <c r="EQ306" s="22"/>
      <c r="ER306" s="22"/>
      <c r="EU306" s="344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</row>
    <row r="307" spans="27:161" x14ac:dyDescent="0.2">
      <c r="AA307" s="49"/>
      <c r="AB307" s="437"/>
      <c r="AC307" s="155"/>
      <c r="AO307" s="102" t="str">
        <f t="shared" si="125"/>
        <v>NSX16040</v>
      </c>
      <c r="AP307" s="246" t="s">
        <v>112</v>
      </c>
      <c r="AQ307" s="201"/>
      <c r="AR307" s="240">
        <v>40</v>
      </c>
      <c r="AS307" s="201" t="s">
        <v>1245</v>
      </c>
      <c r="BB307" s="9" t="s">
        <v>73</v>
      </c>
      <c r="BC307" s="11">
        <f>0.92*BC314</f>
        <v>115</v>
      </c>
      <c r="BD307" s="231">
        <v>10</v>
      </c>
      <c r="BE307" s="232" t="s">
        <v>355</v>
      </c>
      <c r="CB307" s="41" t="str">
        <f t="shared" si="124"/>
        <v>iDPN N232B</v>
      </c>
      <c r="CC307" s="214" t="s">
        <v>543</v>
      </c>
      <c r="CD307" s="214">
        <v>2</v>
      </c>
      <c r="CE307" s="214">
        <v>32</v>
      </c>
      <c r="CF307" s="214" t="s">
        <v>57</v>
      </c>
      <c r="CG307" s="201" t="s">
        <v>287</v>
      </c>
      <c r="DH307" s="22"/>
      <c r="DI307" s="22"/>
      <c r="DJ307" s="22"/>
      <c r="DK307" s="344"/>
      <c r="DL307" s="361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22"/>
      <c r="EG307" s="22"/>
      <c r="EH307" s="22"/>
      <c r="EI307" s="22"/>
      <c r="EJ307" s="22"/>
      <c r="EK307" s="22"/>
      <c r="EL307" s="22"/>
      <c r="EM307" s="22"/>
      <c r="EN307" s="344"/>
      <c r="EO307" s="344"/>
      <c r="EP307" s="22"/>
      <c r="EQ307" s="22"/>
      <c r="ER307" s="22"/>
      <c r="EU307" s="344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</row>
    <row r="308" spans="27:161" x14ac:dyDescent="0.2">
      <c r="AA308" s="49"/>
      <c r="AB308" s="437"/>
      <c r="AC308" s="155"/>
      <c r="AO308" s="102" t="str">
        <f t="shared" si="125"/>
        <v>NSX16040</v>
      </c>
      <c r="AP308" s="246" t="s">
        <v>112</v>
      </c>
      <c r="AQ308" s="201"/>
      <c r="AR308" s="240">
        <v>40</v>
      </c>
      <c r="AS308" s="201" t="s">
        <v>1246</v>
      </c>
      <c r="BB308" s="9" t="s">
        <v>73</v>
      </c>
      <c r="BC308" s="11">
        <f>0.93*BC314</f>
        <v>116.25</v>
      </c>
      <c r="BD308" s="231">
        <v>10</v>
      </c>
      <c r="BE308" s="232" t="s">
        <v>352</v>
      </c>
      <c r="CB308" s="41" t="str">
        <f t="shared" si="124"/>
        <v>iDPN N232B</v>
      </c>
      <c r="CC308" s="214" t="s">
        <v>543</v>
      </c>
      <c r="CD308" s="214">
        <v>2</v>
      </c>
      <c r="CE308" s="214">
        <v>32</v>
      </c>
      <c r="CF308" s="214" t="s">
        <v>57</v>
      </c>
      <c r="CG308" s="201" t="s">
        <v>291</v>
      </c>
      <c r="DH308" s="22"/>
      <c r="DI308" s="22"/>
      <c r="DJ308" s="22"/>
      <c r="DK308" s="344"/>
      <c r="DL308" s="361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22"/>
      <c r="EG308" s="22"/>
      <c r="EH308" s="22"/>
      <c r="EI308" s="22"/>
      <c r="EJ308" s="22"/>
      <c r="EK308" s="22"/>
      <c r="EL308" s="22"/>
      <c r="EM308" s="22"/>
      <c r="EN308" s="344"/>
      <c r="EO308" s="344"/>
      <c r="EP308" s="22"/>
      <c r="EQ308" s="22"/>
      <c r="ER308" s="22"/>
      <c r="EU308" s="344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</row>
    <row r="309" spans="27:161" x14ac:dyDescent="0.2">
      <c r="AA309" s="49"/>
      <c r="AB309" s="437"/>
      <c r="AC309" s="155"/>
      <c r="AO309" s="102" t="str">
        <f t="shared" si="125"/>
        <v>NSX16040</v>
      </c>
      <c r="AP309" s="246" t="s">
        <v>112</v>
      </c>
      <c r="AQ309" s="201"/>
      <c r="AR309" s="240">
        <v>40</v>
      </c>
      <c r="AS309" s="201" t="s">
        <v>1247</v>
      </c>
      <c r="BB309" s="9" t="s">
        <v>73</v>
      </c>
      <c r="BC309" s="11">
        <f>0.94*BC314</f>
        <v>117.5</v>
      </c>
      <c r="BD309" s="231">
        <v>13</v>
      </c>
      <c r="BE309" s="233" t="s">
        <v>30</v>
      </c>
      <c r="CB309" s="41" t="str">
        <f t="shared" si="124"/>
        <v>iDPN N240B</v>
      </c>
      <c r="CC309" s="214" t="s">
        <v>543</v>
      </c>
      <c r="CD309" s="214">
        <v>2</v>
      </c>
      <c r="CE309" s="214">
        <v>40</v>
      </c>
      <c r="CF309" s="214" t="s">
        <v>57</v>
      </c>
      <c r="CG309" s="201" t="s">
        <v>595</v>
      </c>
      <c r="DH309" s="22"/>
      <c r="DI309" s="22"/>
      <c r="DJ309" s="22"/>
      <c r="DK309" s="344"/>
      <c r="DL309" s="361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22"/>
      <c r="EG309" s="22"/>
      <c r="EH309" s="22"/>
      <c r="EI309" s="22"/>
      <c r="EJ309" s="22"/>
      <c r="EK309" s="22"/>
      <c r="EL309" s="22"/>
      <c r="EM309" s="22"/>
      <c r="EN309" s="344"/>
      <c r="EO309" s="344"/>
      <c r="EP309" s="22"/>
      <c r="EQ309" s="22"/>
      <c r="ER309" s="22"/>
      <c r="EU309" s="344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</row>
    <row r="310" spans="27:161" x14ac:dyDescent="0.2">
      <c r="AA310" s="49"/>
      <c r="AB310" s="437"/>
      <c r="AC310" s="155"/>
      <c r="AO310" s="102" t="str">
        <f t="shared" si="125"/>
        <v>NSX16050</v>
      </c>
      <c r="AP310" s="246" t="s">
        <v>112</v>
      </c>
      <c r="AQ310" s="201"/>
      <c r="AR310" s="240">
        <v>50</v>
      </c>
      <c r="AS310" s="201" t="s">
        <v>1315</v>
      </c>
      <c r="BB310" s="9" t="s">
        <v>73</v>
      </c>
      <c r="BC310" s="11">
        <f>0.95*BC314</f>
        <v>118.75</v>
      </c>
      <c r="BD310" s="231">
        <v>13</v>
      </c>
      <c r="BE310" s="232" t="s">
        <v>853</v>
      </c>
      <c r="CB310" s="41" t="str">
        <f t="shared" si="124"/>
        <v>iDPN N240B</v>
      </c>
      <c r="CC310" s="214" t="s">
        <v>543</v>
      </c>
      <c r="CD310" s="214">
        <v>2</v>
      </c>
      <c r="CE310" s="214">
        <v>40</v>
      </c>
      <c r="CF310" s="214" t="s">
        <v>57</v>
      </c>
      <c r="CG310" s="201" t="s">
        <v>597</v>
      </c>
      <c r="DH310" s="22"/>
      <c r="DI310" s="22"/>
      <c r="DJ310" s="22"/>
      <c r="DK310" s="344"/>
      <c r="DL310" s="361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22"/>
      <c r="EG310" s="22"/>
      <c r="EH310" s="22"/>
      <c r="EI310" s="22"/>
      <c r="EJ310" s="22"/>
      <c r="EK310" s="22"/>
      <c r="EL310" s="22"/>
      <c r="EM310" s="22"/>
      <c r="EN310" s="344"/>
      <c r="EO310" s="344"/>
      <c r="EP310" s="22"/>
      <c r="EQ310" s="22"/>
      <c r="ER310" s="22"/>
      <c r="EU310" s="344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</row>
    <row r="311" spans="27:161" x14ac:dyDescent="0.2">
      <c r="AA311" s="49"/>
      <c r="AB311" s="437"/>
      <c r="AC311" s="155"/>
      <c r="AO311" s="102" t="str">
        <f t="shared" si="125"/>
        <v>NSX16050</v>
      </c>
      <c r="AP311" s="246" t="s">
        <v>112</v>
      </c>
      <c r="AQ311" s="201"/>
      <c r="AR311" s="240">
        <v>50</v>
      </c>
      <c r="AS311" s="201" t="s">
        <v>63</v>
      </c>
      <c r="BB311" s="9" t="s">
        <v>73</v>
      </c>
      <c r="BC311" s="11">
        <f>0.96*BC314</f>
        <v>120</v>
      </c>
      <c r="BD311" s="231">
        <v>13</v>
      </c>
      <c r="BE311" s="232" t="s">
        <v>855</v>
      </c>
      <c r="CB311" s="41" t="str">
        <f t="shared" si="124"/>
        <v>iDPN N240B</v>
      </c>
      <c r="CC311" s="214" t="s">
        <v>543</v>
      </c>
      <c r="CD311" s="214">
        <v>2</v>
      </c>
      <c r="CE311" s="214">
        <v>40</v>
      </c>
      <c r="CF311" s="214" t="s">
        <v>57</v>
      </c>
      <c r="CG311" s="201" t="s">
        <v>290</v>
      </c>
      <c r="DH311" s="22"/>
      <c r="DI311" s="22"/>
      <c r="DJ311" s="22"/>
      <c r="DK311" s="344"/>
      <c r="DL311" s="361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22"/>
      <c r="EG311" s="22"/>
      <c r="EH311" s="22"/>
      <c r="EI311" s="22"/>
      <c r="EJ311" s="22"/>
      <c r="EK311" s="22"/>
      <c r="EL311" s="22"/>
      <c r="EM311" s="22"/>
      <c r="EN311" s="344"/>
      <c r="EO311" s="344"/>
      <c r="EP311" s="22"/>
      <c r="EQ311" s="22"/>
      <c r="ER311" s="22"/>
      <c r="EU311" s="344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</row>
    <row r="312" spans="27:161" x14ac:dyDescent="0.2">
      <c r="AA312" s="8"/>
      <c r="AB312" s="437"/>
      <c r="AC312" s="155"/>
      <c r="AO312" s="102" t="str">
        <f t="shared" si="125"/>
        <v>NSX16063</v>
      </c>
      <c r="AP312" s="246" t="s">
        <v>112</v>
      </c>
      <c r="AQ312" s="201"/>
      <c r="AR312" s="240">
        <v>63</v>
      </c>
      <c r="AS312" s="201" t="s">
        <v>64</v>
      </c>
      <c r="BB312" s="9" t="s">
        <v>73</v>
      </c>
      <c r="BC312" s="11">
        <f>0.97*BC314</f>
        <v>121.25</v>
      </c>
      <c r="BD312" s="231">
        <v>13</v>
      </c>
      <c r="BE312" s="232" t="s">
        <v>856</v>
      </c>
      <c r="CB312" s="41" t="str">
        <f t="shared" si="124"/>
        <v>iDPN N240B</v>
      </c>
      <c r="CC312" s="214" t="s">
        <v>543</v>
      </c>
      <c r="CD312" s="214">
        <v>2</v>
      </c>
      <c r="CE312" s="214">
        <v>40</v>
      </c>
      <c r="CF312" s="214" t="s">
        <v>57</v>
      </c>
      <c r="CG312" s="201" t="s">
        <v>287</v>
      </c>
      <c r="DH312" s="22"/>
      <c r="DI312" s="22"/>
      <c r="DJ312" s="22"/>
      <c r="DK312" s="344"/>
      <c r="DL312" s="361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22"/>
      <c r="EG312" s="22"/>
      <c r="EH312" s="22"/>
      <c r="EI312" s="22"/>
      <c r="EJ312" s="22"/>
      <c r="EK312" s="22"/>
      <c r="EL312" s="22"/>
      <c r="EM312" s="22"/>
      <c r="EN312" s="344"/>
      <c r="EO312" s="344"/>
      <c r="EP312" s="22"/>
      <c r="EQ312" s="22"/>
      <c r="ER312" s="22"/>
      <c r="EU312" s="344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</row>
    <row r="313" spans="27:161" ht="13.5" thickBot="1" x14ac:dyDescent="0.25">
      <c r="AA313" s="8"/>
      <c r="AB313" s="437"/>
      <c r="AC313" s="155"/>
      <c r="AO313" s="102" t="str">
        <f t="shared" si="125"/>
        <v>NSX16063</v>
      </c>
      <c r="AP313" s="246" t="s">
        <v>112</v>
      </c>
      <c r="AQ313" s="201"/>
      <c r="AR313" s="240">
        <v>63</v>
      </c>
      <c r="AS313" s="201" t="s">
        <v>567</v>
      </c>
      <c r="BB313" s="9" t="s">
        <v>73</v>
      </c>
      <c r="BC313" s="11">
        <f>0.98*BC314</f>
        <v>122.5</v>
      </c>
      <c r="BD313" s="231">
        <v>13</v>
      </c>
      <c r="BE313" s="232" t="s">
        <v>353</v>
      </c>
      <c r="CB313" s="41" t="str">
        <f t="shared" si="124"/>
        <v>iDPN N240B</v>
      </c>
      <c r="CC313" s="216" t="s">
        <v>543</v>
      </c>
      <c r="CD313" s="216">
        <v>2</v>
      </c>
      <c r="CE313" s="216">
        <v>40</v>
      </c>
      <c r="CF313" s="216" t="s">
        <v>57</v>
      </c>
      <c r="CG313" s="217" t="s">
        <v>291</v>
      </c>
      <c r="DH313" s="22"/>
      <c r="DI313" s="22"/>
      <c r="DJ313" s="22"/>
      <c r="DK313" s="344"/>
      <c r="DL313" s="361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22"/>
      <c r="EG313" s="22"/>
      <c r="EH313" s="22"/>
      <c r="EI313" s="22"/>
      <c r="EJ313" s="22"/>
      <c r="EK313" s="22"/>
      <c r="EL313" s="22"/>
      <c r="EM313" s="22"/>
      <c r="EN313" s="344"/>
      <c r="EO313" s="344"/>
      <c r="EP313" s="22"/>
      <c r="EQ313" s="22"/>
      <c r="ER313" s="22"/>
      <c r="EU313" s="344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</row>
    <row r="314" spans="27:161" ht="13.5" thickTop="1" x14ac:dyDescent="0.2">
      <c r="AA314" s="8"/>
      <c r="AB314" s="437"/>
      <c r="AC314" s="155"/>
      <c r="AO314" s="102" t="str">
        <f t="shared" si="125"/>
        <v>NSX16080</v>
      </c>
      <c r="AP314" s="246" t="s">
        <v>112</v>
      </c>
      <c r="AQ314" s="201"/>
      <c r="AR314" s="240">
        <v>80</v>
      </c>
      <c r="AS314" s="201" t="s">
        <v>65</v>
      </c>
      <c r="BB314" s="9" t="s">
        <v>73</v>
      </c>
      <c r="BC314" s="11">
        <v>125</v>
      </c>
      <c r="BD314" s="231">
        <v>13</v>
      </c>
      <c r="BE314" s="232" t="s">
        <v>354</v>
      </c>
      <c r="CB314" s="41" t="str">
        <f t="shared" si="124"/>
        <v>iDPN N26C</v>
      </c>
      <c r="CC314" s="187" t="s">
        <v>543</v>
      </c>
      <c r="CD314" s="187">
        <v>2</v>
      </c>
      <c r="CE314" s="187">
        <v>6</v>
      </c>
      <c r="CF314" s="187" t="s">
        <v>58</v>
      </c>
      <c r="CG314" s="190" t="s">
        <v>595</v>
      </c>
      <c r="DH314" s="22"/>
      <c r="DI314" s="22"/>
      <c r="DJ314" s="22"/>
      <c r="DK314" s="344"/>
      <c r="DL314" s="361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22"/>
      <c r="EG314" s="22"/>
      <c r="EH314" s="22"/>
      <c r="EI314" s="22"/>
      <c r="EJ314" s="22"/>
      <c r="EK314" s="22"/>
      <c r="EL314" s="22"/>
      <c r="EM314" s="22"/>
      <c r="EN314" s="344"/>
      <c r="EO314" s="344"/>
      <c r="EP314" s="22"/>
      <c r="EQ314" s="22"/>
      <c r="ER314" s="22"/>
      <c r="EU314" s="344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</row>
    <row r="315" spans="27:161" x14ac:dyDescent="0.2">
      <c r="AA315" s="8"/>
      <c r="AB315" s="437"/>
      <c r="AC315" s="155"/>
      <c r="AO315" s="102" t="str">
        <f t="shared" si="125"/>
        <v>NSX16080</v>
      </c>
      <c r="AP315" s="246" t="s">
        <v>112</v>
      </c>
      <c r="AQ315" s="201"/>
      <c r="AR315" s="240">
        <v>80</v>
      </c>
      <c r="AS315" s="201" t="s">
        <v>568</v>
      </c>
      <c r="BB315" s="9" t="s">
        <v>73</v>
      </c>
      <c r="BC315" s="11">
        <f>0.9*BC323</f>
        <v>135</v>
      </c>
      <c r="BD315" s="231">
        <v>13</v>
      </c>
      <c r="BE315" s="232" t="s">
        <v>351</v>
      </c>
      <c r="CB315" s="41" t="str">
        <f t="shared" si="124"/>
        <v>iDPN N26C</v>
      </c>
      <c r="CC315" s="214" t="s">
        <v>543</v>
      </c>
      <c r="CD315" s="214">
        <v>2</v>
      </c>
      <c r="CE315" s="214">
        <v>6</v>
      </c>
      <c r="CF315" s="214" t="s">
        <v>58</v>
      </c>
      <c r="CG315" s="201" t="s">
        <v>597</v>
      </c>
      <c r="DH315" s="22"/>
      <c r="DI315" s="22"/>
      <c r="DJ315" s="22"/>
      <c r="DK315" s="344"/>
      <c r="DL315" s="361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22"/>
      <c r="EG315" s="22"/>
      <c r="EH315" s="22"/>
      <c r="EI315" s="22"/>
      <c r="EJ315" s="22"/>
      <c r="EK315" s="22"/>
      <c r="EL315" s="22"/>
      <c r="EM315" s="22"/>
      <c r="EN315" s="344"/>
      <c r="EO315" s="344"/>
      <c r="EP315" s="22"/>
      <c r="EQ315" s="22"/>
      <c r="ER315" s="22"/>
      <c r="EU315" s="344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</row>
    <row r="316" spans="27:161" x14ac:dyDescent="0.2">
      <c r="AA316" s="8"/>
      <c r="AB316" s="437"/>
      <c r="AC316" s="155"/>
      <c r="AO316" s="102" t="str">
        <f t="shared" si="125"/>
        <v>NSX160100</v>
      </c>
      <c r="AP316" s="246" t="s">
        <v>112</v>
      </c>
      <c r="AQ316" s="201"/>
      <c r="AR316" s="240">
        <v>100</v>
      </c>
      <c r="AS316" s="201" t="s">
        <v>1316</v>
      </c>
      <c r="BB316" s="9" t="s">
        <v>73</v>
      </c>
      <c r="BC316" s="11">
        <f>0.92*BC323</f>
        <v>138</v>
      </c>
      <c r="BD316" s="231">
        <v>13</v>
      </c>
      <c r="BE316" s="232" t="s">
        <v>355</v>
      </c>
      <c r="CB316" s="41" t="str">
        <f t="shared" si="124"/>
        <v>iDPN N26C</v>
      </c>
      <c r="CC316" s="214" t="s">
        <v>543</v>
      </c>
      <c r="CD316" s="214">
        <v>2</v>
      </c>
      <c r="CE316" s="214">
        <v>6</v>
      </c>
      <c r="CF316" s="214" t="s">
        <v>58</v>
      </c>
      <c r="CG316" s="201" t="s">
        <v>290</v>
      </c>
      <c r="DH316" s="22"/>
      <c r="DI316" s="22"/>
      <c r="DJ316" s="22"/>
      <c r="DK316" s="344"/>
      <c r="DL316" s="361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22"/>
      <c r="EG316" s="22"/>
      <c r="EH316" s="22"/>
      <c r="EI316" s="22"/>
      <c r="EJ316" s="22"/>
      <c r="EK316" s="22"/>
      <c r="EL316" s="22"/>
      <c r="EM316" s="22"/>
      <c r="EN316" s="344"/>
      <c r="EO316" s="344"/>
      <c r="EP316" s="22"/>
      <c r="EQ316" s="22"/>
      <c r="ER316" s="22"/>
      <c r="EU316" s="344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</row>
    <row r="317" spans="27:161" x14ac:dyDescent="0.2">
      <c r="AA317" s="8"/>
      <c r="AB317" s="437"/>
      <c r="AC317" s="155"/>
      <c r="AO317" s="102" t="str">
        <f t="shared" si="125"/>
        <v>NSX160100</v>
      </c>
      <c r="AP317" s="246" t="s">
        <v>112</v>
      </c>
      <c r="AQ317" s="201"/>
      <c r="AR317" s="240">
        <v>100</v>
      </c>
      <c r="AS317" s="201" t="s">
        <v>66</v>
      </c>
      <c r="BB317" s="9" t="s">
        <v>73</v>
      </c>
      <c r="BC317" s="11">
        <f>0.93*BC323</f>
        <v>139.5</v>
      </c>
      <c r="BD317" s="231">
        <v>13</v>
      </c>
      <c r="BE317" s="232" t="s">
        <v>352</v>
      </c>
      <c r="CB317" s="41" t="str">
        <f t="shared" si="124"/>
        <v>iDPN N26C</v>
      </c>
      <c r="CC317" s="214" t="s">
        <v>543</v>
      </c>
      <c r="CD317" s="214">
        <v>2</v>
      </c>
      <c r="CE317" s="214">
        <v>6</v>
      </c>
      <c r="CF317" s="214" t="s">
        <v>58</v>
      </c>
      <c r="CG317" s="201" t="s">
        <v>287</v>
      </c>
      <c r="DH317" s="22"/>
      <c r="DI317" s="22"/>
      <c r="DJ317" s="22"/>
      <c r="DK317" s="344"/>
      <c r="DL317" s="361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22"/>
      <c r="EG317" s="22"/>
      <c r="EH317" s="22"/>
      <c r="EI317" s="22"/>
      <c r="EJ317" s="22"/>
      <c r="EK317" s="22"/>
      <c r="EL317" s="22"/>
      <c r="EM317" s="22"/>
      <c r="EN317" s="344"/>
      <c r="EO317" s="344"/>
      <c r="EP317" s="22"/>
      <c r="EQ317" s="22"/>
      <c r="ER317" s="22"/>
      <c r="EU317" s="344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</row>
    <row r="318" spans="27:161" x14ac:dyDescent="0.2">
      <c r="AA318" s="8"/>
      <c r="AB318" s="437"/>
      <c r="AC318" s="155"/>
      <c r="AO318" s="102" t="str">
        <f t="shared" si="125"/>
        <v>NSX160100</v>
      </c>
      <c r="AP318" s="246" t="s">
        <v>112</v>
      </c>
      <c r="AQ318" s="201"/>
      <c r="AR318" s="240">
        <v>100</v>
      </c>
      <c r="AS318" s="201" t="s">
        <v>569</v>
      </c>
      <c r="BB318" s="9" t="s">
        <v>73</v>
      </c>
      <c r="BC318" s="11">
        <f>0.94*BC323</f>
        <v>141</v>
      </c>
      <c r="BD318" s="231">
        <v>15</v>
      </c>
      <c r="BE318" s="233" t="s">
        <v>30</v>
      </c>
      <c r="CB318" s="41" t="str">
        <f t="shared" si="124"/>
        <v>iDPN N26C</v>
      </c>
      <c r="CC318" s="214" t="s">
        <v>543</v>
      </c>
      <c r="CD318" s="214">
        <v>2</v>
      </c>
      <c r="CE318" s="214">
        <v>6</v>
      </c>
      <c r="CF318" s="214" t="s">
        <v>58</v>
      </c>
      <c r="CG318" s="201" t="s">
        <v>291</v>
      </c>
      <c r="DH318" s="22"/>
      <c r="DI318" s="22"/>
      <c r="DJ318" s="22"/>
      <c r="DK318" s="344"/>
      <c r="DL318" s="361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22"/>
      <c r="EG318" s="22"/>
      <c r="EH318" s="22"/>
      <c r="EI318" s="22"/>
      <c r="EJ318" s="22"/>
      <c r="EK318" s="22"/>
      <c r="EL318" s="22"/>
      <c r="EM318" s="22"/>
      <c r="EN318" s="344"/>
      <c r="EO318" s="344"/>
      <c r="EP318" s="22"/>
      <c r="EQ318" s="22"/>
      <c r="ER318" s="22"/>
      <c r="EU318" s="344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</row>
    <row r="319" spans="27:161" x14ac:dyDescent="0.2">
      <c r="AA319" s="8"/>
      <c r="AB319" s="437"/>
      <c r="AC319" s="155"/>
      <c r="AO319" s="102" t="str">
        <f t="shared" si="125"/>
        <v>NSX160100</v>
      </c>
      <c r="AP319" s="246" t="s">
        <v>112</v>
      </c>
      <c r="AQ319" s="201"/>
      <c r="AR319" s="240">
        <v>100</v>
      </c>
      <c r="AS319" s="201" t="s">
        <v>72</v>
      </c>
      <c r="BB319" s="9" t="s">
        <v>73</v>
      </c>
      <c r="BC319" s="11">
        <f>0.95*BC323</f>
        <v>142.5</v>
      </c>
      <c r="BD319" s="231">
        <v>15</v>
      </c>
      <c r="BE319" s="232" t="s">
        <v>853</v>
      </c>
      <c r="CB319" s="41" t="str">
        <f t="shared" si="124"/>
        <v>iDPN N26C</v>
      </c>
      <c r="CC319" s="214" t="s">
        <v>543</v>
      </c>
      <c r="CD319" s="214">
        <v>2</v>
      </c>
      <c r="CE319" s="214">
        <v>6</v>
      </c>
      <c r="CF319" s="214" t="s">
        <v>58</v>
      </c>
      <c r="CG319" s="201" t="s">
        <v>292</v>
      </c>
      <c r="DH319" s="22"/>
      <c r="DI319" s="22"/>
      <c r="DJ319" s="22"/>
      <c r="DK319" s="344"/>
      <c r="DL319" s="361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22"/>
      <c r="EG319" s="22"/>
      <c r="EH319" s="22"/>
      <c r="EI319" s="22"/>
      <c r="EJ319" s="22"/>
      <c r="EK319" s="22"/>
      <c r="EL319" s="22"/>
      <c r="EM319" s="22"/>
      <c r="EN319" s="344"/>
      <c r="EO319" s="344"/>
      <c r="EP319" s="22"/>
      <c r="EQ319" s="22"/>
      <c r="ER319" s="22"/>
      <c r="EU319" s="344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</row>
    <row r="320" spans="27:161" x14ac:dyDescent="0.2">
      <c r="AA320" s="8"/>
      <c r="AB320" s="437"/>
      <c r="AC320" s="155"/>
      <c r="AO320" s="102" t="str">
        <f t="shared" si="125"/>
        <v>NSX160100</v>
      </c>
      <c r="AP320" s="246" t="s">
        <v>112</v>
      </c>
      <c r="AQ320" s="201"/>
      <c r="AR320" s="240">
        <v>100</v>
      </c>
      <c r="AS320" s="201" t="s">
        <v>554</v>
      </c>
      <c r="BB320" s="9" t="s">
        <v>73</v>
      </c>
      <c r="BC320" s="11">
        <f>0.96*BC323</f>
        <v>144</v>
      </c>
      <c r="BD320" s="231">
        <v>15</v>
      </c>
      <c r="BE320" s="232" t="s">
        <v>855</v>
      </c>
      <c r="CB320" s="41" t="str">
        <f t="shared" si="124"/>
        <v>iDPN N26C</v>
      </c>
      <c r="CC320" s="214" t="s">
        <v>543</v>
      </c>
      <c r="CD320" s="214">
        <v>2</v>
      </c>
      <c r="CE320" s="214">
        <v>6</v>
      </c>
      <c r="CF320" s="214" t="s">
        <v>58</v>
      </c>
      <c r="CG320" s="201" t="s">
        <v>368</v>
      </c>
      <c r="DH320" s="22"/>
      <c r="DI320" s="22"/>
      <c r="DJ320" s="22"/>
      <c r="DK320" s="344"/>
      <c r="DL320" s="361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22"/>
      <c r="EG320" s="22"/>
      <c r="EH320" s="22"/>
      <c r="EI320" s="22"/>
      <c r="EJ320" s="22"/>
      <c r="EK320" s="22"/>
      <c r="EL320" s="22"/>
      <c r="EM320" s="22"/>
      <c r="EN320" s="344"/>
      <c r="EO320" s="344"/>
      <c r="EP320" s="22"/>
      <c r="EQ320" s="22"/>
      <c r="ER320" s="22"/>
      <c r="EU320" s="344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</row>
    <row r="321" spans="27:161" x14ac:dyDescent="0.2">
      <c r="AA321" s="8"/>
      <c r="AB321" s="437"/>
      <c r="AC321" s="155"/>
      <c r="AO321" s="102" t="str">
        <f t="shared" si="125"/>
        <v>NSX160100</v>
      </c>
      <c r="AP321" s="246" t="s">
        <v>112</v>
      </c>
      <c r="AQ321" s="201"/>
      <c r="AR321" s="240">
        <v>100</v>
      </c>
      <c r="AS321" s="201" t="s">
        <v>1248</v>
      </c>
      <c r="BB321" s="9" t="s">
        <v>73</v>
      </c>
      <c r="BC321" s="11">
        <f>0.97*BC323</f>
        <v>145.5</v>
      </c>
      <c r="BD321" s="231">
        <v>15</v>
      </c>
      <c r="BE321" s="232" t="s">
        <v>856</v>
      </c>
      <c r="CB321" s="41" t="str">
        <f t="shared" si="124"/>
        <v>iDPN N26C</v>
      </c>
      <c r="CC321" s="214" t="s">
        <v>543</v>
      </c>
      <c r="CD321" s="214">
        <v>2</v>
      </c>
      <c r="CE321" s="214">
        <v>6</v>
      </c>
      <c r="CF321" s="214" t="s">
        <v>58</v>
      </c>
      <c r="CG321" s="201" t="s">
        <v>293</v>
      </c>
      <c r="DH321" s="22"/>
      <c r="DI321" s="22"/>
      <c r="DJ321" s="22"/>
      <c r="DK321" s="344"/>
      <c r="DL321" s="361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22"/>
      <c r="EG321" s="22"/>
      <c r="EH321" s="22"/>
      <c r="EI321" s="22"/>
      <c r="EJ321" s="22"/>
      <c r="EK321" s="22"/>
      <c r="EL321" s="22"/>
      <c r="EM321" s="22"/>
      <c r="EN321" s="344"/>
      <c r="EO321" s="344"/>
      <c r="EP321" s="22"/>
      <c r="EQ321" s="22"/>
      <c r="ER321" s="22"/>
      <c r="EU321" s="344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</row>
    <row r="322" spans="27:161" x14ac:dyDescent="0.2">
      <c r="AA322" s="8"/>
      <c r="AB322" s="437"/>
      <c r="AC322" s="155"/>
      <c r="AO322" s="102" t="str">
        <f t="shared" si="125"/>
        <v>NSX160100</v>
      </c>
      <c r="AP322" s="246" t="s">
        <v>112</v>
      </c>
      <c r="AQ322" s="201"/>
      <c r="AR322" s="240">
        <v>100</v>
      </c>
      <c r="AS322" s="201" t="s">
        <v>1249</v>
      </c>
      <c r="BB322" s="9" t="s">
        <v>73</v>
      </c>
      <c r="BC322" s="11">
        <f>0.98*BC323</f>
        <v>147</v>
      </c>
      <c r="BD322" s="231">
        <v>15</v>
      </c>
      <c r="BE322" s="232" t="s">
        <v>353</v>
      </c>
      <c r="CB322" s="41" t="str">
        <f t="shared" si="124"/>
        <v>iDPN N210C</v>
      </c>
      <c r="CC322" s="214" t="s">
        <v>543</v>
      </c>
      <c r="CD322" s="214">
        <v>2</v>
      </c>
      <c r="CE322" s="214">
        <v>10</v>
      </c>
      <c r="CF322" s="214" t="s">
        <v>58</v>
      </c>
      <c r="CG322" s="201" t="s">
        <v>595</v>
      </c>
      <c r="DH322" s="22"/>
      <c r="DI322" s="22"/>
      <c r="DJ322" s="22"/>
      <c r="DK322" s="344"/>
      <c r="DL322" s="361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22"/>
      <c r="EG322" s="22"/>
      <c r="EH322" s="22"/>
      <c r="EI322" s="22"/>
      <c r="EJ322" s="22"/>
      <c r="EK322" s="22"/>
      <c r="EL322" s="22"/>
      <c r="EM322" s="22"/>
      <c r="EN322" s="344"/>
      <c r="EO322" s="344"/>
      <c r="EP322" s="22"/>
      <c r="EQ322" s="22"/>
      <c r="ER322" s="22"/>
      <c r="EU322" s="344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</row>
    <row r="323" spans="27:161" x14ac:dyDescent="0.2">
      <c r="AA323" s="8"/>
      <c r="AB323" s="437"/>
      <c r="AC323" s="155"/>
      <c r="AO323" s="102" t="str">
        <f t="shared" si="125"/>
        <v>NSX160100</v>
      </c>
      <c r="AP323" s="246" t="s">
        <v>112</v>
      </c>
      <c r="AQ323" s="201"/>
      <c r="AR323" s="240">
        <v>100</v>
      </c>
      <c r="AS323" s="201" t="s">
        <v>1250</v>
      </c>
      <c r="BB323" s="9" t="s">
        <v>73</v>
      </c>
      <c r="BC323" s="11">
        <v>150</v>
      </c>
      <c r="BD323" s="231">
        <v>15</v>
      </c>
      <c r="BE323" s="232" t="s">
        <v>354</v>
      </c>
      <c r="CB323" s="41" t="str">
        <f t="shared" ref="CB323:CB386" si="126">CC323&amp;CD323&amp;CE323&amp;CF323</f>
        <v>iDPN N210C</v>
      </c>
      <c r="CC323" s="214" t="s">
        <v>543</v>
      </c>
      <c r="CD323" s="214">
        <v>2</v>
      </c>
      <c r="CE323" s="214">
        <v>10</v>
      </c>
      <c r="CF323" s="214" t="s">
        <v>58</v>
      </c>
      <c r="CG323" s="201" t="s">
        <v>597</v>
      </c>
      <c r="DH323" s="22"/>
      <c r="DI323" s="22"/>
      <c r="DJ323" s="22"/>
      <c r="DK323" s="344"/>
      <c r="DL323" s="361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22"/>
      <c r="EG323" s="22"/>
      <c r="EH323" s="22"/>
      <c r="EI323" s="22"/>
      <c r="EJ323" s="22"/>
      <c r="EK323" s="22"/>
      <c r="EL323" s="22"/>
      <c r="EM323" s="22"/>
      <c r="EN323" s="344"/>
      <c r="EO323" s="344"/>
      <c r="EP323" s="22"/>
      <c r="EQ323" s="22"/>
      <c r="ER323" s="22"/>
      <c r="EU323" s="344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</row>
    <row r="324" spans="27:161" x14ac:dyDescent="0.2">
      <c r="AA324" s="8"/>
      <c r="AB324" s="437"/>
      <c r="AC324" s="155"/>
      <c r="AO324" s="102" t="str">
        <f t="shared" si="125"/>
        <v>NSX160125</v>
      </c>
      <c r="AP324" s="246" t="s">
        <v>112</v>
      </c>
      <c r="AQ324" s="201"/>
      <c r="AR324" s="240">
        <v>125</v>
      </c>
      <c r="AS324" s="201" t="s">
        <v>67</v>
      </c>
      <c r="BB324" s="9" t="s">
        <v>73</v>
      </c>
      <c r="BC324" s="11">
        <f>0.92*BC331</f>
        <v>147.20000000000002</v>
      </c>
      <c r="BD324" s="231">
        <v>15</v>
      </c>
      <c r="BE324" s="232" t="s">
        <v>351</v>
      </c>
      <c r="CB324" s="41" t="str">
        <f t="shared" si="126"/>
        <v>iDPN N210C</v>
      </c>
      <c r="CC324" s="214" t="s">
        <v>543</v>
      </c>
      <c r="CD324" s="214">
        <v>2</v>
      </c>
      <c r="CE324" s="214">
        <v>10</v>
      </c>
      <c r="CF324" s="214" t="s">
        <v>58</v>
      </c>
      <c r="CG324" s="201" t="s">
        <v>367</v>
      </c>
      <c r="DH324" s="22"/>
      <c r="DI324" s="22"/>
      <c r="DJ324" s="22"/>
      <c r="DK324" s="344"/>
      <c r="DL324" s="361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22"/>
      <c r="EG324" s="22"/>
      <c r="EH324" s="22"/>
      <c r="EI324" s="22"/>
      <c r="EJ324" s="22"/>
      <c r="EK324" s="22"/>
      <c r="EL324" s="22"/>
      <c r="EM324" s="22"/>
      <c r="EN324" s="344"/>
      <c r="EO324" s="344"/>
      <c r="EP324" s="22"/>
      <c r="EQ324" s="22"/>
      <c r="ER324" s="22"/>
      <c r="EU324" s="344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</row>
    <row r="325" spans="27:161" x14ac:dyDescent="0.2">
      <c r="AA325" s="8"/>
      <c r="AB325" s="437"/>
      <c r="AC325" s="155"/>
      <c r="AO325" s="102" t="str">
        <f t="shared" si="125"/>
        <v>NSX160125</v>
      </c>
      <c r="AP325" s="246" t="s">
        <v>112</v>
      </c>
      <c r="AQ325" s="201"/>
      <c r="AR325" s="240">
        <v>125</v>
      </c>
      <c r="AS325" s="201" t="s">
        <v>570</v>
      </c>
      <c r="BB325" s="9" t="s">
        <v>73</v>
      </c>
      <c r="BC325" s="11">
        <f>0.93*BC331</f>
        <v>148.80000000000001</v>
      </c>
      <c r="BD325" s="231">
        <v>15</v>
      </c>
      <c r="BE325" s="232" t="s">
        <v>355</v>
      </c>
      <c r="CB325" s="41" t="str">
        <f t="shared" si="126"/>
        <v>iDPN N210C</v>
      </c>
      <c r="CC325" s="214" t="s">
        <v>543</v>
      </c>
      <c r="CD325" s="214">
        <v>2</v>
      </c>
      <c r="CE325" s="214">
        <v>10</v>
      </c>
      <c r="CF325" s="214" t="s">
        <v>58</v>
      </c>
      <c r="CG325" s="201" t="s">
        <v>290</v>
      </c>
      <c r="DH325" s="22"/>
      <c r="DI325" s="22"/>
      <c r="DJ325" s="22"/>
      <c r="DK325" s="344"/>
      <c r="DL325" s="361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22"/>
      <c r="EG325" s="22"/>
      <c r="EH325" s="22"/>
      <c r="EI325" s="22"/>
      <c r="EJ325" s="22"/>
      <c r="EK325" s="22"/>
      <c r="EL325" s="22"/>
      <c r="EM325" s="22"/>
      <c r="EN325" s="344"/>
      <c r="EO325" s="344"/>
      <c r="EP325" s="22"/>
      <c r="EQ325" s="22"/>
      <c r="ER325" s="22"/>
      <c r="EU325" s="344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</row>
    <row r="326" spans="27:161" x14ac:dyDescent="0.2">
      <c r="AA326" s="8"/>
      <c r="AB326" s="437"/>
      <c r="AC326" s="155"/>
      <c r="AO326" s="102" t="str">
        <f t="shared" si="125"/>
        <v>NSX160150</v>
      </c>
      <c r="AP326" s="246" t="s">
        <v>112</v>
      </c>
      <c r="AQ326" s="201"/>
      <c r="AR326" s="240">
        <v>150</v>
      </c>
      <c r="AS326" s="201" t="s">
        <v>1317</v>
      </c>
      <c r="BB326" s="9" t="s">
        <v>73</v>
      </c>
      <c r="BC326" s="11">
        <f>0.94*BC331</f>
        <v>150.39999999999998</v>
      </c>
      <c r="BD326" s="231">
        <v>15</v>
      </c>
      <c r="BE326" s="232" t="s">
        <v>352</v>
      </c>
      <c r="CB326" s="41" t="str">
        <f t="shared" si="126"/>
        <v>iDPN N210C</v>
      </c>
      <c r="CC326" s="214" t="s">
        <v>543</v>
      </c>
      <c r="CD326" s="214">
        <v>2</v>
      </c>
      <c r="CE326" s="214">
        <v>10</v>
      </c>
      <c r="CF326" s="214" t="s">
        <v>58</v>
      </c>
      <c r="CG326" s="201" t="s">
        <v>287</v>
      </c>
      <c r="DH326" s="22"/>
      <c r="DI326" s="22"/>
      <c r="DJ326" s="22"/>
      <c r="DK326" s="344"/>
      <c r="DL326" s="361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22"/>
      <c r="EG326" s="22"/>
      <c r="EH326" s="22"/>
      <c r="EI326" s="22"/>
      <c r="EJ326" s="22"/>
      <c r="EK326" s="22"/>
      <c r="EL326" s="22"/>
      <c r="EM326" s="22"/>
      <c r="EN326" s="344"/>
      <c r="EO326" s="344"/>
      <c r="EP326" s="22"/>
      <c r="EQ326" s="22"/>
      <c r="ER326" s="22"/>
      <c r="EU326" s="344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</row>
    <row r="327" spans="27:161" x14ac:dyDescent="0.2">
      <c r="AA327" s="8"/>
      <c r="AB327" s="437"/>
      <c r="AC327" s="155"/>
      <c r="AO327" s="102" t="str">
        <f t="shared" si="125"/>
        <v>NSX160160</v>
      </c>
      <c r="AP327" s="246" t="s">
        <v>112</v>
      </c>
      <c r="AQ327" s="201"/>
      <c r="AR327" s="240">
        <v>160</v>
      </c>
      <c r="AS327" s="201" t="s">
        <v>68</v>
      </c>
      <c r="BB327" s="9" t="s">
        <v>73</v>
      </c>
      <c r="BC327" s="11">
        <f>0.95*BC331</f>
        <v>152</v>
      </c>
      <c r="BD327" s="231">
        <v>16</v>
      </c>
      <c r="BE327" s="233" t="s">
        <v>30</v>
      </c>
      <c r="CB327" s="41" t="str">
        <f t="shared" si="126"/>
        <v>iDPN N210C</v>
      </c>
      <c r="CC327" s="214" t="s">
        <v>543</v>
      </c>
      <c r="CD327" s="214">
        <v>2</v>
      </c>
      <c r="CE327" s="214">
        <v>10</v>
      </c>
      <c r="CF327" s="214" t="s">
        <v>58</v>
      </c>
      <c r="CG327" s="201" t="s">
        <v>291</v>
      </c>
      <c r="DH327" s="22"/>
      <c r="DI327" s="22"/>
      <c r="DJ327" s="22"/>
      <c r="DK327" s="344"/>
      <c r="DL327" s="361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22"/>
      <c r="EG327" s="22"/>
      <c r="EH327" s="22"/>
      <c r="EI327" s="22"/>
      <c r="EJ327" s="22"/>
      <c r="EK327" s="22"/>
      <c r="EL327" s="22"/>
      <c r="EM327" s="22"/>
      <c r="EN327" s="344"/>
      <c r="EO327" s="344"/>
      <c r="EP327" s="22"/>
      <c r="EQ327" s="22"/>
      <c r="ER327" s="22"/>
      <c r="EU327" s="344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</row>
    <row r="328" spans="27:161" x14ac:dyDescent="0.2">
      <c r="AA328" s="8"/>
      <c r="AB328" s="437"/>
      <c r="AC328" s="155"/>
      <c r="AO328" s="102" t="str">
        <f t="shared" si="125"/>
        <v>NSX160160</v>
      </c>
      <c r="AP328" s="246" t="s">
        <v>112</v>
      </c>
      <c r="AQ328" s="201"/>
      <c r="AR328" s="240">
        <v>160</v>
      </c>
      <c r="AS328" s="201" t="s">
        <v>571</v>
      </c>
      <c r="BB328" s="9" t="s">
        <v>73</v>
      </c>
      <c r="BC328" s="11">
        <f>0.96*BC331</f>
        <v>153.6</v>
      </c>
      <c r="BD328" s="231">
        <v>16</v>
      </c>
      <c r="BE328" s="232" t="s">
        <v>595</v>
      </c>
      <c r="CB328" s="41" t="str">
        <f t="shared" si="126"/>
        <v>iDPN N210C</v>
      </c>
      <c r="CC328" s="214" t="s">
        <v>543</v>
      </c>
      <c r="CD328" s="214">
        <v>2</v>
      </c>
      <c r="CE328" s="214">
        <v>10</v>
      </c>
      <c r="CF328" s="214" t="s">
        <v>58</v>
      </c>
      <c r="CG328" s="201" t="s">
        <v>292</v>
      </c>
      <c r="DH328" s="22"/>
      <c r="DI328" s="22"/>
      <c r="DJ328" s="22"/>
      <c r="DK328" s="344"/>
      <c r="DL328" s="361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22"/>
      <c r="EG328" s="22"/>
      <c r="EH328" s="22"/>
      <c r="EI328" s="22"/>
      <c r="EJ328" s="22"/>
      <c r="EK328" s="22"/>
      <c r="EL328" s="22"/>
      <c r="EM328" s="22"/>
      <c r="EN328" s="344"/>
      <c r="EO328" s="344"/>
      <c r="EP328" s="22"/>
      <c r="EQ328" s="22"/>
      <c r="ER328" s="22"/>
      <c r="EU328" s="344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</row>
    <row r="329" spans="27:161" x14ac:dyDescent="0.2">
      <c r="AA329" s="8"/>
      <c r="AB329" s="437"/>
      <c r="AO329" s="102" t="str">
        <f t="shared" ref="AO329:AO333" si="127">AP329&amp;AQ329&amp;AR329</f>
        <v>NSX160160</v>
      </c>
      <c r="AP329" s="246" t="s">
        <v>112</v>
      </c>
      <c r="AQ329" s="201"/>
      <c r="AR329" s="240">
        <v>160</v>
      </c>
      <c r="AS329" s="201" t="s">
        <v>73</v>
      </c>
      <c r="BB329" s="9" t="s">
        <v>73</v>
      </c>
      <c r="BC329" s="11">
        <f>0.97*BC331</f>
        <v>155.19999999999999</v>
      </c>
      <c r="BD329" s="231">
        <v>16</v>
      </c>
      <c r="BE329" s="232" t="s">
        <v>597</v>
      </c>
      <c r="CB329" s="41" t="str">
        <f t="shared" si="126"/>
        <v>iDPN N210C</v>
      </c>
      <c r="CC329" s="214" t="s">
        <v>543</v>
      </c>
      <c r="CD329" s="214">
        <v>2</v>
      </c>
      <c r="CE329" s="214">
        <v>10</v>
      </c>
      <c r="CF329" s="214" t="s">
        <v>58</v>
      </c>
      <c r="CG329" s="201" t="s">
        <v>368</v>
      </c>
      <c r="DH329" s="22"/>
      <c r="DI329" s="22"/>
      <c r="DJ329" s="22"/>
      <c r="DK329" s="344"/>
      <c r="DL329" s="361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22"/>
      <c r="EG329" s="22"/>
      <c r="EH329" s="22"/>
      <c r="EI329" s="22"/>
      <c r="EJ329" s="22"/>
      <c r="EK329" s="22"/>
      <c r="EL329" s="22"/>
      <c r="EM329" s="22"/>
      <c r="EN329" s="344"/>
      <c r="EO329" s="344"/>
      <c r="EP329" s="22"/>
      <c r="EQ329" s="22"/>
      <c r="ER329" s="22"/>
      <c r="EU329" s="344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</row>
    <row r="330" spans="27:161" x14ac:dyDescent="0.2">
      <c r="AA330" s="49"/>
      <c r="AB330" s="437"/>
      <c r="AO330" s="102" t="str">
        <f t="shared" si="127"/>
        <v>NSX160160</v>
      </c>
      <c r="AP330" s="246" t="s">
        <v>112</v>
      </c>
      <c r="AQ330" s="201"/>
      <c r="AR330" s="240">
        <v>160</v>
      </c>
      <c r="AS330" s="201" t="s">
        <v>557</v>
      </c>
      <c r="BB330" s="9" t="s">
        <v>73</v>
      </c>
      <c r="BC330" s="11">
        <f>0.98*BC331</f>
        <v>156.80000000000001</v>
      </c>
      <c r="BD330" s="231">
        <v>16</v>
      </c>
      <c r="BE330" s="232" t="s">
        <v>598</v>
      </c>
      <c r="CB330" s="41" t="str">
        <f t="shared" si="126"/>
        <v>iDPN N210C</v>
      </c>
      <c r="CC330" s="214" t="s">
        <v>543</v>
      </c>
      <c r="CD330" s="214">
        <v>2</v>
      </c>
      <c r="CE330" s="214">
        <v>10</v>
      </c>
      <c r="CF330" s="214" t="s">
        <v>58</v>
      </c>
      <c r="CG330" s="201" t="s">
        <v>293</v>
      </c>
      <c r="DH330" s="22"/>
      <c r="DI330" s="22"/>
      <c r="DJ330" s="22"/>
      <c r="DK330" s="344"/>
      <c r="DL330" s="361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22"/>
      <c r="EG330" s="22"/>
      <c r="EH330" s="22"/>
      <c r="EI330" s="22"/>
      <c r="EJ330" s="22"/>
      <c r="EK330" s="22"/>
      <c r="EL330" s="22"/>
      <c r="EM330" s="22"/>
      <c r="EN330" s="344"/>
      <c r="EO330" s="344"/>
      <c r="EP330" s="22"/>
      <c r="EQ330" s="22"/>
      <c r="ER330" s="22"/>
      <c r="EU330" s="344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</row>
    <row r="331" spans="27:161" x14ac:dyDescent="0.2">
      <c r="AA331" s="49"/>
      <c r="AB331" s="437"/>
      <c r="AO331" s="102" t="str">
        <f t="shared" si="127"/>
        <v>NSX160160</v>
      </c>
      <c r="AP331" s="246" t="s">
        <v>112</v>
      </c>
      <c r="AQ331" s="201"/>
      <c r="AR331" s="240">
        <v>160</v>
      </c>
      <c r="AS331" s="201" t="s">
        <v>1251</v>
      </c>
      <c r="BB331" s="9" t="s">
        <v>73</v>
      </c>
      <c r="BC331" s="11">
        <v>160</v>
      </c>
      <c r="BD331" s="231">
        <v>16</v>
      </c>
      <c r="BE331" s="232" t="s">
        <v>290</v>
      </c>
      <c r="CB331" s="41" t="str">
        <f t="shared" si="126"/>
        <v>iDPN N213C</v>
      </c>
      <c r="CC331" s="214" t="s">
        <v>543</v>
      </c>
      <c r="CD331" s="214">
        <v>2</v>
      </c>
      <c r="CE331" s="214">
        <v>13</v>
      </c>
      <c r="CF331" s="214" t="s">
        <v>58</v>
      </c>
      <c r="CG331" s="201" t="s">
        <v>290</v>
      </c>
      <c r="DH331" s="22"/>
      <c r="DI331" s="22"/>
      <c r="DJ331" s="22"/>
      <c r="DK331" s="344"/>
      <c r="DL331" s="361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22"/>
      <c r="EG331" s="22"/>
      <c r="EH331" s="22"/>
      <c r="EI331" s="22"/>
      <c r="EJ331" s="22"/>
      <c r="EK331" s="22"/>
      <c r="EL331" s="22"/>
      <c r="EM331" s="22"/>
      <c r="EN331" s="344"/>
      <c r="EO331" s="344"/>
      <c r="EP331" s="22"/>
      <c r="EQ331" s="22"/>
      <c r="ER331" s="22"/>
      <c r="EU331" s="344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</row>
    <row r="332" spans="27:161" x14ac:dyDescent="0.2">
      <c r="AA332" s="49"/>
      <c r="AB332" s="437"/>
      <c r="AO332" s="102" t="str">
        <f t="shared" si="127"/>
        <v>NSX160160</v>
      </c>
      <c r="AP332" s="246" t="s">
        <v>112</v>
      </c>
      <c r="AQ332" s="201"/>
      <c r="AR332" s="240">
        <v>160</v>
      </c>
      <c r="AS332" s="201" t="s">
        <v>1252</v>
      </c>
      <c r="BB332" s="9" t="s">
        <v>74</v>
      </c>
      <c r="BC332" s="11">
        <f>0.9*BC340</f>
        <v>90</v>
      </c>
      <c r="BD332" s="231">
        <v>16</v>
      </c>
      <c r="BE332" s="232" t="s">
        <v>287</v>
      </c>
      <c r="CB332" s="41" t="str">
        <f t="shared" si="126"/>
        <v>iDPN N213C</v>
      </c>
      <c r="CC332" s="214" t="s">
        <v>543</v>
      </c>
      <c r="CD332" s="214">
        <v>2</v>
      </c>
      <c r="CE332" s="214">
        <v>13</v>
      </c>
      <c r="CF332" s="214" t="s">
        <v>58</v>
      </c>
      <c r="CG332" s="201" t="s">
        <v>287</v>
      </c>
      <c r="DH332" s="22"/>
      <c r="DI332" s="22"/>
      <c r="DJ332" s="22"/>
      <c r="DK332" s="344"/>
      <c r="DL332" s="361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22"/>
      <c r="EG332" s="22"/>
      <c r="EH332" s="22"/>
      <c r="EI332" s="22"/>
      <c r="EJ332" s="22"/>
      <c r="EK332" s="22"/>
      <c r="EL332" s="22"/>
      <c r="EM332" s="22"/>
      <c r="EN332" s="344"/>
      <c r="EO332" s="344"/>
      <c r="EP332" s="22"/>
      <c r="EQ332" s="22"/>
      <c r="ER332" s="22"/>
      <c r="EU332" s="344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</row>
    <row r="333" spans="27:161" x14ac:dyDescent="0.2">
      <c r="AA333" s="49"/>
      <c r="AB333" s="437"/>
      <c r="AO333" s="102" t="str">
        <f t="shared" si="127"/>
        <v>NSX160160</v>
      </c>
      <c r="AP333" s="246" t="s">
        <v>112</v>
      </c>
      <c r="AQ333" s="201"/>
      <c r="AR333" s="240">
        <v>160</v>
      </c>
      <c r="AS333" s="201" t="s">
        <v>1253</v>
      </c>
      <c r="BB333" s="9" t="s">
        <v>74</v>
      </c>
      <c r="BC333" s="11">
        <f>0.92*BC340</f>
        <v>92</v>
      </c>
      <c r="BD333" s="231">
        <v>16</v>
      </c>
      <c r="BE333" s="232" t="s">
        <v>291</v>
      </c>
      <c r="CB333" s="41" t="str">
        <f t="shared" si="126"/>
        <v>iDPN N213C</v>
      </c>
      <c r="CC333" s="214" t="s">
        <v>543</v>
      </c>
      <c r="CD333" s="214">
        <v>2</v>
      </c>
      <c r="CE333" s="214">
        <v>13</v>
      </c>
      <c r="CF333" s="214" t="s">
        <v>58</v>
      </c>
      <c r="CG333" s="201" t="s">
        <v>291</v>
      </c>
      <c r="DH333" s="22"/>
      <c r="DI333" s="22"/>
      <c r="DJ333" s="22"/>
      <c r="DK333" s="344"/>
      <c r="DL333" s="361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22"/>
      <c r="EG333" s="22"/>
      <c r="EH333" s="22"/>
      <c r="EI333" s="22"/>
      <c r="EJ333" s="22"/>
      <c r="EK333" s="22"/>
      <c r="EL333" s="22"/>
      <c r="EM333" s="22"/>
      <c r="EN333" s="344"/>
      <c r="EO333" s="344"/>
      <c r="EP333" s="22"/>
      <c r="EQ333" s="22"/>
      <c r="ER333" s="22"/>
      <c r="EU333" s="344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</row>
    <row r="334" spans="27:161" x14ac:dyDescent="0.2">
      <c r="AA334" s="49"/>
      <c r="AB334" s="437"/>
      <c r="AO334" s="102" t="str">
        <f t="shared" ref="AO334:AO365" si="128">AP334&amp;AQ334&amp;AR334</f>
        <v>NSX25050</v>
      </c>
      <c r="AP334" s="246" t="s">
        <v>113</v>
      </c>
      <c r="AQ334" s="201"/>
      <c r="AR334" s="240">
        <v>50</v>
      </c>
      <c r="AS334" s="201" t="s">
        <v>1315</v>
      </c>
      <c r="BB334" s="9" t="s">
        <v>74</v>
      </c>
      <c r="BC334" s="11">
        <f>0.93*BC340</f>
        <v>93</v>
      </c>
      <c r="BD334" s="231">
        <v>16</v>
      </c>
      <c r="BE334" s="232" t="s">
        <v>300</v>
      </c>
      <c r="CB334" s="41" t="str">
        <f t="shared" si="126"/>
        <v>iDPN N213C</v>
      </c>
      <c r="CC334" s="214" t="s">
        <v>543</v>
      </c>
      <c r="CD334" s="214">
        <v>2</v>
      </c>
      <c r="CE334" s="214">
        <v>13</v>
      </c>
      <c r="CF334" s="214" t="s">
        <v>58</v>
      </c>
      <c r="CG334" s="201" t="s">
        <v>292</v>
      </c>
      <c r="DH334" s="22"/>
      <c r="DI334" s="22"/>
      <c r="DJ334" s="22"/>
      <c r="DK334" s="344"/>
      <c r="DL334" s="361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22"/>
      <c r="EG334" s="22"/>
      <c r="EH334" s="22"/>
      <c r="EI334" s="22"/>
      <c r="EJ334" s="22"/>
      <c r="EK334" s="22"/>
      <c r="EL334" s="22"/>
      <c r="EM334" s="22"/>
      <c r="EN334" s="344"/>
      <c r="EO334" s="344"/>
      <c r="EP334" s="22"/>
      <c r="EQ334" s="22"/>
      <c r="ER334" s="22"/>
      <c r="EU334" s="344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</row>
    <row r="335" spans="27:161" x14ac:dyDescent="0.2">
      <c r="AA335" s="49"/>
      <c r="AB335" s="437"/>
      <c r="AO335" s="102" t="str">
        <f t="shared" si="128"/>
        <v>NSX25040</v>
      </c>
      <c r="AP335" s="246" t="s">
        <v>113</v>
      </c>
      <c r="AQ335" s="201"/>
      <c r="AR335" s="240">
        <v>40</v>
      </c>
      <c r="AS335" s="201" t="s">
        <v>71</v>
      </c>
      <c r="BB335" s="9" t="s">
        <v>74</v>
      </c>
      <c r="BC335" s="11">
        <f>0.94*BC340</f>
        <v>94</v>
      </c>
      <c r="BD335" s="231">
        <v>16</v>
      </c>
      <c r="BE335" s="232" t="s">
        <v>292</v>
      </c>
      <c r="CB335" s="41" t="str">
        <f t="shared" si="126"/>
        <v>iDPN N213C</v>
      </c>
      <c r="CC335" s="214" t="s">
        <v>543</v>
      </c>
      <c r="CD335" s="214">
        <v>2</v>
      </c>
      <c r="CE335" s="214">
        <v>13</v>
      </c>
      <c r="CF335" s="214" t="s">
        <v>58</v>
      </c>
      <c r="CG335" s="201" t="s">
        <v>368</v>
      </c>
      <c r="DH335" s="22"/>
      <c r="DI335" s="22"/>
      <c r="DJ335" s="22"/>
      <c r="DK335" s="344"/>
      <c r="DL335" s="361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22"/>
      <c r="EG335" s="22"/>
      <c r="EH335" s="22"/>
      <c r="EI335" s="22"/>
      <c r="EJ335" s="22"/>
      <c r="EK335" s="22"/>
      <c r="EL335" s="22"/>
      <c r="EM335" s="22"/>
      <c r="EN335" s="344"/>
      <c r="EO335" s="344"/>
      <c r="EP335" s="22"/>
      <c r="EQ335" s="22"/>
      <c r="ER335" s="22"/>
      <c r="EU335" s="344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</row>
    <row r="336" spans="27:161" x14ac:dyDescent="0.2">
      <c r="AA336" s="49"/>
      <c r="AB336" s="437"/>
      <c r="AJ336" s="102"/>
      <c r="AM336" s="102"/>
      <c r="AO336" s="102" t="str">
        <f t="shared" si="128"/>
        <v>NSX25040</v>
      </c>
      <c r="AP336" s="246" t="s">
        <v>113</v>
      </c>
      <c r="AQ336" s="201"/>
      <c r="AR336" s="240">
        <v>40</v>
      </c>
      <c r="AS336" s="201" t="s">
        <v>553</v>
      </c>
      <c r="BB336" s="9" t="s">
        <v>74</v>
      </c>
      <c r="BC336" s="11">
        <f>0.95*BC340</f>
        <v>95</v>
      </c>
      <c r="BD336" s="231">
        <v>20</v>
      </c>
      <c r="BE336" s="233" t="s">
        <v>30</v>
      </c>
      <c r="CB336" s="41" t="str">
        <f t="shared" si="126"/>
        <v>iDPN N213C</v>
      </c>
      <c r="CC336" s="214" t="s">
        <v>543</v>
      </c>
      <c r="CD336" s="214">
        <v>2</v>
      </c>
      <c r="CE336" s="214">
        <v>13</v>
      </c>
      <c r="CF336" s="214" t="s">
        <v>58</v>
      </c>
      <c r="CG336" s="201" t="s">
        <v>293</v>
      </c>
      <c r="DH336" s="22"/>
      <c r="DI336" s="22"/>
      <c r="DJ336" s="22"/>
      <c r="DK336" s="344"/>
      <c r="DL336" s="361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22"/>
      <c r="EG336" s="22"/>
      <c r="EH336" s="22"/>
      <c r="EI336" s="22"/>
      <c r="EJ336" s="22"/>
      <c r="EK336" s="22"/>
      <c r="EL336" s="22"/>
      <c r="EM336" s="22"/>
      <c r="EN336" s="344"/>
      <c r="EO336" s="344"/>
      <c r="EP336" s="22"/>
      <c r="EQ336" s="22"/>
      <c r="ER336" s="22"/>
      <c r="EU336" s="344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</row>
    <row r="337" spans="27:161" x14ac:dyDescent="0.2">
      <c r="AA337" s="49"/>
      <c r="AB337" s="437"/>
      <c r="AJ337" s="102"/>
      <c r="AM337" s="102"/>
      <c r="AO337" s="102" t="str">
        <f t="shared" si="128"/>
        <v>NSX25040</v>
      </c>
      <c r="AP337" s="246" t="s">
        <v>113</v>
      </c>
      <c r="AQ337" s="201"/>
      <c r="AR337" s="240">
        <v>40</v>
      </c>
      <c r="AS337" s="201" t="s">
        <v>1245</v>
      </c>
      <c r="BB337" s="9" t="s">
        <v>74</v>
      </c>
      <c r="BC337" s="11">
        <f>0.96*BC340</f>
        <v>96</v>
      </c>
      <c r="BD337" s="231">
        <v>20</v>
      </c>
      <c r="BE337" s="232" t="s">
        <v>595</v>
      </c>
      <c r="CB337" s="41" t="str">
        <f t="shared" si="126"/>
        <v>iDPN N216C</v>
      </c>
      <c r="CC337" s="214" t="s">
        <v>543</v>
      </c>
      <c r="CD337" s="214">
        <v>2</v>
      </c>
      <c r="CE337" s="214">
        <v>16</v>
      </c>
      <c r="CF337" s="214" t="s">
        <v>58</v>
      </c>
      <c r="CG337" s="201" t="s">
        <v>595</v>
      </c>
      <c r="DH337" s="22"/>
      <c r="DI337" s="22"/>
      <c r="DJ337" s="22"/>
      <c r="DK337" s="344"/>
      <c r="DL337" s="361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22"/>
      <c r="EG337" s="22"/>
      <c r="EH337" s="22"/>
      <c r="EI337" s="22"/>
      <c r="EJ337" s="22"/>
      <c r="EK337" s="22"/>
      <c r="EL337" s="22"/>
      <c r="EM337" s="22"/>
      <c r="EN337" s="344"/>
      <c r="EO337" s="344"/>
      <c r="EP337" s="22"/>
      <c r="EQ337" s="22"/>
      <c r="ER337" s="22"/>
      <c r="EU337" s="344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</row>
    <row r="338" spans="27:161" x14ac:dyDescent="0.2">
      <c r="AA338" s="8"/>
      <c r="AB338" s="437"/>
      <c r="AJ338" s="102"/>
      <c r="AM338" s="102"/>
      <c r="AO338" s="102" t="str">
        <f t="shared" si="128"/>
        <v>NSX25040</v>
      </c>
      <c r="AP338" s="246" t="s">
        <v>113</v>
      </c>
      <c r="AQ338" s="201"/>
      <c r="AR338" s="240">
        <v>40</v>
      </c>
      <c r="AS338" s="201" t="s">
        <v>1246</v>
      </c>
      <c r="BB338" s="9" t="s">
        <v>74</v>
      </c>
      <c r="BC338" s="11">
        <f>0.97*BC340</f>
        <v>97</v>
      </c>
      <c r="BD338" s="231">
        <v>20</v>
      </c>
      <c r="BE338" s="232" t="s">
        <v>597</v>
      </c>
      <c r="CB338" s="41" t="str">
        <f t="shared" si="126"/>
        <v>iDPN N216C</v>
      </c>
      <c r="CC338" s="214" t="s">
        <v>543</v>
      </c>
      <c r="CD338" s="214">
        <v>2</v>
      </c>
      <c r="CE338" s="214">
        <v>16</v>
      </c>
      <c r="CF338" s="214" t="s">
        <v>58</v>
      </c>
      <c r="CG338" s="201" t="s">
        <v>597</v>
      </c>
      <c r="DH338" s="22"/>
      <c r="DI338" s="22"/>
      <c r="DJ338" s="22"/>
      <c r="DK338" s="344"/>
      <c r="DL338" s="361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22"/>
      <c r="EG338" s="22"/>
      <c r="EH338" s="22"/>
      <c r="EI338" s="22"/>
      <c r="EJ338" s="22"/>
      <c r="EK338" s="22"/>
      <c r="EL338" s="22"/>
      <c r="EM338" s="22"/>
      <c r="EN338" s="344"/>
      <c r="EO338" s="344"/>
      <c r="EP338" s="22"/>
      <c r="EQ338" s="22"/>
      <c r="ER338" s="22"/>
      <c r="EU338" s="344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</row>
    <row r="339" spans="27:161" x14ac:dyDescent="0.2">
      <c r="AA339" s="8"/>
      <c r="AB339" s="437"/>
      <c r="AO339" s="102" t="str">
        <f t="shared" si="128"/>
        <v>NSX25040</v>
      </c>
      <c r="AP339" s="246" t="s">
        <v>113</v>
      </c>
      <c r="AQ339" s="201"/>
      <c r="AR339" s="240">
        <v>40</v>
      </c>
      <c r="AS339" s="201" t="s">
        <v>1247</v>
      </c>
      <c r="BB339" s="9" t="s">
        <v>74</v>
      </c>
      <c r="BC339" s="11">
        <f>0.98*BC340</f>
        <v>98</v>
      </c>
      <c r="BD339" s="231">
        <v>20</v>
      </c>
      <c r="BE339" s="232" t="s">
        <v>598</v>
      </c>
      <c r="CB339" s="41" t="str">
        <f t="shared" si="126"/>
        <v>iDPN N216C</v>
      </c>
      <c r="CC339" s="214" t="s">
        <v>543</v>
      </c>
      <c r="CD339" s="214">
        <v>2</v>
      </c>
      <c r="CE339" s="214">
        <v>16</v>
      </c>
      <c r="CF339" s="214" t="s">
        <v>58</v>
      </c>
      <c r="CG339" s="201" t="s">
        <v>367</v>
      </c>
      <c r="DH339" s="22"/>
      <c r="DI339" s="22"/>
      <c r="DJ339" s="22"/>
      <c r="DK339" s="344"/>
      <c r="DL339" s="361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22"/>
      <c r="EG339" s="22"/>
      <c r="EH339" s="22"/>
      <c r="EI339" s="22"/>
      <c r="EJ339" s="22"/>
      <c r="EK339" s="22"/>
      <c r="EL339" s="22"/>
      <c r="EM339" s="22"/>
      <c r="EN339" s="344"/>
      <c r="EO339" s="344"/>
      <c r="EP339" s="22"/>
      <c r="EQ339" s="22"/>
      <c r="ER339" s="22"/>
      <c r="EU339" s="344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</row>
    <row r="340" spans="27:161" x14ac:dyDescent="0.2">
      <c r="AA340" s="8"/>
      <c r="AB340" s="437"/>
      <c r="AO340" s="102" t="str">
        <f t="shared" si="128"/>
        <v>NSX25063</v>
      </c>
      <c r="AP340" s="246" t="s">
        <v>113</v>
      </c>
      <c r="AQ340" s="201"/>
      <c r="AR340" s="240">
        <v>63</v>
      </c>
      <c r="AS340" s="201" t="s">
        <v>64</v>
      </c>
      <c r="BB340" s="9" t="s">
        <v>74</v>
      </c>
      <c r="BC340" s="11">
        <v>100</v>
      </c>
      <c r="BD340" s="231">
        <v>20</v>
      </c>
      <c r="BE340" s="232" t="s">
        <v>290</v>
      </c>
      <c r="CB340" s="41" t="str">
        <f t="shared" si="126"/>
        <v>iDPN N216C</v>
      </c>
      <c r="CC340" s="214" t="s">
        <v>543</v>
      </c>
      <c r="CD340" s="214">
        <v>2</v>
      </c>
      <c r="CE340" s="214">
        <v>16</v>
      </c>
      <c r="CF340" s="214" t="s">
        <v>58</v>
      </c>
      <c r="CG340" s="201" t="s">
        <v>290</v>
      </c>
      <c r="DH340" s="22"/>
      <c r="DI340" s="22"/>
      <c r="DJ340" s="22"/>
      <c r="DK340" s="344"/>
      <c r="DL340" s="361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22"/>
      <c r="EG340" s="22"/>
      <c r="EH340" s="22"/>
      <c r="EI340" s="22"/>
      <c r="EJ340" s="22"/>
      <c r="EK340" s="22"/>
      <c r="EL340" s="22"/>
      <c r="EM340" s="22"/>
      <c r="EN340" s="344"/>
      <c r="EO340" s="344"/>
      <c r="EP340" s="22"/>
      <c r="EQ340" s="22"/>
      <c r="ER340" s="22"/>
      <c r="EU340" s="344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</row>
    <row r="341" spans="27:161" x14ac:dyDescent="0.2">
      <c r="AA341" s="8"/>
      <c r="AB341" s="437"/>
      <c r="AO341" s="102" t="str">
        <f t="shared" si="128"/>
        <v>NSX25080</v>
      </c>
      <c r="AP341" s="246" t="s">
        <v>113</v>
      </c>
      <c r="AQ341" s="201"/>
      <c r="AR341" s="240">
        <v>80</v>
      </c>
      <c r="AS341" s="201" t="s">
        <v>65</v>
      </c>
      <c r="BB341" s="9" t="s">
        <v>74</v>
      </c>
      <c r="BC341" s="11">
        <f>0.9*BC349</f>
        <v>99</v>
      </c>
      <c r="BD341" s="231">
        <v>20</v>
      </c>
      <c r="BE341" s="232" t="s">
        <v>287</v>
      </c>
      <c r="CB341" s="41" t="str">
        <f t="shared" si="126"/>
        <v>iDPN N216C</v>
      </c>
      <c r="CC341" s="214" t="s">
        <v>543</v>
      </c>
      <c r="CD341" s="214">
        <v>2</v>
      </c>
      <c r="CE341" s="214">
        <v>16</v>
      </c>
      <c r="CF341" s="214" t="s">
        <v>58</v>
      </c>
      <c r="CG341" s="201" t="s">
        <v>287</v>
      </c>
      <c r="DH341" s="22"/>
      <c r="DI341" s="22"/>
      <c r="DJ341" s="22"/>
      <c r="DK341" s="344"/>
      <c r="DL341" s="361"/>
      <c r="EF341" s="22"/>
      <c r="EG341" s="22"/>
      <c r="EH341" s="22"/>
      <c r="EI341" s="22"/>
      <c r="EJ341" s="22"/>
      <c r="EK341" s="22"/>
      <c r="EL341" s="22"/>
      <c r="EM341" s="22"/>
      <c r="EN341" s="344"/>
      <c r="EO341" s="344"/>
      <c r="EP341" s="22"/>
      <c r="EQ341" s="22"/>
      <c r="ER341" s="22"/>
      <c r="EU341" s="344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</row>
    <row r="342" spans="27:161" x14ac:dyDescent="0.2">
      <c r="AA342" s="8"/>
      <c r="AB342" s="437"/>
      <c r="AO342" s="102" t="str">
        <f t="shared" si="128"/>
        <v>NSX250100</v>
      </c>
      <c r="AP342" s="246" t="s">
        <v>113</v>
      </c>
      <c r="AQ342" s="201"/>
      <c r="AR342" s="240">
        <v>100</v>
      </c>
      <c r="AS342" s="201" t="s">
        <v>1316</v>
      </c>
      <c r="BB342" s="9" t="s">
        <v>74</v>
      </c>
      <c r="BC342" s="11">
        <f>0.92*BC349</f>
        <v>101.2</v>
      </c>
      <c r="BD342" s="231">
        <v>20</v>
      </c>
      <c r="BE342" s="232" t="s">
        <v>291</v>
      </c>
      <c r="CB342" s="41" t="str">
        <f t="shared" si="126"/>
        <v>iDPN N216C</v>
      </c>
      <c r="CC342" s="214" t="s">
        <v>543</v>
      </c>
      <c r="CD342" s="214">
        <v>2</v>
      </c>
      <c r="CE342" s="214">
        <v>16</v>
      </c>
      <c r="CF342" s="214" t="s">
        <v>58</v>
      </c>
      <c r="CG342" s="201" t="s">
        <v>291</v>
      </c>
      <c r="DH342" s="22"/>
      <c r="DI342" s="22"/>
      <c r="DJ342" s="22"/>
      <c r="DK342" s="344"/>
      <c r="DL342" s="361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22"/>
      <c r="EG342" s="22"/>
      <c r="EH342" s="22"/>
      <c r="EI342" s="22"/>
      <c r="EJ342" s="22"/>
      <c r="EK342" s="22"/>
      <c r="EL342" s="22"/>
      <c r="EM342" s="22"/>
      <c r="EN342" s="344"/>
      <c r="EO342" s="344"/>
      <c r="EP342" s="22"/>
      <c r="EQ342" s="22"/>
      <c r="ER342" s="22"/>
      <c r="EU342" s="344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</row>
    <row r="343" spans="27:161" x14ac:dyDescent="0.2">
      <c r="AA343" s="8"/>
      <c r="AB343" s="437"/>
      <c r="AO343" s="102" t="str">
        <f t="shared" si="128"/>
        <v>NSX250100</v>
      </c>
      <c r="AP343" s="246" t="s">
        <v>113</v>
      </c>
      <c r="AQ343" s="201"/>
      <c r="AR343" s="240">
        <v>100</v>
      </c>
      <c r="AS343" s="201" t="s">
        <v>66</v>
      </c>
      <c r="BB343" s="9" t="s">
        <v>74</v>
      </c>
      <c r="BC343" s="11">
        <f>0.93*BC349</f>
        <v>102.30000000000001</v>
      </c>
      <c r="BD343" s="231">
        <v>20</v>
      </c>
      <c r="BE343" s="232" t="s">
        <v>300</v>
      </c>
      <c r="CB343" s="41" t="str">
        <f t="shared" si="126"/>
        <v>iDPN N216C</v>
      </c>
      <c r="CC343" s="214" t="s">
        <v>543</v>
      </c>
      <c r="CD343" s="214">
        <v>2</v>
      </c>
      <c r="CE343" s="214">
        <v>16</v>
      </c>
      <c r="CF343" s="214" t="s">
        <v>58</v>
      </c>
      <c r="CG343" s="201" t="s">
        <v>292</v>
      </c>
      <c r="DH343" s="22"/>
      <c r="DI343" s="22"/>
      <c r="DJ343" s="22"/>
      <c r="DK343" s="344"/>
      <c r="DL343" s="361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22"/>
      <c r="EG343" s="22"/>
      <c r="EH343" s="22"/>
      <c r="EI343" s="22"/>
      <c r="EJ343" s="22"/>
      <c r="EK343" s="22"/>
      <c r="EL343" s="22"/>
      <c r="EM343" s="22"/>
      <c r="EN343" s="344"/>
      <c r="EO343" s="344"/>
      <c r="EP343" s="22"/>
      <c r="EQ343" s="22"/>
      <c r="ER343" s="22"/>
      <c r="EU343" s="344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</row>
    <row r="344" spans="27:161" x14ac:dyDescent="0.2">
      <c r="AA344" s="8"/>
      <c r="AB344" s="437"/>
      <c r="AO344" s="102" t="str">
        <f t="shared" si="128"/>
        <v>NSX250100</v>
      </c>
      <c r="AP344" s="246" t="s">
        <v>113</v>
      </c>
      <c r="AQ344" s="201"/>
      <c r="AR344" s="240">
        <v>100</v>
      </c>
      <c r="AS344" s="201" t="s">
        <v>72</v>
      </c>
      <c r="BB344" s="9" t="s">
        <v>74</v>
      </c>
      <c r="BC344" s="11">
        <f>0.94*BC349</f>
        <v>103.39999999999999</v>
      </c>
      <c r="BD344" s="231">
        <v>20</v>
      </c>
      <c r="BE344" s="232" t="s">
        <v>292</v>
      </c>
      <c r="CB344" s="41" t="str">
        <f t="shared" si="126"/>
        <v>iDPN N216C</v>
      </c>
      <c r="CC344" s="214" t="s">
        <v>543</v>
      </c>
      <c r="CD344" s="214">
        <v>2</v>
      </c>
      <c r="CE344" s="214">
        <v>16</v>
      </c>
      <c r="CF344" s="214" t="s">
        <v>58</v>
      </c>
      <c r="CG344" s="201" t="s">
        <v>368</v>
      </c>
      <c r="DH344" s="22"/>
      <c r="DI344" s="22"/>
      <c r="DJ344" s="22"/>
      <c r="DK344" s="344"/>
      <c r="DL344" s="361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22"/>
      <c r="EG344" s="22"/>
      <c r="EH344" s="22"/>
      <c r="EI344" s="22"/>
      <c r="EJ344" s="22"/>
      <c r="EK344" s="22"/>
      <c r="EL344" s="22"/>
      <c r="EM344" s="22"/>
      <c r="EN344" s="344"/>
      <c r="EO344" s="344"/>
      <c r="EP344" s="22"/>
      <c r="EQ344" s="22"/>
      <c r="ER344" s="22"/>
      <c r="EU344" s="344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</row>
    <row r="345" spans="27:161" x14ac:dyDescent="0.2">
      <c r="AA345" s="8"/>
      <c r="AB345" s="437"/>
      <c r="AO345" s="102" t="str">
        <f t="shared" si="128"/>
        <v>NSX250100</v>
      </c>
      <c r="AP345" s="246" t="s">
        <v>113</v>
      </c>
      <c r="AQ345" s="201"/>
      <c r="AR345" s="240">
        <v>100</v>
      </c>
      <c r="AS345" s="201" t="s">
        <v>554</v>
      </c>
      <c r="BB345" s="9" t="s">
        <v>74</v>
      </c>
      <c r="BC345" s="11">
        <f>0.95*BC349</f>
        <v>104.5</v>
      </c>
      <c r="BD345" s="231">
        <v>25</v>
      </c>
      <c r="BE345" s="233" t="s">
        <v>30</v>
      </c>
      <c r="CB345" s="41" t="str">
        <f t="shared" si="126"/>
        <v>iDPN N216C</v>
      </c>
      <c r="CC345" s="214" t="s">
        <v>543</v>
      </c>
      <c r="CD345" s="214">
        <v>2</v>
      </c>
      <c r="CE345" s="214">
        <v>16</v>
      </c>
      <c r="CF345" s="214" t="s">
        <v>58</v>
      </c>
      <c r="CG345" s="201" t="s">
        <v>293</v>
      </c>
      <c r="DH345" s="22"/>
      <c r="DI345" s="22"/>
      <c r="DJ345" s="22"/>
      <c r="DK345" s="344"/>
      <c r="DL345" s="361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22"/>
      <c r="EG345" s="22"/>
      <c r="EH345" s="22"/>
      <c r="EI345" s="22"/>
      <c r="EJ345" s="22"/>
      <c r="EK345" s="22"/>
      <c r="EL345" s="22"/>
      <c r="EM345" s="22"/>
      <c r="EN345" s="344"/>
      <c r="EO345" s="344"/>
      <c r="EP345" s="22"/>
      <c r="EQ345" s="22"/>
      <c r="ER345" s="22"/>
      <c r="EU345" s="344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</row>
    <row r="346" spans="27:161" x14ac:dyDescent="0.2">
      <c r="AA346" s="8"/>
      <c r="AB346" s="437"/>
      <c r="AO346" s="102" t="str">
        <f t="shared" si="128"/>
        <v>NSX250100</v>
      </c>
      <c r="AP346" s="246" t="s">
        <v>113</v>
      </c>
      <c r="AQ346" s="201"/>
      <c r="AR346" s="240">
        <v>100</v>
      </c>
      <c r="AS346" s="201" t="s">
        <v>1248</v>
      </c>
      <c r="BB346" s="9" t="s">
        <v>74</v>
      </c>
      <c r="BC346" s="11">
        <f>0.96*BC349</f>
        <v>105.6</v>
      </c>
      <c r="BD346" s="231">
        <v>25</v>
      </c>
      <c r="BE346" s="232" t="s">
        <v>595</v>
      </c>
      <c r="CB346" s="41" t="str">
        <f t="shared" si="126"/>
        <v>iDPN N220C</v>
      </c>
      <c r="CC346" s="214" t="s">
        <v>543</v>
      </c>
      <c r="CD346" s="214">
        <v>2</v>
      </c>
      <c r="CE346" s="214">
        <v>20</v>
      </c>
      <c r="CF346" s="214" t="s">
        <v>58</v>
      </c>
      <c r="CG346" s="201" t="s">
        <v>595</v>
      </c>
      <c r="DH346" s="22"/>
      <c r="DI346" s="22"/>
      <c r="DJ346" s="22"/>
      <c r="DK346" s="344"/>
      <c r="DL346" s="361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22"/>
      <c r="EG346" s="22"/>
      <c r="EH346" s="22"/>
      <c r="EI346" s="22"/>
      <c r="EJ346" s="22"/>
      <c r="EK346" s="22"/>
      <c r="EL346" s="22"/>
      <c r="EM346" s="22"/>
      <c r="EN346" s="344"/>
      <c r="EO346" s="344"/>
      <c r="EP346" s="22"/>
      <c r="EQ346" s="22"/>
      <c r="ER346" s="22"/>
      <c r="EU346" s="344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</row>
    <row r="347" spans="27:161" x14ac:dyDescent="0.2">
      <c r="AA347" s="8"/>
      <c r="AB347" s="437"/>
      <c r="AO347" s="102" t="str">
        <f t="shared" si="128"/>
        <v>NSX250100</v>
      </c>
      <c r="AP347" s="246" t="s">
        <v>113</v>
      </c>
      <c r="AQ347" s="201"/>
      <c r="AR347" s="240">
        <v>100</v>
      </c>
      <c r="AS347" s="201" t="s">
        <v>1249</v>
      </c>
      <c r="BB347" s="9" t="s">
        <v>74</v>
      </c>
      <c r="BC347" s="11">
        <f>0.97*BC349</f>
        <v>106.7</v>
      </c>
      <c r="BD347" s="231">
        <v>25</v>
      </c>
      <c r="BE347" s="232" t="s">
        <v>597</v>
      </c>
      <c r="CB347" s="41" t="str">
        <f t="shared" si="126"/>
        <v>iDPN N220C</v>
      </c>
      <c r="CC347" s="214" t="s">
        <v>543</v>
      </c>
      <c r="CD347" s="214">
        <v>2</v>
      </c>
      <c r="CE347" s="214">
        <v>20</v>
      </c>
      <c r="CF347" s="214" t="s">
        <v>58</v>
      </c>
      <c r="CG347" s="201" t="s">
        <v>597</v>
      </c>
      <c r="DH347" s="22"/>
      <c r="DI347" s="22"/>
      <c r="DJ347" s="22"/>
      <c r="DK347" s="344"/>
      <c r="DL347" s="361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22"/>
      <c r="EG347" s="22"/>
      <c r="EH347" s="22"/>
      <c r="EI347" s="22"/>
      <c r="EJ347" s="22"/>
      <c r="EK347" s="22"/>
      <c r="EL347" s="22"/>
      <c r="EM347" s="22"/>
      <c r="EN347" s="344"/>
      <c r="EO347" s="344"/>
      <c r="EP347" s="22"/>
      <c r="EQ347" s="22"/>
      <c r="ER347" s="22"/>
      <c r="EU347" s="344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</row>
    <row r="348" spans="27:161" x14ac:dyDescent="0.2">
      <c r="AA348" s="8"/>
      <c r="AB348" s="437"/>
      <c r="AO348" s="102" t="str">
        <f t="shared" si="128"/>
        <v>NSX250100</v>
      </c>
      <c r="AP348" s="246" t="s">
        <v>113</v>
      </c>
      <c r="AQ348" s="201"/>
      <c r="AR348" s="240">
        <v>100</v>
      </c>
      <c r="AS348" s="201" t="s">
        <v>1250</v>
      </c>
      <c r="BB348" s="9" t="s">
        <v>74</v>
      </c>
      <c r="BC348" s="11">
        <f>0.98*BC349</f>
        <v>107.8</v>
      </c>
      <c r="BD348" s="231">
        <v>25</v>
      </c>
      <c r="BE348" s="232" t="s">
        <v>598</v>
      </c>
      <c r="CB348" s="41" t="str">
        <f t="shared" si="126"/>
        <v>iDPN N220C</v>
      </c>
      <c r="CC348" s="214" t="s">
        <v>543</v>
      </c>
      <c r="CD348" s="214">
        <v>2</v>
      </c>
      <c r="CE348" s="214">
        <v>20</v>
      </c>
      <c r="CF348" s="214" t="s">
        <v>58</v>
      </c>
      <c r="CG348" s="201" t="s">
        <v>290</v>
      </c>
      <c r="DH348" s="22"/>
      <c r="DI348" s="22"/>
      <c r="DJ348" s="22"/>
      <c r="DK348" s="344"/>
      <c r="DL348" s="361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22"/>
      <c r="EG348" s="22"/>
      <c r="EH348" s="22"/>
      <c r="EI348" s="22"/>
      <c r="EJ348" s="22"/>
      <c r="EK348" s="22"/>
      <c r="EL348" s="22"/>
      <c r="EM348" s="22"/>
      <c r="EN348" s="344"/>
      <c r="EO348" s="344"/>
      <c r="EP348" s="22"/>
      <c r="EQ348" s="22"/>
      <c r="ER348" s="22"/>
      <c r="EU348" s="344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</row>
    <row r="349" spans="27:161" x14ac:dyDescent="0.2">
      <c r="AA349" s="8"/>
      <c r="AB349" s="437"/>
      <c r="AO349" s="102" t="str">
        <f t="shared" si="128"/>
        <v>NSX250125</v>
      </c>
      <c r="AP349" s="246" t="s">
        <v>113</v>
      </c>
      <c r="AQ349" s="201"/>
      <c r="AR349" s="240">
        <v>125</v>
      </c>
      <c r="AS349" s="201" t="s">
        <v>67</v>
      </c>
      <c r="BB349" s="9" t="s">
        <v>74</v>
      </c>
      <c r="BC349" s="11">
        <v>110</v>
      </c>
      <c r="BD349" s="231">
        <v>25</v>
      </c>
      <c r="BE349" s="232" t="s">
        <v>290</v>
      </c>
      <c r="CB349" s="41" t="str">
        <f t="shared" si="126"/>
        <v>iDPN N220C</v>
      </c>
      <c r="CC349" s="214" t="s">
        <v>543</v>
      </c>
      <c r="CD349" s="214">
        <v>2</v>
      </c>
      <c r="CE349" s="214">
        <v>20</v>
      </c>
      <c r="CF349" s="214" t="s">
        <v>58</v>
      </c>
      <c r="CG349" s="201" t="s">
        <v>287</v>
      </c>
      <c r="DH349" s="22"/>
      <c r="DI349" s="22"/>
      <c r="DJ349" s="22"/>
      <c r="DK349" s="344"/>
      <c r="DL349" s="361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22"/>
      <c r="EG349" s="22"/>
      <c r="EH349" s="22"/>
      <c r="EI349" s="22"/>
      <c r="EJ349" s="22"/>
      <c r="EK349" s="22"/>
      <c r="EL349" s="22"/>
      <c r="EM349" s="22"/>
      <c r="EN349" s="344"/>
      <c r="EO349" s="344"/>
      <c r="EP349" s="22"/>
      <c r="EQ349" s="22"/>
      <c r="ER349" s="22"/>
      <c r="EU349" s="344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</row>
    <row r="350" spans="27:161" x14ac:dyDescent="0.2">
      <c r="AA350" s="49"/>
      <c r="AB350" s="437"/>
      <c r="AO350" s="102" t="str">
        <f t="shared" si="128"/>
        <v>NSX250100</v>
      </c>
      <c r="AP350" s="246" t="s">
        <v>113</v>
      </c>
      <c r="AQ350" s="201"/>
      <c r="AR350" s="240">
        <v>100</v>
      </c>
      <c r="AS350" s="201" t="s">
        <v>1316</v>
      </c>
      <c r="BB350" s="9" t="s">
        <v>74</v>
      </c>
      <c r="BC350" s="11">
        <f>0.9*BC358</f>
        <v>112.5</v>
      </c>
      <c r="BD350" s="231">
        <v>25</v>
      </c>
      <c r="BE350" s="232" t="s">
        <v>287</v>
      </c>
      <c r="CB350" s="41" t="str">
        <f t="shared" si="126"/>
        <v>iDPN N220C</v>
      </c>
      <c r="CC350" s="214" t="s">
        <v>543</v>
      </c>
      <c r="CD350" s="214">
        <v>2</v>
      </c>
      <c r="CE350" s="214">
        <v>20</v>
      </c>
      <c r="CF350" s="214" t="s">
        <v>58</v>
      </c>
      <c r="CG350" s="201" t="s">
        <v>291</v>
      </c>
      <c r="DH350" s="22"/>
      <c r="DI350" s="22"/>
      <c r="DJ350" s="22"/>
      <c r="DK350" s="344"/>
      <c r="DL350" s="361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22"/>
      <c r="EG350" s="22"/>
      <c r="EH350" s="22"/>
      <c r="EI350" s="22"/>
      <c r="EJ350" s="22"/>
      <c r="EK350" s="22"/>
      <c r="EL350" s="22"/>
      <c r="EM350" s="22"/>
      <c r="EN350" s="344"/>
      <c r="EO350" s="344"/>
      <c r="EP350" s="22"/>
      <c r="EQ350" s="22"/>
      <c r="ER350" s="22"/>
      <c r="EU350" s="344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</row>
    <row r="351" spans="27:161" x14ac:dyDescent="0.2">
      <c r="AA351" s="49"/>
      <c r="AB351" s="437"/>
      <c r="AC351" s="49"/>
      <c r="AO351" s="102" t="str">
        <f t="shared" si="128"/>
        <v>NSX250160</v>
      </c>
      <c r="AP351" s="246" t="s">
        <v>113</v>
      </c>
      <c r="AQ351" s="201"/>
      <c r="AR351" s="240">
        <v>160</v>
      </c>
      <c r="AS351" s="201" t="s">
        <v>68</v>
      </c>
      <c r="BB351" s="9" t="s">
        <v>74</v>
      </c>
      <c r="BC351" s="11">
        <f>0.92*BC358</f>
        <v>115</v>
      </c>
      <c r="BD351" s="231">
        <v>25</v>
      </c>
      <c r="BE351" s="232" t="s">
        <v>291</v>
      </c>
      <c r="CB351" s="41" t="str">
        <f t="shared" si="126"/>
        <v>iDPN N220C</v>
      </c>
      <c r="CC351" s="214" t="s">
        <v>543</v>
      </c>
      <c r="CD351" s="214">
        <v>2</v>
      </c>
      <c r="CE351" s="214">
        <v>20</v>
      </c>
      <c r="CF351" s="214" t="s">
        <v>58</v>
      </c>
      <c r="CG351" s="201" t="s">
        <v>292</v>
      </c>
      <c r="DH351" s="22"/>
      <c r="DI351" s="22"/>
      <c r="DJ351" s="22"/>
      <c r="DK351" s="344"/>
      <c r="DL351" s="361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22"/>
      <c r="EG351" s="22"/>
      <c r="EH351" s="22"/>
      <c r="EI351" s="22"/>
      <c r="EJ351" s="22"/>
      <c r="EK351" s="22"/>
      <c r="EL351" s="22"/>
      <c r="EM351" s="22"/>
      <c r="EN351" s="344"/>
      <c r="EO351" s="344"/>
      <c r="EP351" s="22"/>
      <c r="EQ351" s="22"/>
      <c r="ER351" s="22"/>
      <c r="EU351" s="344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</row>
    <row r="352" spans="27:161" x14ac:dyDescent="0.2">
      <c r="AA352" s="49"/>
      <c r="AB352" s="437"/>
      <c r="AC352" s="49"/>
      <c r="AO352" s="102" t="str">
        <f t="shared" si="128"/>
        <v>NSX250160</v>
      </c>
      <c r="AP352" s="246" t="s">
        <v>113</v>
      </c>
      <c r="AQ352" s="201"/>
      <c r="AR352" s="240">
        <v>160</v>
      </c>
      <c r="AS352" s="201" t="s">
        <v>571</v>
      </c>
      <c r="BB352" s="9" t="s">
        <v>74</v>
      </c>
      <c r="BC352" s="11">
        <f>0.93*BC358</f>
        <v>116.25</v>
      </c>
      <c r="BD352" s="231">
        <v>25</v>
      </c>
      <c r="BE352" s="232" t="s">
        <v>300</v>
      </c>
      <c r="CB352" s="41" t="str">
        <f t="shared" si="126"/>
        <v>iDPN N220C</v>
      </c>
      <c r="CC352" s="214" t="s">
        <v>543</v>
      </c>
      <c r="CD352" s="214">
        <v>2</v>
      </c>
      <c r="CE352" s="214">
        <v>20</v>
      </c>
      <c r="CF352" s="214" t="s">
        <v>58</v>
      </c>
      <c r="CG352" s="201" t="s">
        <v>368</v>
      </c>
      <c r="DH352" s="22"/>
      <c r="DI352" s="22"/>
      <c r="DJ352" s="22"/>
      <c r="DK352" s="344"/>
      <c r="DL352" s="361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22"/>
      <c r="EG352" s="22"/>
      <c r="EH352" s="22"/>
      <c r="EI352" s="22"/>
      <c r="EJ352" s="22"/>
      <c r="EK352" s="22"/>
      <c r="EL352" s="22"/>
      <c r="EM352" s="22"/>
      <c r="EN352" s="344"/>
      <c r="EO352" s="344"/>
      <c r="EP352" s="22"/>
      <c r="EQ352" s="22"/>
      <c r="ER352" s="22"/>
      <c r="EU352" s="344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</row>
    <row r="353" spans="27:85" ht="13.5" thickBot="1" x14ac:dyDescent="0.25">
      <c r="AA353" s="49"/>
      <c r="AB353" s="437"/>
      <c r="AC353" s="49"/>
      <c r="AO353" s="102" t="str">
        <f t="shared" si="128"/>
        <v>NSX250160</v>
      </c>
      <c r="AP353" s="246" t="s">
        <v>113</v>
      </c>
      <c r="AQ353" s="201"/>
      <c r="AR353" s="240">
        <v>160</v>
      </c>
      <c r="AS353" s="201" t="s">
        <v>73</v>
      </c>
      <c r="BB353" s="9" t="s">
        <v>74</v>
      </c>
      <c r="BC353" s="11">
        <f>0.94*BC358</f>
        <v>117.5</v>
      </c>
      <c r="BD353" s="237">
        <v>25</v>
      </c>
      <c r="BE353" s="238" t="s">
        <v>292</v>
      </c>
      <c r="CB353" s="41" t="str">
        <f t="shared" si="126"/>
        <v>iDPN N220C</v>
      </c>
      <c r="CC353" s="214" t="s">
        <v>543</v>
      </c>
      <c r="CD353" s="214">
        <v>2</v>
      </c>
      <c r="CE353" s="214">
        <v>20</v>
      </c>
      <c r="CF353" s="214" t="s">
        <v>58</v>
      </c>
      <c r="CG353" s="201" t="s">
        <v>293</v>
      </c>
    </row>
    <row r="354" spans="27:85" x14ac:dyDescent="0.2">
      <c r="AA354" s="49"/>
      <c r="AB354" s="437"/>
      <c r="AC354" s="49"/>
      <c r="AO354" s="102" t="str">
        <f t="shared" si="128"/>
        <v>NSX250160</v>
      </c>
      <c r="AP354" s="246" t="s">
        <v>113</v>
      </c>
      <c r="AQ354" s="201"/>
      <c r="AR354" s="240">
        <v>160</v>
      </c>
      <c r="AS354" s="201" t="s">
        <v>557</v>
      </c>
      <c r="BB354" s="9" t="s">
        <v>74</v>
      </c>
      <c r="BC354" s="11">
        <f>0.95*BC358</f>
        <v>118.75</v>
      </c>
      <c r="BD354" s="231">
        <v>32</v>
      </c>
      <c r="BE354" s="235" t="s">
        <v>30</v>
      </c>
      <c r="CB354" s="41" t="str">
        <f t="shared" si="126"/>
        <v>iDPN N225C</v>
      </c>
      <c r="CC354" s="214" t="s">
        <v>543</v>
      </c>
      <c r="CD354" s="214">
        <v>2</v>
      </c>
      <c r="CE354" s="214">
        <v>25</v>
      </c>
      <c r="CF354" s="214" t="s">
        <v>58</v>
      </c>
      <c r="CG354" s="201" t="s">
        <v>595</v>
      </c>
    </row>
    <row r="355" spans="27:85" x14ac:dyDescent="0.2">
      <c r="AA355" s="49"/>
      <c r="AB355" s="437"/>
      <c r="AC355" s="49"/>
      <c r="AO355" s="102" t="str">
        <f t="shared" si="128"/>
        <v>NSX250160</v>
      </c>
      <c r="AP355" s="246" t="s">
        <v>113</v>
      </c>
      <c r="AQ355" s="201"/>
      <c r="AR355" s="240">
        <v>160</v>
      </c>
      <c r="AS355" s="201" t="s">
        <v>1251</v>
      </c>
      <c r="BB355" s="9" t="s">
        <v>74</v>
      </c>
      <c r="BC355" s="11">
        <f>0.96*BC358</f>
        <v>120</v>
      </c>
      <c r="BD355" s="231">
        <v>32</v>
      </c>
      <c r="BE355" s="232" t="s">
        <v>595</v>
      </c>
      <c r="CB355" s="41" t="str">
        <f t="shared" si="126"/>
        <v>iDPN N225C</v>
      </c>
      <c r="CC355" s="214" t="s">
        <v>543</v>
      </c>
      <c r="CD355" s="214">
        <v>2</v>
      </c>
      <c r="CE355" s="214">
        <v>25</v>
      </c>
      <c r="CF355" s="214" t="s">
        <v>58</v>
      </c>
      <c r="CG355" s="201" t="s">
        <v>597</v>
      </c>
    </row>
    <row r="356" spans="27:85" x14ac:dyDescent="0.2">
      <c r="AA356" s="49"/>
      <c r="AB356" s="437"/>
      <c r="AC356" s="49"/>
      <c r="AO356" s="102" t="str">
        <f t="shared" si="128"/>
        <v>NSX250160</v>
      </c>
      <c r="AP356" s="246" t="s">
        <v>113</v>
      </c>
      <c r="AQ356" s="201"/>
      <c r="AR356" s="240">
        <v>160</v>
      </c>
      <c r="AS356" s="201" t="s">
        <v>1252</v>
      </c>
      <c r="BB356" s="9" t="s">
        <v>74</v>
      </c>
      <c r="BC356" s="11">
        <f>0.97*BC358</f>
        <v>121.25</v>
      </c>
      <c r="BD356" s="231">
        <v>32</v>
      </c>
      <c r="BE356" s="232" t="s">
        <v>597</v>
      </c>
      <c r="CB356" s="41" t="str">
        <f t="shared" si="126"/>
        <v>iDPN N225C</v>
      </c>
      <c r="CC356" s="214" t="s">
        <v>543</v>
      </c>
      <c r="CD356" s="214">
        <v>2</v>
      </c>
      <c r="CE356" s="214">
        <v>25</v>
      </c>
      <c r="CF356" s="214" t="s">
        <v>58</v>
      </c>
      <c r="CG356" s="201" t="s">
        <v>290</v>
      </c>
    </row>
    <row r="357" spans="27:85" x14ac:dyDescent="0.2">
      <c r="AA357" s="49"/>
      <c r="AB357" s="437"/>
      <c r="AC357" s="49"/>
      <c r="AO357" s="102" t="str">
        <f t="shared" si="128"/>
        <v>NSX250160</v>
      </c>
      <c r="AP357" s="246" t="s">
        <v>113</v>
      </c>
      <c r="AQ357" s="201"/>
      <c r="AR357" s="240">
        <v>160</v>
      </c>
      <c r="AS357" s="201" t="s">
        <v>1253</v>
      </c>
      <c r="BB357" s="9" t="s">
        <v>74</v>
      </c>
      <c r="BC357" s="11">
        <f>0.98*BC358</f>
        <v>122.5</v>
      </c>
      <c r="BD357" s="231">
        <v>32</v>
      </c>
      <c r="BE357" s="232" t="s">
        <v>598</v>
      </c>
      <c r="CB357" s="41" t="str">
        <f t="shared" si="126"/>
        <v>iDPN N225C</v>
      </c>
      <c r="CC357" s="214" t="s">
        <v>543</v>
      </c>
      <c r="CD357" s="214">
        <v>2</v>
      </c>
      <c r="CE357" s="214">
        <v>25</v>
      </c>
      <c r="CF357" s="214" t="s">
        <v>58</v>
      </c>
      <c r="CG357" s="201" t="s">
        <v>287</v>
      </c>
    </row>
    <row r="358" spans="27:85" x14ac:dyDescent="0.2">
      <c r="AC358" s="49"/>
      <c r="AO358" s="102" t="str">
        <f t="shared" si="128"/>
        <v>NSX250200</v>
      </c>
      <c r="AP358" s="246" t="s">
        <v>113</v>
      </c>
      <c r="AQ358" s="201"/>
      <c r="AR358" s="240">
        <v>200</v>
      </c>
      <c r="AS358" s="201" t="s">
        <v>69</v>
      </c>
      <c r="BB358" s="9" t="s">
        <v>74</v>
      </c>
      <c r="BC358" s="11">
        <v>125</v>
      </c>
      <c r="BD358" s="231">
        <v>32</v>
      </c>
      <c r="BE358" s="232" t="s">
        <v>290</v>
      </c>
      <c r="CB358" s="41" t="str">
        <f t="shared" si="126"/>
        <v>iDPN N225C</v>
      </c>
      <c r="CC358" s="214" t="s">
        <v>543</v>
      </c>
      <c r="CD358" s="214">
        <v>2</v>
      </c>
      <c r="CE358" s="214">
        <v>25</v>
      </c>
      <c r="CF358" s="214" t="s">
        <v>58</v>
      </c>
      <c r="CG358" s="201" t="s">
        <v>291</v>
      </c>
    </row>
    <row r="359" spans="27:85" x14ac:dyDescent="0.2">
      <c r="AB359" s="438"/>
      <c r="AO359" s="102" t="str">
        <f t="shared" si="128"/>
        <v>NSX250200</v>
      </c>
      <c r="AP359" s="246" t="s">
        <v>113</v>
      </c>
      <c r="AQ359" s="201"/>
      <c r="AR359" s="240">
        <v>200</v>
      </c>
      <c r="AS359" s="201" t="s">
        <v>572</v>
      </c>
      <c r="BB359" s="9" t="s">
        <v>74</v>
      </c>
      <c r="BC359" s="11">
        <f>0.9*BC367</f>
        <v>126</v>
      </c>
      <c r="BD359" s="231">
        <v>32</v>
      </c>
      <c r="BE359" s="232" t="s">
        <v>291</v>
      </c>
      <c r="CB359" s="41" t="str">
        <f t="shared" si="126"/>
        <v>iDPN N225C</v>
      </c>
      <c r="CC359" s="214" t="s">
        <v>543</v>
      </c>
      <c r="CD359" s="214">
        <v>2</v>
      </c>
      <c r="CE359" s="214">
        <v>25</v>
      </c>
      <c r="CF359" s="214" t="s">
        <v>58</v>
      </c>
      <c r="CG359" s="201" t="s">
        <v>292</v>
      </c>
    </row>
    <row r="360" spans="27:85" x14ac:dyDescent="0.2">
      <c r="AO360" s="102" t="str">
        <f t="shared" si="128"/>
        <v>NSX250220</v>
      </c>
      <c r="AP360" s="246" t="s">
        <v>113</v>
      </c>
      <c r="AQ360" s="201"/>
      <c r="AR360" s="240">
        <v>220</v>
      </c>
      <c r="AS360" s="201" t="s">
        <v>1318</v>
      </c>
      <c r="BB360" s="9" t="s">
        <v>74</v>
      </c>
      <c r="BC360" s="11">
        <f>0.92*BC367</f>
        <v>128.80000000000001</v>
      </c>
      <c r="BD360" s="231">
        <v>32</v>
      </c>
      <c r="BE360" s="232" t="s">
        <v>300</v>
      </c>
      <c r="CB360" s="41" t="str">
        <f t="shared" si="126"/>
        <v>iDPN N225C</v>
      </c>
      <c r="CC360" s="214" t="s">
        <v>543</v>
      </c>
      <c r="CD360" s="214">
        <v>2</v>
      </c>
      <c r="CE360" s="214">
        <v>25</v>
      </c>
      <c r="CF360" s="214" t="s">
        <v>58</v>
      </c>
      <c r="CG360" s="201" t="s">
        <v>368</v>
      </c>
    </row>
    <row r="361" spans="27:85" x14ac:dyDescent="0.2">
      <c r="AM361" s="43"/>
      <c r="AO361" s="102" t="str">
        <f t="shared" si="128"/>
        <v>NSX250250</v>
      </c>
      <c r="AP361" s="246" t="s">
        <v>113</v>
      </c>
      <c r="AQ361" s="201"/>
      <c r="AR361" s="240">
        <v>250</v>
      </c>
      <c r="AS361" s="201" t="s">
        <v>70</v>
      </c>
      <c r="BB361" s="9" t="s">
        <v>74</v>
      </c>
      <c r="BC361" s="11">
        <f>0.93*BC367</f>
        <v>130.20000000000002</v>
      </c>
      <c r="BD361" s="231">
        <v>32</v>
      </c>
      <c r="BE361" s="232" t="s">
        <v>292</v>
      </c>
      <c r="CB361" s="41" t="str">
        <f t="shared" si="126"/>
        <v>iDPN N225C</v>
      </c>
      <c r="CC361" s="214" t="s">
        <v>543</v>
      </c>
      <c r="CD361" s="214">
        <v>2</v>
      </c>
      <c r="CE361" s="214">
        <v>25</v>
      </c>
      <c r="CF361" s="214" t="s">
        <v>58</v>
      </c>
      <c r="CG361" s="201" t="s">
        <v>293</v>
      </c>
    </row>
    <row r="362" spans="27:85" x14ac:dyDescent="0.2">
      <c r="AM362" s="43"/>
      <c r="AO362" s="102" t="str">
        <f t="shared" si="128"/>
        <v>NSX250250</v>
      </c>
      <c r="AP362" s="246" t="s">
        <v>113</v>
      </c>
      <c r="AQ362" s="201"/>
      <c r="AR362" s="240">
        <v>250</v>
      </c>
      <c r="AS362" s="201" t="s">
        <v>573</v>
      </c>
      <c r="BB362" s="9" t="s">
        <v>74</v>
      </c>
      <c r="BC362" s="11">
        <f>0.94*BC367</f>
        <v>131.6</v>
      </c>
      <c r="BD362" s="231">
        <v>40</v>
      </c>
      <c r="BE362" s="233" t="s">
        <v>30</v>
      </c>
      <c r="CB362" s="41" t="str">
        <f t="shared" si="126"/>
        <v>iDPN N232C</v>
      </c>
      <c r="CC362" s="214" t="s">
        <v>543</v>
      </c>
      <c r="CD362" s="214">
        <v>2</v>
      </c>
      <c r="CE362" s="214">
        <v>32</v>
      </c>
      <c r="CF362" s="214" t="s">
        <v>58</v>
      </c>
      <c r="CG362" s="201" t="s">
        <v>595</v>
      </c>
    </row>
    <row r="363" spans="27:85" x14ac:dyDescent="0.2">
      <c r="AM363" s="43"/>
      <c r="AO363" s="102" t="str">
        <f t="shared" si="128"/>
        <v>NSX250250</v>
      </c>
      <c r="AP363" s="246" t="s">
        <v>113</v>
      </c>
      <c r="AQ363" s="201"/>
      <c r="AR363" s="240">
        <v>250</v>
      </c>
      <c r="AS363" s="201" t="s">
        <v>74</v>
      </c>
      <c r="BB363" s="9" t="s">
        <v>74</v>
      </c>
      <c r="BC363" s="11">
        <f>0.95*BC367</f>
        <v>133</v>
      </c>
      <c r="BD363" s="231">
        <v>40</v>
      </c>
      <c r="BE363" s="232" t="s">
        <v>595</v>
      </c>
      <c r="CB363" s="41" t="str">
        <f t="shared" si="126"/>
        <v>iDPN N232C</v>
      </c>
      <c r="CC363" s="214" t="s">
        <v>543</v>
      </c>
      <c r="CD363" s="214">
        <v>2</v>
      </c>
      <c r="CE363" s="214">
        <v>32</v>
      </c>
      <c r="CF363" s="214" t="s">
        <v>58</v>
      </c>
      <c r="CG363" s="201" t="s">
        <v>597</v>
      </c>
    </row>
    <row r="364" spans="27:85" x14ac:dyDescent="0.2">
      <c r="AM364" s="43"/>
      <c r="AO364" s="102" t="str">
        <f t="shared" si="128"/>
        <v>NSX250250</v>
      </c>
      <c r="AP364" s="246" t="s">
        <v>113</v>
      </c>
      <c r="AQ364" s="201"/>
      <c r="AR364" s="240">
        <v>250</v>
      </c>
      <c r="AS364" s="201" t="s">
        <v>558</v>
      </c>
      <c r="BB364" s="9" t="s">
        <v>74</v>
      </c>
      <c r="BC364" s="11">
        <f>0.96*BC367</f>
        <v>134.4</v>
      </c>
      <c r="BD364" s="231">
        <v>40</v>
      </c>
      <c r="BE364" s="232" t="s">
        <v>597</v>
      </c>
      <c r="CB364" s="41" t="str">
        <f t="shared" si="126"/>
        <v>iDPN N232C</v>
      </c>
      <c r="CC364" s="214" t="s">
        <v>543</v>
      </c>
      <c r="CD364" s="214">
        <v>2</v>
      </c>
      <c r="CE364" s="214">
        <v>32</v>
      </c>
      <c r="CF364" s="214" t="s">
        <v>58</v>
      </c>
      <c r="CG364" s="201" t="s">
        <v>290</v>
      </c>
    </row>
    <row r="365" spans="27:85" x14ac:dyDescent="0.2">
      <c r="AM365" s="43"/>
      <c r="AO365" s="102" t="str">
        <f t="shared" si="128"/>
        <v>NSX250250</v>
      </c>
      <c r="AP365" s="246" t="s">
        <v>113</v>
      </c>
      <c r="AQ365" s="201"/>
      <c r="AR365" s="240">
        <v>250</v>
      </c>
      <c r="AS365" s="201" t="s">
        <v>1254</v>
      </c>
      <c r="BB365" s="9" t="s">
        <v>74</v>
      </c>
      <c r="BC365" s="11">
        <f>0.97*BC367</f>
        <v>135.79999999999998</v>
      </c>
      <c r="BD365" s="231">
        <v>40</v>
      </c>
      <c r="BE365" s="232" t="s">
        <v>598</v>
      </c>
      <c r="CB365" s="41" t="str">
        <f t="shared" si="126"/>
        <v>iDPN N232C</v>
      </c>
      <c r="CC365" s="214" t="s">
        <v>543</v>
      </c>
      <c r="CD365" s="214">
        <v>2</v>
      </c>
      <c r="CE365" s="214">
        <v>32</v>
      </c>
      <c r="CF365" s="214" t="s">
        <v>58</v>
      </c>
      <c r="CG365" s="201" t="s">
        <v>287</v>
      </c>
    </row>
    <row r="366" spans="27:85" x14ac:dyDescent="0.2">
      <c r="AM366" s="43"/>
      <c r="AO366" s="102" t="str">
        <f t="shared" ref="AO366:AO387" si="129">AP366&amp;AQ366&amp;AR366</f>
        <v>NSX250250</v>
      </c>
      <c r="AP366" s="246" t="s">
        <v>113</v>
      </c>
      <c r="AQ366" s="201"/>
      <c r="AR366" s="240">
        <v>250</v>
      </c>
      <c r="AS366" s="201" t="s">
        <v>1255</v>
      </c>
      <c r="BB366" s="9" t="s">
        <v>74</v>
      </c>
      <c r="BC366" s="11">
        <f>0.98*BC367</f>
        <v>137.19999999999999</v>
      </c>
      <c r="BD366" s="231">
        <v>40</v>
      </c>
      <c r="BE366" s="232" t="s">
        <v>290</v>
      </c>
      <c r="CB366" s="41" t="str">
        <f t="shared" si="126"/>
        <v>iDPN N232C</v>
      </c>
      <c r="CC366" s="214" t="s">
        <v>543</v>
      </c>
      <c r="CD366" s="214">
        <v>2</v>
      </c>
      <c r="CE366" s="214">
        <v>32</v>
      </c>
      <c r="CF366" s="214" t="s">
        <v>58</v>
      </c>
      <c r="CG366" s="201" t="s">
        <v>291</v>
      </c>
    </row>
    <row r="367" spans="27:85" x14ac:dyDescent="0.2">
      <c r="AM367" s="43"/>
      <c r="AO367" s="102" t="str">
        <f t="shared" si="129"/>
        <v>NSX250250</v>
      </c>
      <c r="AP367" s="246" t="s">
        <v>113</v>
      </c>
      <c r="AQ367" s="201"/>
      <c r="AR367" s="240">
        <v>250</v>
      </c>
      <c r="AS367" s="201" t="s">
        <v>1256</v>
      </c>
      <c r="BB367" s="9" t="s">
        <v>74</v>
      </c>
      <c r="BC367" s="11">
        <v>140</v>
      </c>
      <c r="BD367" s="231">
        <v>40</v>
      </c>
      <c r="BE367" s="232" t="s">
        <v>291</v>
      </c>
      <c r="CB367" s="41" t="str">
        <f t="shared" si="126"/>
        <v>iDPN N232C</v>
      </c>
      <c r="CC367" s="214" t="s">
        <v>543</v>
      </c>
      <c r="CD367" s="214">
        <v>2</v>
      </c>
      <c r="CE367" s="214">
        <v>32</v>
      </c>
      <c r="CF367" s="214" t="s">
        <v>58</v>
      </c>
      <c r="CG367" s="201" t="s">
        <v>292</v>
      </c>
    </row>
    <row r="368" spans="27:85" x14ac:dyDescent="0.2">
      <c r="AM368" s="43"/>
      <c r="AO368" s="102" t="str">
        <f t="shared" si="129"/>
        <v>NSX400400</v>
      </c>
      <c r="AP368" s="246" t="s">
        <v>114</v>
      </c>
      <c r="AQ368" s="201"/>
      <c r="AR368" s="240">
        <v>400</v>
      </c>
      <c r="AS368" s="201" t="s">
        <v>75</v>
      </c>
      <c r="BB368" s="9" t="s">
        <v>74</v>
      </c>
      <c r="BC368" s="11">
        <f>0.9*BC376</f>
        <v>144</v>
      </c>
      <c r="BD368" s="231">
        <v>40</v>
      </c>
      <c r="BE368" s="232" t="s">
        <v>300</v>
      </c>
      <c r="CB368" s="41" t="str">
        <f t="shared" si="126"/>
        <v>iDPN N232C</v>
      </c>
      <c r="CC368" s="214" t="s">
        <v>543</v>
      </c>
      <c r="CD368" s="214">
        <v>2</v>
      </c>
      <c r="CE368" s="214">
        <v>32</v>
      </c>
      <c r="CF368" s="214" t="s">
        <v>58</v>
      </c>
      <c r="CG368" s="201" t="s">
        <v>368</v>
      </c>
    </row>
    <row r="369" spans="39:161" x14ac:dyDescent="0.2">
      <c r="AM369" s="43"/>
      <c r="AO369" s="102" t="str">
        <f t="shared" si="129"/>
        <v>NSX400400</v>
      </c>
      <c r="AP369" s="246" t="s">
        <v>114</v>
      </c>
      <c r="AQ369" s="201"/>
      <c r="AR369" s="240">
        <v>400</v>
      </c>
      <c r="AS369" s="201" t="s">
        <v>559</v>
      </c>
      <c r="BB369" s="9" t="s">
        <v>74</v>
      </c>
      <c r="BC369" s="11">
        <f>0.92*BC376</f>
        <v>147.20000000000002</v>
      </c>
      <c r="BD369" s="231">
        <v>40</v>
      </c>
      <c r="BE369" s="232" t="s">
        <v>292</v>
      </c>
      <c r="CB369" s="41" t="str">
        <f t="shared" si="126"/>
        <v>iDPN N232C</v>
      </c>
      <c r="CC369" s="214" t="s">
        <v>543</v>
      </c>
      <c r="CD369" s="214">
        <v>2</v>
      </c>
      <c r="CE369" s="214">
        <v>32</v>
      </c>
      <c r="CF369" s="214" t="s">
        <v>58</v>
      </c>
      <c r="CG369" s="201" t="s">
        <v>293</v>
      </c>
    </row>
    <row r="370" spans="39:161" x14ac:dyDescent="0.2">
      <c r="AM370" s="43"/>
      <c r="AO370" s="102" t="str">
        <f t="shared" si="129"/>
        <v>NSX400400</v>
      </c>
      <c r="AP370" s="246" t="s">
        <v>114</v>
      </c>
      <c r="AQ370" s="201"/>
      <c r="AR370" s="240">
        <v>400</v>
      </c>
      <c r="AS370" s="201" t="s">
        <v>1257</v>
      </c>
      <c r="BB370" s="9" t="s">
        <v>74</v>
      </c>
      <c r="BC370" s="11">
        <f>0.93*BC376</f>
        <v>148.80000000000001</v>
      </c>
      <c r="BD370" s="231">
        <v>50</v>
      </c>
      <c r="BE370" s="233" t="s">
        <v>30</v>
      </c>
      <c r="CB370" s="41" t="str">
        <f t="shared" si="126"/>
        <v>iDPN N240C</v>
      </c>
      <c r="CC370" s="214" t="s">
        <v>543</v>
      </c>
      <c r="CD370" s="214">
        <v>2</v>
      </c>
      <c r="CE370" s="214">
        <v>40</v>
      </c>
      <c r="CF370" s="214" t="s">
        <v>58</v>
      </c>
      <c r="CG370" s="201" t="s">
        <v>595</v>
      </c>
    </row>
    <row r="371" spans="39:161" x14ac:dyDescent="0.2">
      <c r="AM371" s="43"/>
      <c r="AO371" s="102" t="str">
        <f t="shared" si="129"/>
        <v>NSX400400</v>
      </c>
      <c r="AP371" s="246" t="s">
        <v>114</v>
      </c>
      <c r="AQ371" s="201"/>
      <c r="AR371" s="240">
        <v>400</v>
      </c>
      <c r="AS371" s="201" t="s">
        <v>1258</v>
      </c>
      <c r="BB371" s="9" t="s">
        <v>74</v>
      </c>
      <c r="BC371" s="11">
        <f>0.94*BC376</f>
        <v>150.39999999999998</v>
      </c>
      <c r="BD371" s="231">
        <v>50</v>
      </c>
      <c r="BE371" s="232" t="s">
        <v>595</v>
      </c>
      <c r="CB371" s="41" t="str">
        <f t="shared" si="126"/>
        <v>iDPN N240C</v>
      </c>
      <c r="CC371" s="214" t="s">
        <v>543</v>
      </c>
      <c r="CD371" s="214">
        <v>2</v>
      </c>
      <c r="CE371" s="214">
        <v>40</v>
      </c>
      <c r="CF371" s="214" t="s">
        <v>58</v>
      </c>
      <c r="CG371" s="201" t="s">
        <v>597</v>
      </c>
    </row>
    <row r="372" spans="39:161" x14ac:dyDescent="0.2">
      <c r="AM372" s="43"/>
      <c r="AO372" s="102" t="str">
        <f t="shared" si="129"/>
        <v>NSX400400</v>
      </c>
      <c r="AP372" s="246" t="s">
        <v>114</v>
      </c>
      <c r="AQ372" s="201"/>
      <c r="AR372" s="240">
        <v>400</v>
      </c>
      <c r="AS372" s="201" t="s">
        <v>1259</v>
      </c>
      <c r="BB372" s="9" t="s">
        <v>74</v>
      </c>
      <c r="BC372" s="11">
        <f>0.95*BC376</f>
        <v>152</v>
      </c>
      <c r="BD372" s="231">
        <v>50</v>
      </c>
      <c r="BE372" s="232" t="s">
        <v>597</v>
      </c>
      <c r="CB372" s="41" t="str">
        <f t="shared" si="126"/>
        <v>iDPN N240C</v>
      </c>
      <c r="CC372" s="214" t="s">
        <v>543</v>
      </c>
      <c r="CD372" s="214">
        <v>2</v>
      </c>
      <c r="CE372" s="214">
        <v>40</v>
      </c>
      <c r="CF372" s="214" t="s">
        <v>58</v>
      </c>
      <c r="CG372" s="201" t="s">
        <v>290</v>
      </c>
      <c r="DH372" s="22"/>
      <c r="DI372" s="22"/>
      <c r="DJ372" s="22"/>
      <c r="DK372" s="344"/>
      <c r="DL372" s="361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22"/>
      <c r="EG372" s="22"/>
      <c r="EH372" s="22"/>
      <c r="EI372" s="22"/>
      <c r="EJ372" s="22"/>
      <c r="EK372" s="22"/>
      <c r="EL372" s="22"/>
      <c r="EM372" s="22"/>
      <c r="EN372" s="344"/>
      <c r="EO372" s="344"/>
      <c r="EP372" s="22"/>
      <c r="EQ372" s="22"/>
      <c r="ER372" s="22"/>
      <c r="EU372" s="344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</row>
    <row r="373" spans="39:161" x14ac:dyDescent="0.2">
      <c r="AM373" s="43"/>
      <c r="AO373" s="102" t="str">
        <f t="shared" si="129"/>
        <v>NSX630400</v>
      </c>
      <c r="AP373" s="246" t="s">
        <v>115</v>
      </c>
      <c r="AQ373" s="201"/>
      <c r="AR373" s="240">
        <v>400</v>
      </c>
      <c r="AS373" s="201" t="s">
        <v>75</v>
      </c>
      <c r="BB373" s="9" t="s">
        <v>74</v>
      </c>
      <c r="BC373" s="11">
        <f>0.96*BC376</f>
        <v>153.6</v>
      </c>
      <c r="BD373" s="231">
        <v>50</v>
      </c>
      <c r="BE373" s="232" t="s">
        <v>598</v>
      </c>
      <c r="CB373" s="41" t="str">
        <f t="shared" si="126"/>
        <v>iDPN N240C</v>
      </c>
      <c r="CC373" s="214" t="s">
        <v>543</v>
      </c>
      <c r="CD373" s="214">
        <v>2</v>
      </c>
      <c r="CE373" s="214">
        <v>40</v>
      </c>
      <c r="CF373" s="214" t="s">
        <v>58</v>
      </c>
      <c r="CG373" s="201" t="s">
        <v>287</v>
      </c>
      <c r="DH373" s="22"/>
      <c r="DI373" s="22"/>
      <c r="DJ373" s="22"/>
      <c r="DK373" s="344"/>
      <c r="DL373" s="361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22"/>
      <c r="EG373" s="22"/>
      <c r="EH373" s="22"/>
      <c r="EI373" s="22"/>
      <c r="EJ373" s="22"/>
      <c r="EK373" s="22"/>
      <c r="EL373" s="22"/>
      <c r="EM373" s="22"/>
      <c r="EN373" s="344"/>
      <c r="EO373" s="344"/>
      <c r="EP373" s="22"/>
      <c r="EQ373" s="22"/>
      <c r="ER373" s="22"/>
      <c r="EU373" s="344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</row>
    <row r="374" spans="39:161" x14ac:dyDescent="0.2">
      <c r="AM374" s="43"/>
      <c r="AO374" s="102" t="str">
        <f t="shared" si="129"/>
        <v>NSX630400</v>
      </c>
      <c r="AP374" s="246" t="s">
        <v>115</v>
      </c>
      <c r="AQ374" s="201"/>
      <c r="AR374" s="240">
        <v>400</v>
      </c>
      <c r="AS374" s="201" t="s">
        <v>559</v>
      </c>
      <c r="BB374" s="9" t="s">
        <v>74</v>
      </c>
      <c r="BC374" s="11">
        <f>0.97*BC376</f>
        <v>155.19999999999999</v>
      </c>
      <c r="BD374" s="231">
        <v>50</v>
      </c>
      <c r="BE374" s="232" t="s">
        <v>290</v>
      </c>
      <c r="CB374" s="41" t="str">
        <f t="shared" si="126"/>
        <v>iDPN N240C</v>
      </c>
      <c r="CC374" s="214" t="s">
        <v>543</v>
      </c>
      <c r="CD374" s="214">
        <v>2</v>
      </c>
      <c r="CE374" s="214">
        <v>40</v>
      </c>
      <c r="CF374" s="214" t="s">
        <v>58</v>
      </c>
      <c r="CG374" s="201" t="s">
        <v>291</v>
      </c>
      <c r="DH374" s="22"/>
      <c r="DI374" s="22"/>
      <c r="DJ374" s="22"/>
      <c r="DK374" s="344"/>
      <c r="DL374" s="361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22"/>
      <c r="EG374" s="22"/>
      <c r="EH374" s="22"/>
      <c r="EI374" s="22"/>
      <c r="EJ374" s="22"/>
      <c r="EK374" s="22"/>
      <c r="EL374" s="22"/>
      <c r="EM374" s="22"/>
      <c r="EN374" s="344"/>
      <c r="EO374" s="344"/>
      <c r="EP374" s="22"/>
      <c r="EQ374" s="22"/>
      <c r="ER374" s="22"/>
      <c r="EU374" s="344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</row>
    <row r="375" spans="39:161" x14ac:dyDescent="0.2">
      <c r="AM375" s="43"/>
      <c r="AO375" s="102" t="str">
        <f t="shared" si="129"/>
        <v>NSX630400</v>
      </c>
      <c r="AP375" s="246" t="s">
        <v>115</v>
      </c>
      <c r="AQ375" s="201"/>
      <c r="AR375" s="240">
        <v>400</v>
      </c>
      <c r="AS375" s="201" t="s">
        <v>1257</v>
      </c>
      <c r="BB375" s="9" t="s">
        <v>74</v>
      </c>
      <c r="BC375" s="11">
        <f>0.98*BC376</f>
        <v>156.80000000000001</v>
      </c>
      <c r="BD375" s="231">
        <v>50</v>
      </c>
      <c r="BE375" s="232" t="s">
        <v>291</v>
      </c>
      <c r="CB375" s="41" t="str">
        <f t="shared" si="126"/>
        <v>iDPN N240C</v>
      </c>
      <c r="CC375" s="214" t="s">
        <v>543</v>
      </c>
      <c r="CD375" s="214">
        <v>2</v>
      </c>
      <c r="CE375" s="214">
        <v>40</v>
      </c>
      <c r="CF375" s="214" t="s">
        <v>58</v>
      </c>
      <c r="CG375" s="201" t="s">
        <v>292</v>
      </c>
      <c r="DH375" s="22"/>
      <c r="DI375" s="22"/>
      <c r="DJ375" s="22"/>
      <c r="DK375" s="344"/>
      <c r="DL375" s="361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22"/>
      <c r="EG375" s="22"/>
      <c r="EH375" s="22"/>
      <c r="EI375" s="22"/>
      <c r="EJ375" s="22"/>
      <c r="EK375" s="22"/>
      <c r="EL375" s="22"/>
      <c r="EM375" s="22"/>
      <c r="EN375" s="344"/>
      <c r="EO375" s="344"/>
      <c r="EP375" s="22"/>
      <c r="EQ375" s="22"/>
      <c r="ER375" s="22"/>
      <c r="EU375" s="344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</row>
    <row r="376" spans="39:161" x14ac:dyDescent="0.2">
      <c r="AM376" s="43"/>
      <c r="AO376" s="102" t="str">
        <f t="shared" si="129"/>
        <v>NSX630400</v>
      </c>
      <c r="AP376" s="246" t="s">
        <v>115</v>
      </c>
      <c r="AQ376" s="201"/>
      <c r="AR376" s="240">
        <v>400</v>
      </c>
      <c r="AS376" s="201" t="s">
        <v>1258</v>
      </c>
      <c r="BB376" s="9" t="s">
        <v>74</v>
      </c>
      <c r="BC376" s="11">
        <v>160</v>
      </c>
      <c r="BD376" s="231">
        <v>50</v>
      </c>
      <c r="BE376" s="232" t="s">
        <v>300</v>
      </c>
      <c r="CB376" s="41" t="str">
        <f t="shared" si="126"/>
        <v>iDPN N240C</v>
      </c>
      <c r="CC376" s="214" t="s">
        <v>543</v>
      </c>
      <c r="CD376" s="214">
        <v>2</v>
      </c>
      <c r="CE376" s="214">
        <v>40</v>
      </c>
      <c r="CF376" s="214" t="s">
        <v>58</v>
      </c>
      <c r="CG376" s="201" t="s">
        <v>368</v>
      </c>
      <c r="DH376" s="22"/>
      <c r="DI376" s="22"/>
      <c r="DJ376" s="22"/>
      <c r="DK376" s="344"/>
      <c r="DL376" s="361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22"/>
      <c r="EG376" s="22"/>
      <c r="EH376" s="22"/>
      <c r="EI376" s="22"/>
      <c r="EJ376" s="22"/>
      <c r="EK376" s="22"/>
      <c r="EL376" s="22"/>
      <c r="EM376" s="22"/>
      <c r="EN376" s="344"/>
      <c r="EO376" s="344"/>
      <c r="EP376" s="22"/>
      <c r="EQ376" s="22"/>
      <c r="ER376" s="22"/>
      <c r="EU376" s="344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</row>
    <row r="377" spans="39:161" ht="13.5" thickBot="1" x14ac:dyDescent="0.25">
      <c r="AM377" s="43"/>
      <c r="AO377" s="102" t="str">
        <f t="shared" si="129"/>
        <v>NSX630400</v>
      </c>
      <c r="AP377" s="246" t="s">
        <v>115</v>
      </c>
      <c r="AQ377" s="201"/>
      <c r="AR377" s="240">
        <v>400</v>
      </c>
      <c r="AS377" s="201" t="s">
        <v>1259</v>
      </c>
      <c r="BB377" s="9" t="s">
        <v>74</v>
      </c>
      <c r="BC377" s="11">
        <f>0.9*BC385</f>
        <v>157.5</v>
      </c>
      <c r="BD377" s="231">
        <v>50</v>
      </c>
      <c r="BE377" s="232" t="s">
        <v>292</v>
      </c>
      <c r="CB377" s="41" t="str">
        <f t="shared" si="126"/>
        <v>iDPN N240C</v>
      </c>
      <c r="CC377" s="216" t="s">
        <v>543</v>
      </c>
      <c r="CD377" s="216">
        <v>2</v>
      </c>
      <c r="CE377" s="216">
        <v>40</v>
      </c>
      <c r="CF377" s="216" t="s">
        <v>58</v>
      </c>
      <c r="CG377" s="217" t="s">
        <v>293</v>
      </c>
      <c r="DH377" s="22"/>
      <c r="DI377" s="22"/>
      <c r="DJ377" s="22"/>
      <c r="DK377" s="344"/>
      <c r="DL377" s="361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22"/>
      <c r="EG377" s="22"/>
      <c r="EH377" s="22"/>
      <c r="EI377" s="22"/>
      <c r="EJ377" s="22"/>
      <c r="EK377" s="22"/>
      <c r="EL377" s="22"/>
      <c r="EM377" s="22"/>
      <c r="EN377" s="344"/>
      <c r="EO377" s="344"/>
      <c r="EP377" s="22"/>
      <c r="EQ377" s="22"/>
      <c r="ER377" s="22"/>
      <c r="EU377" s="344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</row>
    <row r="378" spans="39:161" ht="13.5" thickTop="1" x14ac:dyDescent="0.2">
      <c r="AM378" s="43"/>
      <c r="AO378" s="102" t="str">
        <f t="shared" si="129"/>
        <v>NSX630630</v>
      </c>
      <c r="AP378" s="246" t="s">
        <v>115</v>
      </c>
      <c r="AQ378" s="201"/>
      <c r="AR378" s="240">
        <v>630</v>
      </c>
      <c r="AS378" s="201" t="s">
        <v>76</v>
      </c>
      <c r="BB378" s="9" t="s">
        <v>74</v>
      </c>
      <c r="BC378" s="11">
        <f>0.92*BC385</f>
        <v>161</v>
      </c>
      <c r="BD378" s="231">
        <v>63</v>
      </c>
      <c r="BE378" s="233" t="s">
        <v>30</v>
      </c>
      <c r="CB378" s="41" t="str">
        <f t="shared" si="126"/>
        <v>iDPN H26B</v>
      </c>
      <c r="CC378" s="187" t="s">
        <v>542</v>
      </c>
      <c r="CD378" s="187">
        <v>2</v>
      </c>
      <c r="CE378" s="219">
        <v>6</v>
      </c>
      <c r="CF378" s="219" t="s">
        <v>57</v>
      </c>
      <c r="CG378" s="220" t="s">
        <v>290</v>
      </c>
      <c r="DH378" s="22"/>
      <c r="DI378" s="22"/>
      <c r="DJ378" s="22"/>
      <c r="DK378" s="344"/>
      <c r="DL378" s="361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22"/>
      <c r="EG378" s="22"/>
      <c r="EH378" s="22"/>
      <c r="EI378" s="22"/>
      <c r="EJ378" s="22"/>
      <c r="EK378" s="22"/>
      <c r="EL378" s="22"/>
      <c r="EM378" s="22"/>
      <c r="EN378" s="344"/>
      <c r="EO378" s="344"/>
      <c r="EP378" s="22"/>
      <c r="EQ378" s="22"/>
      <c r="ER378" s="22"/>
      <c r="EU378" s="344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</row>
    <row r="379" spans="39:161" x14ac:dyDescent="0.2">
      <c r="AM379" s="43"/>
      <c r="AO379" s="102" t="str">
        <f t="shared" si="129"/>
        <v>NSX630630</v>
      </c>
      <c r="AP379" s="246" t="s">
        <v>115</v>
      </c>
      <c r="AQ379" s="201"/>
      <c r="AR379" s="240">
        <v>630</v>
      </c>
      <c r="AS379" s="201" t="s">
        <v>560</v>
      </c>
      <c r="BB379" s="9" t="s">
        <v>74</v>
      </c>
      <c r="BC379" s="11">
        <f>0.93*BC385</f>
        <v>162.75</v>
      </c>
      <c r="BD379" s="231">
        <v>63</v>
      </c>
      <c r="BE379" s="232" t="s">
        <v>595</v>
      </c>
      <c r="CB379" s="41" t="str">
        <f t="shared" si="126"/>
        <v>iDPN H210B</v>
      </c>
      <c r="CC379" s="214" t="s">
        <v>542</v>
      </c>
      <c r="CD379" s="214">
        <v>2</v>
      </c>
      <c r="CE379" s="221">
        <v>10</v>
      </c>
      <c r="CF379" s="221" t="s">
        <v>57</v>
      </c>
      <c r="CG379" s="222" t="s">
        <v>290</v>
      </c>
      <c r="DH379" s="22"/>
      <c r="DI379" s="22"/>
      <c r="DJ379" s="22"/>
      <c r="DK379" s="344"/>
      <c r="DL379" s="361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22"/>
      <c r="EG379" s="22"/>
      <c r="EH379" s="22"/>
      <c r="EI379" s="22"/>
      <c r="EJ379" s="22"/>
      <c r="EK379" s="22"/>
      <c r="EL379" s="22"/>
      <c r="EM379" s="22"/>
      <c r="EN379" s="344"/>
      <c r="EO379" s="344"/>
      <c r="EP379" s="22"/>
      <c r="EQ379" s="22"/>
      <c r="ER379" s="22"/>
      <c r="EU379" s="344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</row>
    <row r="380" spans="39:161" x14ac:dyDescent="0.2">
      <c r="AM380" s="43"/>
      <c r="AO380" s="102" t="str">
        <f t="shared" si="129"/>
        <v>NSX630630</v>
      </c>
      <c r="AP380" s="246" t="s">
        <v>115</v>
      </c>
      <c r="AQ380" s="201"/>
      <c r="AR380" s="240">
        <v>630</v>
      </c>
      <c r="AS380" s="201" t="s">
        <v>1260</v>
      </c>
      <c r="BB380" s="9" t="s">
        <v>74</v>
      </c>
      <c r="BC380" s="11">
        <f>0.94*BC385</f>
        <v>164.5</v>
      </c>
      <c r="BD380" s="231">
        <v>63</v>
      </c>
      <c r="BE380" s="232" t="s">
        <v>597</v>
      </c>
      <c r="CB380" s="41" t="str">
        <f t="shared" si="126"/>
        <v>iDPN H216B</v>
      </c>
      <c r="CC380" s="214" t="s">
        <v>542</v>
      </c>
      <c r="CD380" s="214">
        <v>2</v>
      </c>
      <c r="CE380" s="221">
        <v>16</v>
      </c>
      <c r="CF380" s="221" t="s">
        <v>57</v>
      </c>
      <c r="CG380" s="222" t="s">
        <v>290</v>
      </c>
      <c r="DH380" s="22"/>
      <c r="DI380" s="22"/>
      <c r="DJ380" s="22"/>
      <c r="DK380" s="344"/>
      <c r="DL380" s="361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22"/>
      <c r="EG380" s="22"/>
      <c r="EH380" s="22"/>
      <c r="EI380" s="22"/>
      <c r="EJ380" s="22"/>
      <c r="EK380" s="22"/>
      <c r="EL380" s="22"/>
      <c r="EM380" s="22"/>
      <c r="EN380" s="344"/>
      <c r="EO380" s="344"/>
      <c r="EP380" s="22"/>
      <c r="EQ380" s="22"/>
      <c r="ER380" s="22"/>
      <c r="EU380" s="344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</row>
    <row r="381" spans="39:161" x14ac:dyDescent="0.2">
      <c r="AM381" s="43"/>
      <c r="AO381" s="102" t="str">
        <f t="shared" si="129"/>
        <v>NSX630630</v>
      </c>
      <c r="AP381" s="246" t="s">
        <v>115</v>
      </c>
      <c r="AQ381" s="201"/>
      <c r="AR381" s="240">
        <v>630</v>
      </c>
      <c r="AS381" s="201" t="s">
        <v>1261</v>
      </c>
      <c r="BB381" s="9" t="s">
        <v>74</v>
      </c>
      <c r="BC381" s="11">
        <f>0.95*BC385</f>
        <v>166.25</v>
      </c>
      <c r="BD381" s="231">
        <v>63</v>
      </c>
      <c r="BE381" s="232" t="s">
        <v>598</v>
      </c>
      <c r="CB381" s="41" t="str">
        <f t="shared" si="126"/>
        <v>iDPN H220B</v>
      </c>
      <c r="CC381" s="214" t="s">
        <v>542</v>
      </c>
      <c r="CD381" s="214">
        <v>2</v>
      </c>
      <c r="CE381" s="221">
        <v>20</v>
      </c>
      <c r="CF381" s="221" t="s">
        <v>57</v>
      </c>
      <c r="CG381" s="222" t="s">
        <v>290</v>
      </c>
      <c r="DH381" s="22"/>
      <c r="DI381" s="22"/>
      <c r="DJ381" s="22"/>
      <c r="DK381" s="344"/>
      <c r="DL381" s="361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22"/>
      <c r="EG381" s="22"/>
      <c r="EH381" s="22"/>
      <c r="EI381" s="22"/>
      <c r="EJ381" s="22"/>
      <c r="EK381" s="22"/>
      <c r="EL381" s="22"/>
      <c r="EM381" s="22"/>
      <c r="EN381" s="344"/>
      <c r="EO381" s="344"/>
      <c r="EP381" s="22"/>
      <c r="EQ381" s="22"/>
      <c r="ER381" s="22"/>
      <c r="EU381" s="344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</row>
    <row r="382" spans="39:161" x14ac:dyDescent="0.2">
      <c r="AM382" s="43"/>
      <c r="AO382" s="102" t="str">
        <f t="shared" si="129"/>
        <v>NSX630630</v>
      </c>
      <c r="AP382" s="246" t="s">
        <v>115</v>
      </c>
      <c r="AQ382" s="201"/>
      <c r="AR382" s="240">
        <v>630</v>
      </c>
      <c r="AS382" s="201" t="s">
        <v>1262</v>
      </c>
      <c r="BB382" s="9" t="s">
        <v>74</v>
      </c>
      <c r="BC382" s="11">
        <f>0.96*BC385</f>
        <v>168</v>
      </c>
      <c r="BD382" s="231">
        <v>63</v>
      </c>
      <c r="BE382" s="232" t="s">
        <v>290</v>
      </c>
      <c r="CB382" s="41" t="str">
        <f t="shared" si="126"/>
        <v>iDPN H225B</v>
      </c>
      <c r="CC382" s="214" t="s">
        <v>542</v>
      </c>
      <c r="CD382" s="214">
        <v>2</v>
      </c>
      <c r="CE382" s="221">
        <v>25</v>
      </c>
      <c r="CF382" s="221" t="s">
        <v>57</v>
      </c>
      <c r="CG382" s="222" t="s">
        <v>290</v>
      </c>
      <c r="DH382" s="22"/>
      <c r="DI382" s="22"/>
      <c r="DJ382" s="22"/>
      <c r="DK382" s="344"/>
      <c r="DL382" s="361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22"/>
      <c r="EG382" s="22"/>
      <c r="EH382" s="22"/>
      <c r="EI382" s="22"/>
      <c r="EJ382" s="22"/>
      <c r="EK382" s="22"/>
      <c r="EL382" s="22"/>
      <c r="EM382" s="22"/>
      <c r="EN382" s="344"/>
      <c r="EO382" s="344"/>
      <c r="EP382" s="22"/>
      <c r="EQ382" s="22"/>
      <c r="ER382" s="22"/>
      <c r="EU382" s="344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</row>
    <row r="383" spans="39:161" ht="13.5" thickBot="1" x14ac:dyDescent="0.25">
      <c r="AM383" s="43"/>
      <c r="AO383" s="102" t="str">
        <f t="shared" si="129"/>
        <v>NSX100NA</v>
      </c>
      <c r="AP383" s="246" t="s">
        <v>143</v>
      </c>
      <c r="AQ383" s="201"/>
      <c r="AR383" s="240"/>
      <c r="AS383" s="201" t="s">
        <v>30</v>
      </c>
      <c r="BB383" s="9" t="s">
        <v>74</v>
      </c>
      <c r="BC383" s="11">
        <f>0.97*BC385</f>
        <v>169.75</v>
      </c>
      <c r="BD383" s="231">
        <v>63</v>
      </c>
      <c r="BE383" s="232" t="s">
        <v>291</v>
      </c>
      <c r="CB383" s="41" t="str">
        <f t="shared" si="126"/>
        <v>iDPN H232B</v>
      </c>
      <c r="CC383" s="216" t="s">
        <v>542</v>
      </c>
      <c r="CD383" s="216">
        <v>2</v>
      </c>
      <c r="CE383" s="223">
        <v>32</v>
      </c>
      <c r="CF383" s="223" t="s">
        <v>57</v>
      </c>
      <c r="CG383" s="224" t="s">
        <v>290</v>
      </c>
      <c r="DH383" s="22"/>
      <c r="DI383" s="22"/>
      <c r="DJ383" s="22"/>
      <c r="DK383" s="344"/>
      <c r="DL383" s="361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22"/>
      <c r="EG383" s="22"/>
      <c r="EH383" s="22"/>
      <c r="EI383" s="22"/>
      <c r="EJ383" s="22"/>
      <c r="EK383" s="22"/>
      <c r="EL383" s="22"/>
      <c r="EM383" s="22"/>
      <c r="EN383" s="344"/>
      <c r="EO383" s="344"/>
      <c r="EP383" s="22"/>
      <c r="EQ383" s="22"/>
      <c r="ER383" s="22"/>
      <c r="EU383" s="344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</row>
    <row r="384" spans="39:161" ht="13.5" thickTop="1" x14ac:dyDescent="0.2">
      <c r="AM384" s="43"/>
      <c r="AO384" s="102" t="str">
        <f t="shared" si="129"/>
        <v>NSX160NA</v>
      </c>
      <c r="AP384" s="246" t="s">
        <v>144</v>
      </c>
      <c r="AQ384" s="201"/>
      <c r="AR384" s="240"/>
      <c r="AS384" s="201" t="s">
        <v>30</v>
      </c>
      <c r="BB384" s="9" t="s">
        <v>74</v>
      </c>
      <c r="BC384" s="11">
        <f>0.98*BC385</f>
        <v>171.5</v>
      </c>
      <c r="BD384" s="231">
        <v>63</v>
      </c>
      <c r="BE384" s="232" t="s">
        <v>300</v>
      </c>
      <c r="CB384" s="41" t="str">
        <f t="shared" si="126"/>
        <v>iDPN H26C</v>
      </c>
      <c r="CC384" s="187" t="s">
        <v>542</v>
      </c>
      <c r="CD384" s="187">
        <v>2</v>
      </c>
      <c r="CE384" s="187">
        <v>6</v>
      </c>
      <c r="CF384" s="187" t="s">
        <v>58</v>
      </c>
      <c r="CG384" s="190" t="s">
        <v>290</v>
      </c>
      <c r="DH384" s="22"/>
      <c r="DI384" s="22"/>
      <c r="DJ384" s="22"/>
      <c r="DK384" s="344"/>
      <c r="DL384" s="361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22"/>
      <c r="EG384" s="22"/>
      <c r="EH384" s="22"/>
      <c r="EI384" s="22"/>
      <c r="EJ384" s="22"/>
      <c r="EK384" s="22"/>
      <c r="EL384" s="22"/>
      <c r="EM384" s="22"/>
      <c r="EN384" s="344"/>
      <c r="EO384" s="344"/>
      <c r="EP384" s="22"/>
      <c r="EQ384" s="22"/>
      <c r="ER384" s="22"/>
      <c r="EU384" s="344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</row>
    <row r="385" spans="39:161" x14ac:dyDescent="0.2">
      <c r="AM385" s="43"/>
      <c r="AO385" s="102" t="str">
        <f t="shared" si="129"/>
        <v>NSX250NA</v>
      </c>
      <c r="AP385" s="246" t="s">
        <v>145</v>
      </c>
      <c r="AQ385" s="201"/>
      <c r="AR385" s="240"/>
      <c r="AS385" s="201" t="s">
        <v>30</v>
      </c>
      <c r="BB385" s="9" t="s">
        <v>74</v>
      </c>
      <c r="BC385" s="11">
        <v>175</v>
      </c>
      <c r="BD385" s="231">
        <v>63</v>
      </c>
      <c r="BE385" s="232" t="s">
        <v>292</v>
      </c>
      <c r="CB385" s="41" t="str">
        <f t="shared" si="126"/>
        <v>iDPN H26C</v>
      </c>
      <c r="CC385" s="214" t="s">
        <v>542</v>
      </c>
      <c r="CD385" s="214">
        <v>2</v>
      </c>
      <c r="CE385" s="214">
        <v>6</v>
      </c>
      <c r="CF385" s="214" t="s">
        <v>58</v>
      </c>
      <c r="CG385" s="201" t="s">
        <v>291</v>
      </c>
      <c r="DH385" s="22"/>
      <c r="DI385" s="22"/>
      <c r="DJ385" s="22"/>
      <c r="DK385" s="344"/>
      <c r="DL385" s="361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22"/>
      <c r="EG385" s="22"/>
      <c r="EH385" s="22"/>
      <c r="EI385" s="22"/>
      <c r="EJ385" s="22"/>
      <c r="EK385" s="22"/>
      <c r="EL385" s="22"/>
      <c r="EM385" s="22"/>
      <c r="EN385" s="344"/>
      <c r="EO385" s="344"/>
      <c r="EP385" s="22"/>
      <c r="EQ385" s="22"/>
      <c r="ER385" s="22"/>
      <c r="EU385" s="344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</row>
    <row r="386" spans="39:161" x14ac:dyDescent="0.2">
      <c r="AM386" s="43"/>
      <c r="AO386" s="102" t="str">
        <f t="shared" si="129"/>
        <v>NSX400NA</v>
      </c>
      <c r="AP386" s="246" t="s">
        <v>146</v>
      </c>
      <c r="AQ386" s="201"/>
      <c r="AR386" s="240"/>
      <c r="AS386" s="201" t="s">
        <v>30</v>
      </c>
      <c r="BB386" s="9" t="s">
        <v>74</v>
      </c>
      <c r="BC386" s="11">
        <f>0.9*BC394</f>
        <v>180</v>
      </c>
      <c r="BD386" s="1456" t="s">
        <v>181</v>
      </c>
      <c r="BE386" s="1457"/>
      <c r="CB386" s="41" t="str">
        <f t="shared" si="126"/>
        <v>iDPN H26C</v>
      </c>
      <c r="CC386" s="214" t="s">
        <v>542</v>
      </c>
      <c r="CD386" s="214">
        <v>2</v>
      </c>
      <c r="CE386" s="214">
        <v>6</v>
      </c>
      <c r="CF386" s="214" t="s">
        <v>58</v>
      </c>
      <c r="CG386" s="201" t="s">
        <v>292</v>
      </c>
      <c r="DH386" s="22"/>
      <c r="DI386" s="22"/>
      <c r="DJ386" s="22"/>
      <c r="DK386" s="344"/>
      <c r="DL386" s="361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22"/>
      <c r="EG386" s="22"/>
      <c r="EH386" s="22"/>
      <c r="EI386" s="22"/>
      <c r="EJ386" s="22"/>
      <c r="EK386" s="22"/>
      <c r="EL386" s="22"/>
      <c r="EM386" s="22"/>
      <c r="EN386" s="344"/>
      <c r="EO386" s="344"/>
      <c r="EP386" s="22"/>
      <c r="EQ386" s="22"/>
      <c r="ER386" s="22"/>
      <c r="EU386" s="344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</row>
    <row r="387" spans="39:161" x14ac:dyDescent="0.2">
      <c r="AM387" s="43"/>
      <c r="AO387" s="102" t="str">
        <f t="shared" si="129"/>
        <v>NSX630NA</v>
      </c>
      <c r="AP387" s="246" t="s">
        <v>147</v>
      </c>
      <c r="AQ387" s="201"/>
      <c r="AR387" s="240"/>
      <c r="AS387" s="201" t="s">
        <v>30</v>
      </c>
      <c r="BB387" s="9" t="s">
        <v>74</v>
      </c>
      <c r="BC387" s="11">
        <f>0.92*BC394</f>
        <v>184</v>
      </c>
      <c r="BD387" s="231">
        <v>0.5</v>
      </c>
      <c r="BE387" s="233" t="s">
        <v>30</v>
      </c>
      <c r="CB387" s="41" t="str">
        <f t="shared" ref="CB387:CB407" si="130">CC387&amp;CD387&amp;CE387&amp;CF387</f>
        <v>iDPN H26C</v>
      </c>
      <c r="CC387" s="214" t="s">
        <v>542</v>
      </c>
      <c r="CD387" s="214">
        <v>2</v>
      </c>
      <c r="CE387" s="214">
        <v>6</v>
      </c>
      <c r="CF387" s="214" t="s">
        <v>58</v>
      </c>
      <c r="CG387" s="201" t="s">
        <v>293</v>
      </c>
      <c r="DH387" s="22"/>
      <c r="DI387" s="22"/>
      <c r="DJ387" s="22"/>
      <c r="DK387" s="344"/>
      <c r="DL387" s="361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22"/>
      <c r="EG387" s="22"/>
      <c r="EH387" s="22"/>
      <c r="EI387" s="22"/>
      <c r="EJ387" s="22"/>
      <c r="EK387" s="22"/>
      <c r="EL387" s="22"/>
      <c r="EM387" s="22"/>
      <c r="EN387" s="344"/>
      <c r="EO387" s="344"/>
      <c r="EP387" s="22"/>
      <c r="EQ387" s="22"/>
      <c r="ER387" s="22"/>
      <c r="EU387" s="344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</row>
    <row r="388" spans="39:161" x14ac:dyDescent="0.2">
      <c r="AM388" s="43"/>
      <c r="BB388" s="9" t="s">
        <v>74</v>
      </c>
      <c r="BC388" s="11">
        <f>0.93*BC394</f>
        <v>186</v>
      </c>
      <c r="BD388" s="231">
        <v>0.5</v>
      </c>
      <c r="BE388" s="232" t="s">
        <v>853</v>
      </c>
      <c r="CB388" s="41" t="str">
        <f t="shared" si="130"/>
        <v>iDPN H210C</v>
      </c>
      <c r="CC388" s="214" t="s">
        <v>542</v>
      </c>
      <c r="CD388" s="214">
        <v>2</v>
      </c>
      <c r="CE388" s="214">
        <v>10</v>
      </c>
      <c r="CF388" s="214" t="s">
        <v>58</v>
      </c>
      <c r="CG388" s="201" t="s">
        <v>290</v>
      </c>
      <c r="DH388" s="22"/>
      <c r="DI388" s="22"/>
      <c r="DJ388" s="22"/>
      <c r="DK388" s="344"/>
      <c r="DL388" s="361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22"/>
      <c r="EG388" s="22"/>
      <c r="EH388" s="22"/>
      <c r="EI388" s="22"/>
      <c r="EJ388" s="22"/>
      <c r="EK388" s="22"/>
      <c r="EL388" s="22"/>
      <c r="EM388" s="22"/>
      <c r="EN388" s="344"/>
      <c r="EO388" s="344"/>
      <c r="EP388" s="22"/>
      <c r="EQ388" s="22"/>
      <c r="ER388" s="22"/>
      <c r="EU388" s="344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</row>
    <row r="389" spans="39:161" x14ac:dyDescent="0.2">
      <c r="AM389" s="43"/>
      <c r="BB389" s="9" t="s">
        <v>74</v>
      </c>
      <c r="BC389" s="11">
        <f>0.94*BC394</f>
        <v>188</v>
      </c>
      <c r="BD389" s="231">
        <v>0.5</v>
      </c>
      <c r="BE389" s="232" t="s">
        <v>854</v>
      </c>
      <c r="CB389" s="41" t="str">
        <f t="shared" si="130"/>
        <v>iDPN H210C</v>
      </c>
      <c r="CC389" s="214" t="s">
        <v>542</v>
      </c>
      <c r="CD389" s="214">
        <v>2</v>
      </c>
      <c r="CE389" s="214">
        <v>10</v>
      </c>
      <c r="CF389" s="214" t="s">
        <v>58</v>
      </c>
      <c r="CG389" s="201" t="s">
        <v>291</v>
      </c>
      <c r="DH389" s="22"/>
      <c r="DI389" s="22"/>
      <c r="DJ389" s="22"/>
      <c r="DK389" s="344"/>
      <c r="DL389" s="361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22"/>
      <c r="EG389" s="22"/>
      <c r="EH389" s="22"/>
      <c r="EI389" s="22"/>
      <c r="EJ389" s="22"/>
      <c r="EK389" s="22"/>
      <c r="EL389" s="22"/>
      <c r="EM389" s="22"/>
      <c r="EN389" s="344"/>
      <c r="EO389" s="344"/>
      <c r="EP389" s="22"/>
      <c r="EQ389" s="22"/>
      <c r="ER389" s="22"/>
      <c r="EU389" s="344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</row>
    <row r="390" spans="39:161" x14ac:dyDescent="0.2">
      <c r="AM390" s="43"/>
      <c r="BB390" s="9" t="s">
        <v>74</v>
      </c>
      <c r="BC390" s="11">
        <f>0.95*BC394</f>
        <v>190</v>
      </c>
      <c r="BD390" s="231">
        <v>0.5</v>
      </c>
      <c r="BE390" s="232" t="s">
        <v>855</v>
      </c>
      <c r="CB390" s="41" t="str">
        <f t="shared" si="130"/>
        <v>iDPN H210C</v>
      </c>
      <c r="CC390" s="214" t="s">
        <v>542</v>
      </c>
      <c r="CD390" s="214">
        <v>2</v>
      </c>
      <c r="CE390" s="214">
        <v>10</v>
      </c>
      <c r="CF390" s="214" t="s">
        <v>58</v>
      </c>
      <c r="CG390" s="201" t="s">
        <v>292</v>
      </c>
      <c r="DH390" s="22"/>
      <c r="DI390" s="22"/>
      <c r="DJ390" s="22"/>
      <c r="DK390" s="344"/>
      <c r="DL390" s="361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22"/>
      <c r="EG390" s="22"/>
      <c r="EH390" s="22"/>
      <c r="EI390" s="22"/>
      <c r="EJ390" s="22"/>
      <c r="EK390" s="22"/>
      <c r="EL390" s="22"/>
      <c r="EM390" s="22"/>
      <c r="EN390" s="344"/>
      <c r="EO390" s="344"/>
      <c r="EP390" s="22"/>
      <c r="EQ390" s="22"/>
      <c r="ER390" s="22"/>
      <c r="EU390" s="344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</row>
    <row r="391" spans="39:161" x14ac:dyDescent="0.2">
      <c r="AM391" s="43"/>
      <c r="BB391" s="9" t="s">
        <v>74</v>
      </c>
      <c r="BC391" s="11">
        <f>0.96*BC394</f>
        <v>192</v>
      </c>
      <c r="BD391" s="231">
        <v>0.5</v>
      </c>
      <c r="BE391" s="232" t="s">
        <v>856</v>
      </c>
      <c r="CB391" s="41" t="str">
        <f t="shared" si="130"/>
        <v>iDPN H210C</v>
      </c>
      <c r="CC391" s="214" t="s">
        <v>542</v>
      </c>
      <c r="CD391" s="214">
        <v>2</v>
      </c>
      <c r="CE391" s="214">
        <v>10</v>
      </c>
      <c r="CF391" s="214" t="s">
        <v>58</v>
      </c>
      <c r="CG391" s="201" t="s">
        <v>293</v>
      </c>
      <c r="DH391" s="22"/>
      <c r="DI391" s="22"/>
      <c r="DJ391" s="22"/>
      <c r="DK391" s="344"/>
      <c r="DL391" s="361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22"/>
      <c r="EG391" s="22"/>
      <c r="EH391" s="22"/>
      <c r="EI391" s="22"/>
      <c r="EJ391" s="22"/>
      <c r="EK391" s="22"/>
      <c r="EL391" s="22"/>
      <c r="EM391" s="22"/>
      <c r="EN391" s="344"/>
      <c r="EO391" s="344"/>
      <c r="EP391" s="22"/>
      <c r="EQ391" s="22"/>
      <c r="ER391" s="22"/>
      <c r="EU391" s="344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</row>
    <row r="392" spans="39:161" x14ac:dyDescent="0.2">
      <c r="AM392" s="43"/>
      <c r="BB392" s="9" t="s">
        <v>74</v>
      </c>
      <c r="BC392" s="11">
        <f>0.97*BC394</f>
        <v>194</v>
      </c>
      <c r="BD392" s="231">
        <v>0.5</v>
      </c>
      <c r="BE392" s="232" t="s">
        <v>353</v>
      </c>
      <c r="CB392" s="41" t="str">
        <f t="shared" si="130"/>
        <v>iDPN H216C</v>
      </c>
      <c r="CC392" s="214" t="s">
        <v>542</v>
      </c>
      <c r="CD392" s="214">
        <v>2</v>
      </c>
      <c r="CE392" s="214">
        <v>16</v>
      </c>
      <c r="CF392" s="214" t="s">
        <v>58</v>
      </c>
      <c r="CG392" s="201" t="s">
        <v>290</v>
      </c>
      <c r="DH392" s="22"/>
      <c r="DI392" s="22"/>
      <c r="DJ392" s="22"/>
      <c r="DK392" s="344"/>
      <c r="DL392" s="361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22"/>
      <c r="EG392" s="22"/>
      <c r="EH392" s="22"/>
      <c r="EI392" s="22"/>
      <c r="EJ392" s="22"/>
      <c r="EK392" s="22"/>
      <c r="EL392" s="22"/>
      <c r="EM392" s="22"/>
      <c r="EN392" s="344"/>
      <c r="EO392" s="344"/>
      <c r="EP392" s="22"/>
      <c r="EQ392" s="22"/>
      <c r="ER392" s="22"/>
      <c r="EU392" s="344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</row>
    <row r="393" spans="39:161" x14ac:dyDescent="0.2">
      <c r="AM393" s="43"/>
      <c r="BB393" s="9" t="s">
        <v>74</v>
      </c>
      <c r="BC393" s="11">
        <f>0.98*BC394</f>
        <v>196</v>
      </c>
      <c r="BD393" s="231">
        <v>0.5</v>
      </c>
      <c r="BE393" s="232" t="s">
        <v>354</v>
      </c>
      <c r="CB393" s="41" t="str">
        <f t="shared" si="130"/>
        <v>iDPN H216C</v>
      </c>
      <c r="CC393" s="214" t="s">
        <v>542</v>
      </c>
      <c r="CD393" s="214">
        <v>2</v>
      </c>
      <c r="CE393" s="214">
        <v>16</v>
      </c>
      <c r="CF393" s="214" t="s">
        <v>58</v>
      </c>
      <c r="CG393" s="201" t="s">
        <v>291</v>
      </c>
      <c r="DH393" s="22"/>
      <c r="DI393" s="22"/>
      <c r="DJ393" s="22"/>
      <c r="DK393" s="344"/>
      <c r="DL393" s="361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22"/>
      <c r="EG393" s="22"/>
      <c r="EH393" s="22"/>
      <c r="EI393" s="22"/>
      <c r="EJ393" s="22"/>
      <c r="EK393" s="22"/>
      <c r="EL393" s="22"/>
      <c r="EM393" s="22"/>
      <c r="EN393" s="344"/>
      <c r="EO393" s="344"/>
      <c r="EP393" s="22"/>
      <c r="EQ393" s="22"/>
      <c r="ER393" s="22"/>
      <c r="EU393" s="344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</row>
    <row r="394" spans="39:161" x14ac:dyDescent="0.2">
      <c r="AM394" s="43"/>
      <c r="BB394" s="9" t="s">
        <v>74</v>
      </c>
      <c r="BC394" s="11">
        <v>200</v>
      </c>
      <c r="BD394" s="231">
        <v>0.5</v>
      </c>
      <c r="BE394" s="232" t="s">
        <v>351</v>
      </c>
      <c r="CB394" s="41" t="str">
        <f t="shared" si="130"/>
        <v>iDPN H216C</v>
      </c>
      <c r="CC394" s="214" t="s">
        <v>542</v>
      </c>
      <c r="CD394" s="214">
        <v>2</v>
      </c>
      <c r="CE394" s="214">
        <v>16</v>
      </c>
      <c r="CF394" s="214" t="s">
        <v>58</v>
      </c>
      <c r="CG394" s="201" t="s">
        <v>292</v>
      </c>
      <c r="DH394" s="22"/>
      <c r="DI394" s="295"/>
      <c r="DJ394" s="22"/>
      <c r="DK394" s="344"/>
      <c r="DL394" s="361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22"/>
      <c r="EG394" s="22"/>
      <c r="EH394" s="22"/>
      <c r="EI394" s="22"/>
      <c r="EJ394" s="22"/>
      <c r="EK394" s="22"/>
      <c r="EL394" s="22"/>
      <c r="EM394" s="22"/>
      <c r="EN394" s="344"/>
      <c r="EO394" s="344"/>
      <c r="EP394" s="22"/>
      <c r="EQ394" s="22"/>
      <c r="ER394" s="22"/>
      <c r="EU394" s="344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</row>
    <row r="395" spans="39:161" x14ac:dyDescent="0.2">
      <c r="AM395" s="43"/>
      <c r="BB395" s="9" t="s">
        <v>74</v>
      </c>
      <c r="BC395" s="11">
        <f>0.9*BC403</f>
        <v>202.5</v>
      </c>
      <c r="BD395" s="231">
        <v>0.5</v>
      </c>
      <c r="BE395" s="232" t="s">
        <v>355</v>
      </c>
      <c r="CB395" s="41" t="str">
        <f t="shared" si="130"/>
        <v>iDPN H216C</v>
      </c>
      <c r="CC395" s="214" t="s">
        <v>542</v>
      </c>
      <c r="CD395" s="214">
        <v>2</v>
      </c>
      <c r="CE395" s="214">
        <v>16</v>
      </c>
      <c r="CF395" s="214" t="s">
        <v>58</v>
      </c>
      <c r="CG395" s="201" t="s">
        <v>293</v>
      </c>
      <c r="DH395" s="22"/>
      <c r="DI395" s="22"/>
      <c r="DJ395" s="22"/>
      <c r="DK395" s="344"/>
      <c r="DL395" s="361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22"/>
      <c r="EG395" s="22"/>
      <c r="EH395" s="22"/>
      <c r="EI395" s="22"/>
      <c r="EJ395" s="22"/>
      <c r="EK395" s="22"/>
      <c r="EL395" s="22"/>
      <c r="EM395" s="22"/>
      <c r="EN395" s="344"/>
      <c r="EO395" s="344"/>
      <c r="EP395" s="22"/>
      <c r="EQ395" s="22"/>
      <c r="ER395" s="22"/>
      <c r="EU395" s="344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</row>
    <row r="396" spans="39:161" x14ac:dyDescent="0.2">
      <c r="AM396" s="43"/>
      <c r="BB396" s="9" t="s">
        <v>74</v>
      </c>
      <c r="BC396" s="11">
        <f>0.92*BC403</f>
        <v>207</v>
      </c>
      <c r="BD396" s="231">
        <v>0.5</v>
      </c>
      <c r="BE396" s="232" t="s">
        <v>352</v>
      </c>
      <c r="CB396" s="41" t="str">
        <f t="shared" si="130"/>
        <v>iDPN H220C</v>
      </c>
      <c r="CC396" s="214" t="s">
        <v>542</v>
      </c>
      <c r="CD396" s="214">
        <v>2</v>
      </c>
      <c r="CE396" s="214">
        <v>20</v>
      </c>
      <c r="CF396" s="214" t="s">
        <v>58</v>
      </c>
      <c r="CG396" s="201" t="s">
        <v>290</v>
      </c>
      <c r="DH396" s="22"/>
      <c r="DI396" s="22"/>
      <c r="DJ396" s="22"/>
      <c r="DK396" s="344"/>
      <c r="DL396" s="361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22"/>
      <c r="EG396" s="22"/>
      <c r="EH396" s="22"/>
      <c r="EI396" s="22"/>
      <c r="EJ396" s="22"/>
      <c r="EK396" s="22"/>
      <c r="EL396" s="22"/>
      <c r="EM396" s="22"/>
      <c r="EN396" s="344"/>
      <c r="EO396" s="344"/>
      <c r="EP396" s="22"/>
      <c r="EQ396" s="22"/>
      <c r="ER396" s="22"/>
      <c r="EU396" s="344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</row>
    <row r="397" spans="39:161" x14ac:dyDescent="0.2">
      <c r="AM397" s="43"/>
      <c r="BB397" s="9" t="s">
        <v>74</v>
      </c>
      <c r="BC397" s="11">
        <f>0.93*BC403</f>
        <v>209.25</v>
      </c>
      <c r="BD397" s="231">
        <v>1</v>
      </c>
      <c r="BE397" s="233" t="s">
        <v>30</v>
      </c>
      <c r="CB397" s="41" t="str">
        <f t="shared" si="130"/>
        <v>iDPN H220C</v>
      </c>
      <c r="CC397" s="214" t="s">
        <v>542</v>
      </c>
      <c r="CD397" s="214">
        <v>2</v>
      </c>
      <c r="CE397" s="214">
        <v>20</v>
      </c>
      <c r="CF397" s="214" t="s">
        <v>58</v>
      </c>
      <c r="CG397" s="201" t="s">
        <v>291</v>
      </c>
      <c r="DH397" s="22"/>
      <c r="DI397" s="22"/>
      <c r="DJ397" s="22"/>
      <c r="DK397" s="344"/>
      <c r="DL397" s="361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22"/>
      <c r="EG397" s="22"/>
      <c r="EH397" s="22"/>
      <c r="EI397" s="22"/>
      <c r="EJ397" s="22"/>
      <c r="EK397" s="22"/>
      <c r="EL397" s="22"/>
      <c r="EM397" s="22"/>
      <c r="EN397" s="344"/>
      <c r="EO397" s="344"/>
      <c r="EP397" s="22"/>
      <c r="EQ397" s="22"/>
      <c r="ER397" s="22"/>
      <c r="EU397" s="344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</row>
    <row r="398" spans="39:161" x14ac:dyDescent="0.2">
      <c r="AM398" s="43"/>
      <c r="BB398" s="9" t="s">
        <v>74</v>
      </c>
      <c r="BC398" s="11">
        <f>0.94*BC403</f>
        <v>211.5</v>
      </c>
      <c r="BD398" s="231">
        <v>1</v>
      </c>
      <c r="BE398" s="232" t="s">
        <v>853</v>
      </c>
      <c r="CB398" s="41" t="str">
        <f t="shared" si="130"/>
        <v>iDPN H220C</v>
      </c>
      <c r="CC398" s="214" t="s">
        <v>542</v>
      </c>
      <c r="CD398" s="214">
        <v>2</v>
      </c>
      <c r="CE398" s="214">
        <v>20</v>
      </c>
      <c r="CF398" s="214" t="s">
        <v>58</v>
      </c>
      <c r="CG398" s="201" t="s">
        <v>292</v>
      </c>
      <c r="DH398" s="22"/>
      <c r="DI398" s="22"/>
      <c r="DJ398" s="22"/>
      <c r="DK398" s="344"/>
      <c r="DL398" s="361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22"/>
      <c r="EG398" s="22"/>
      <c r="EH398" s="22"/>
      <c r="EI398" s="22"/>
      <c r="EJ398" s="22"/>
      <c r="EK398" s="22"/>
      <c r="EL398" s="22"/>
      <c r="EM398" s="22"/>
      <c r="EN398" s="344"/>
      <c r="EO398" s="344"/>
      <c r="EP398" s="22"/>
      <c r="EQ398" s="22"/>
      <c r="ER398" s="22"/>
      <c r="EU398" s="344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</row>
    <row r="399" spans="39:161" x14ac:dyDescent="0.2">
      <c r="AM399" s="43"/>
      <c r="BB399" s="9" t="s">
        <v>74</v>
      </c>
      <c r="BC399" s="11">
        <f>0.95*BC403</f>
        <v>213.75</v>
      </c>
      <c r="BD399" s="231">
        <v>1</v>
      </c>
      <c r="BE399" s="232" t="s">
        <v>854</v>
      </c>
      <c r="CB399" s="41" t="str">
        <f t="shared" si="130"/>
        <v>iDPN H220C</v>
      </c>
      <c r="CC399" s="214" t="s">
        <v>542</v>
      </c>
      <c r="CD399" s="214">
        <v>2</v>
      </c>
      <c r="CE399" s="214">
        <v>20</v>
      </c>
      <c r="CF399" s="214" t="s">
        <v>58</v>
      </c>
      <c r="CG399" s="201" t="s">
        <v>293</v>
      </c>
      <c r="DH399" s="22"/>
      <c r="DI399" s="22"/>
      <c r="DJ399" s="22"/>
      <c r="DK399" s="344"/>
      <c r="DL399" s="361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22"/>
      <c r="EG399" s="22"/>
      <c r="EH399" s="22"/>
      <c r="EI399" s="22"/>
      <c r="EJ399" s="22"/>
      <c r="EK399" s="22"/>
      <c r="EL399" s="22"/>
      <c r="EM399" s="22"/>
      <c r="EN399" s="344"/>
      <c r="EO399" s="344"/>
      <c r="EP399" s="22"/>
      <c r="EQ399" s="22"/>
      <c r="ER399" s="22"/>
      <c r="EU399" s="344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</row>
    <row r="400" spans="39:161" x14ac:dyDescent="0.2">
      <c r="AM400" s="43"/>
      <c r="BB400" s="9" t="s">
        <v>74</v>
      </c>
      <c r="BC400" s="11">
        <f>0.96*BC403</f>
        <v>216</v>
      </c>
      <c r="BD400" s="231">
        <v>1</v>
      </c>
      <c r="BE400" s="232" t="s">
        <v>855</v>
      </c>
      <c r="CB400" s="41" t="str">
        <f t="shared" si="130"/>
        <v>iDPN H225C</v>
      </c>
      <c r="CC400" s="214" t="s">
        <v>542</v>
      </c>
      <c r="CD400" s="214">
        <v>2</v>
      </c>
      <c r="CE400" s="214">
        <v>25</v>
      </c>
      <c r="CF400" s="214" t="s">
        <v>58</v>
      </c>
      <c r="CG400" s="201" t="s">
        <v>290</v>
      </c>
      <c r="DH400" s="22"/>
      <c r="DI400" s="22"/>
      <c r="DJ400" s="22"/>
      <c r="DK400" s="344"/>
      <c r="DL400" s="361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22"/>
      <c r="EG400" s="22"/>
      <c r="EH400" s="22"/>
      <c r="EI400" s="22"/>
      <c r="EJ400" s="22"/>
      <c r="EK400" s="22"/>
      <c r="EL400" s="22"/>
      <c r="EM400" s="22"/>
      <c r="EN400" s="344"/>
      <c r="EO400" s="344"/>
      <c r="EP400" s="22"/>
      <c r="EQ400" s="22"/>
      <c r="ER400" s="22"/>
      <c r="EU400" s="344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</row>
    <row r="401" spans="39:161" x14ac:dyDescent="0.2">
      <c r="AM401" s="43"/>
      <c r="BB401" s="9" t="s">
        <v>74</v>
      </c>
      <c r="BC401" s="11">
        <f>0.97*BC403</f>
        <v>218.25</v>
      </c>
      <c r="BD401" s="231">
        <v>1</v>
      </c>
      <c r="BE401" s="232" t="s">
        <v>856</v>
      </c>
      <c r="CB401" s="41" t="str">
        <f t="shared" si="130"/>
        <v>iDPN H225C</v>
      </c>
      <c r="CC401" s="214" t="s">
        <v>542</v>
      </c>
      <c r="CD401" s="214">
        <v>2</v>
      </c>
      <c r="CE401" s="214">
        <v>25</v>
      </c>
      <c r="CF401" s="214" t="s">
        <v>58</v>
      </c>
      <c r="CG401" s="201" t="s">
        <v>291</v>
      </c>
      <c r="DH401" s="22"/>
      <c r="DI401" s="22"/>
      <c r="DJ401" s="22"/>
      <c r="DK401" s="344"/>
      <c r="DL401" s="361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22"/>
      <c r="EG401" s="22"/>
      <c r="EH401" s="22"/>
      <c r="EI401" s="22"/>
      <c r="EJ401" s="22"/>
      <c r="EK401" s="22"/>
      <c r="EL401" s="22"/>
      <c r="EM401" s="22"/>
      <c r="EN401" s="344"/>
      <c r="EO401" s="344"/>
      <c r="EP401" s="22"/>
      <c r="EQ401" s="22"/>
      <c r="ER401" s="22"/>
      <c r="EU401" s="344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</row>
    <row r="402" spans="39:161" x14ac:dyDescent="0.2">
      <c r="AM402" s="43"/>
      <c r="BB402" s="9" t="s">
        <v>74</v>
      </c>
      <c r="BC402" s="11">
        <f>0.98*BC403</f>
        <v>220.5</v>
      </c>
      <c r="BD402" s="231">
        <v>1</v>
      </c>
      <c r="BE402" s="232" t="s">
        <v>353</v>
      </c>
      <c r="CB402" s="41" t="str">
        <f t="shared" si="130"/>
        <v>iDPN H225C</v>
      </c>
      <c r="CC402" s="214" t="s">
        <v>542</v>
      </c>
      <c r="CD402" s="214">
        <v>2</v>
      </c>
      <c r="CE402" s="214">
        <v>25</v>
      </c>
      <c r="CF402" s="214" t="s">
        <v>58</v>
      </c>
      <c r="CG402" s="201" t="s">
        <v>292</v>
      </c>
      <c r="DH402" s="22"/>
      <c r="DI402" s="22"/>
      <c r="DJ402" s="22"/>
      <c r="DK402" s="344"/>
      <c r="DL402" s="361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22"/>
      <c r="EG402" s="22"/>
      <c r="EH402" s="22"/>
      <c r="EI402" s="22"/>
      <c r="EJ402" s="22"/>
      <c r="EK402" s="22"/>
      <c r="EL402" s="22"/>
      <c r="EM402" s="22"/>
      <c r="EN402" s="344"/>
      <c r="EO402" s="344"/>
      <c r="EP402" s="22"/>
      <c r="EQ402" s="22"/>
      <c r="ER402" s="22"/>
      <c r="EU402" s="344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</row>
    <row r="403" spans="39:161" x14ac:dyDescent="0.2">
      <c r="AM403" s="43"/>
      <c r="BB403" s="9" t="s">
        <v>74</v>
      </c>
      <c r="BC403" s="11">
        <v>225</v>
      </c>
      <c r="BD403" s="231">
        <v>1</v>
      </c>
      <c r="BE403" s="232" t="s">
        <v>354</v>
      </c>
      <c r="CB403" s="41" t="str">
        <f t="shared" si="130"/>
        <v>iDPN H225C</v>
      </c>
      <c r="CC403" s="214" t="s">
        <v>542</v>
      </c>
      <c r="CD403" s="214">
        <v>2</v>
      </c>
      <c r="CE403" s="214">
        <v>25</v>
      </c>
      <c r="CF403" s="214" t="s">
        <v>58</v>
      </c>
      <c r="CG403" s="201" t="s">
        <v>293</v>
      </c>
      <c r="DH403" s="22"/>
      <c r="DI403" s="22"/>
      <c r="DJ403" s="22"/>
      <c r="DK403" s="344"/>
      <c r="DL403" s="361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22"/>
      <c r="EG403" s="22"/>
      <c r="EH403" s="22"/>
      <c r="EI403" s="22"/>
      <c r="EJ403" s="22"/>
      <c r="EK403" s="22"/>
      <c r="EL403" s="22"/>
      <c r="EM403" s="22"/>
      <c r="EN403" s="344"/>
      <c r="EO403" s="344"/>
      <c r="EP403" s="22"/>
      <c r="EQ403" s="22"/>
      <c r="ER403" s="22"/>
      <c r="EU403" s="344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</row>
    <row r="404" spans="39:161" x14ac:dyDescent="0.2">
      <c r="BB404" s="9" t="s">
        <v>74</v>
      </c>
      <c r="BC404" s="11">
        <f>0.92*BC411</f>
        <v>230</v>
      </c>
      <c r="BD404" s="231">
        <v>1</v>
      </c>
      <c r="BE404" s="232" t="s">
        <v>351</v>
      </c>
      <c r="CB404" s="41" t="str">
        <f t="shared" si="130"/>
        <v>iDPN H232C</v>
      </c>
      <c r="CC404" s="214" t="s">
        <v>542</v>
      </c>
      <c r="CD404" s="214">
        <v>2</v>
      </c>
      <c r="CE404" s="214">
        <v>32</v>
      </c>
      <c r="CF404" s="214" t="s">
        <v>58</v>
      </c>
      <c r="CG404" s="201" t="s">
        <v>290</v>
      </c>
      <c r="DH404" s="22"/>
      <c r="DI404" s="22"/>
      <c r="DJ404" s="22"/>
      <c r="DK404" s="344"/>
      <c r="DL404" s="361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22"/>
      <c r="EG404" s="22"/>
      <c r="EH404" s="22"/>
      <c r="EI404" s="22"/>
      <c r="EJ404" s="22"/>
      <c r="EK404" s="22"/>
      <c r="EL404" s="22"/>
      <c r="EM404" s="22"/>
      <c r="EN404" s="344"/>
      <c r="EO404" s="344"/>
      <c r="EP404" s="22"/>
      <c r="EQ404" s="22"/>
      <c r="ER404" s="22"/>
      <c r="EU404" s="344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</row>
    <row r="405" spans="39:161" x14ac:dyDescent="0.2">
      <c r="BB405" s="9" t="s">
        <v>74</v>
      </c>
      <c r="BC405" s="11">
        <f>0.93*BC411</f>
        <v>232.5</v>
      </c>
      <c r="BD405" s="231">
        <v>1</v>
      </c>
      <c r="BE405" s="232" t="s">
        <v>355</v>
      </c>
      <c r="CB405" s="41" t="str">
        <f t="shared" si="130"/>
        <v>iDPN H232C</v>
      </c>
      <c r="CC405" s="214" t="s">
        <v>542</v>
      </c>
      <c r="CD405" s="214">
        <v>2</v>
      </c>
      <c r="CE405" s="214">
        <v>32</v>
      </c>
      <c r="CF405" s="214" t="s">
        <v>58</v>
      </c>
      <c r="CG405" s="201" t="s">
        <v>291</v>
      </c>
      <c r="DH405" s="22"/>
      <c r="DI405" s="22"/>
      <c r="DJ405" s="22"/>
      <c r="DK405" s="344"/>
      <c r="DL405" s="361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22"/>
      <c r="EG405" s="22"/>
      <c r="EH405" s="22"/>
      <c r="EI405" s="22"/>
      <c r="EJ405" s="22"/>
      <c r="EK405" s="22"/>
      <c r="EL405" s="22"/>
      <c r="EM405" s="22"/>
      <c r="EN405" s="344"/>
      <c r="EO405" s="344"/>
      <c r="EP405" s="22"/>
      <c r="EQ405" s="22"/>
      <c r="ER405" s="22"/>
      <c r="EU405" s="344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</row>
    <row r="406" spans="39:161" x14ac:dyDescent="0.2">
      <c r="BB406" s="9" t="s">
        <v>74</v>
      </c>
      <c r="BC406" s="11">
        <f>0.94*BC411</f>
        <v>235</v>
      </c>
      <c r="BD406" s="231">
        <v>1</v>
      </c>
      <c r="BE406" s="232" t="s">
        <v>352</v>
      </c>
      <c r="CB406" s="41" t="str">
        <f t="shared" si="130"/>
        <v>iDPN H232C</v>
      </c>
      <c r="CC406" s="214" t="s">
        <v>542</v>
      </c>
      <c r="CD406" s="214">
        <v>2</v>
      </c>
      <c r="CE406" s="214">
        <v>32</v>
      </c>
      <c r="CF406" s="214" t="s">
        <v>58</v>
      </c>
      <c r="CG406" s="201" t="s">
        <v>292</v>
      </c>
      <c r="DH406" s="22"/>
      <c r="DI406" s="22"/>
      <c r="DJ406" s="22"/>
      <c r="DK406" s="344"/>
      <c r="DL406" s="361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22"/>
      <c r="EG406" s="22"/>
      <c r="EH406" s="22"/>
      <c r="EI406" s="22"/>
      <c r="EJ406" s="22"/>
      <c r="EK406" s="22"/>
      <c r="EL406" s="22"/>
      <c r="EM406" s="22"/>
      <c r="EN406" s="344"/>
      <c r="EO406" s="344"/>
      <c r="EP406" s="22"/>
      <c r="EQ406" s="22"/>
      <c r="ER406" s="22"/>
      <c r="EU406" s="344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</row>
    <row r="407" spans="39:161" x14ac:dyDescent="0.2">
      <c r="BB407" s="9" t="s">
        <v>74</v>
      </c>
      <c r="BC407" s="11">
        <f>0.95*BC411</f>
        <v>237.5</v>
      </c>
      <c r="BD407" s="231">
        <v>2</v>
      </c>
      <c r="BE407" s="233" t="s">
        <v>30</v>
      </c>
      <c r="CB407" s="41" t="str">
        <f t="shared" si="130"/>
        <v>iDPN H232C</v>
      </c>
      <c r="CC407" s="214" t="s">
        <v>542</v>
      </c>
      <c r="CD407" s="214">
        <v>2</v>
      </c>
      <c r="CE407" s="214">
        <v>32</v>
      </c>
      <c r="CF407" s="214" t="s">
        <v>58</v>
      </c>
      <c r="CG407" s="201" t="s">
        <v>293</v>
      </c>
      <c r="DH407" s="22"/>
      <c r="DI407" s="22"/>
      <c r="DJ407" s="22"/>
      <c r="DK407" s="344"/>
      <c r="DL407" s="361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22"/>
      <c r="EG407" s="22"/>
      <c r="EH407" s="22"/>
      <c r="EI407" s="22"/>
      <c r="EJ407" s="22"/>
      <c r="EK407" s="22"/>
      <c r="EL407" s="22"/>
      <c r="EM407" s="22"/>
      <c r="EN407" s="344"/>
      <c r="EO407" s="344"/>
      <c r="EP407" s="22"/>
      <c r="EQ407" s="22"/>
      <c r="ER407" s="22"/>
      <c r="EU407" s="344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</row>
    <row r="408" spans="39:161" x14ac:dyDescent="0.2">
      <c r="BB408" s="9" t="s">
        <v>74</v>
      </c>
      <c r="BC408" s="11">
        <f>0.96*BC411</f>
        <v>240</v>
      </c>
      <c r="BD408" s="231">
        <v>2</v>
      </c>
      <c r="BE408" s="232" t="s">
        <v>853</v>
      </c>
      <c r="DH408" s="22"/>
      <c r="DI408" s="22"/>
      <c r="DJ408" s="22"/>
      <c r="DK408" s="344"/>
      <c r="DL408" s="361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22"/>
      <c r="EG408" s="22"/>
      <c r="EH408" s="22"/>
      <c r="EI408" s="22"/>
      <c r="EJ408" s="22"/>
      <c r="EK408" s="22"/>
      <c r="EL408" s="22"/>
      <c r="EM408" s="22"/>
      <c r="EN408" s="344"/>
      <c r="EO408" s="344"/>
      <c r="EP408" s="22"/>
      <c r="EQ408" s="22"/>
      <c r="ER408" s="22"/>
      <c r="EU408" s="344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</row>
    <row r="409" spans="39:161" x14ac:dyDescent="0.2">
      <c r="BB409" s="9" t="s">
        <v>74</v>
      </c>
      <c r="BC409" s="11">
        <f>0.97*BC411</f>
        <v>242.5</v>
      </c>
      <c r="BD409" s="231">
        <v>2</v>
      </c>
      <c r="BE409" s="232" t="s">
        <v>854</v>
      </c>
      <c r="DH409" s="22"/>
      <c r="DI409" s="22"/>
      <c r="DJ409" s="22"/>
      <c r="DK409" s="344"/>
      <c r="DL409" s="361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22"/>
      <c r="EG409" s="22"/>
      <c r="EH409" s="22"/>
      <c r="EI409" s="22"/>
      <c r="EJ409" s="22"/>
      <c r="EK409" s="22"/>
      <c r="EL409" s="22"/>
      <c r="EM409" s="22"/>
      <c r="EN409" s="344"/>
      <c r="EO409" s="344"/>
      <c r="EP409" s="22"/>
      <c r="EQ409" s="22"/>
      <c r="ER409" s="22"/>
      <c r="EU409" s="344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</row>
    <row r="410" spans="39:161" x14ac:dyDescent="0.2">
      <c r="BB410" s="9" t="s">
        <v>74</v>
      </c>
      <c r="BC410" s="11">
        <f>0.98*BC411</f>
        <v>245</v>
      </c>
      <c r="BD410" s="231">
        <v>2</v>
      </c>
      <c r="BE410" s="232" t="s">
        <v>855</v>
      </c>
      <c r="DH410" s="22"/>
      <c r="DI410" s="22"/>
      <c r="DJ410" s="22"/>
      <c r="DK410" s="344"/>
      <c r="DL410" s="361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22"/>
      <c r="EG410" s="22"/>
      <c r="EH410" s="22"/>
      <c r="EI410" s="22"/>
      <c r="EJ410" s="22"/>
      <c r="EK410" s="22"/>
      <c r="EL410" s="22"/>
      <c r="EM410" s="22"/>
      <c r="EN410" s="344"/>
      <c r="EO410" s="344"/>
      <c r="EP410" s="22"/>
      <c r="EQ410" s="22"/>
      <c r="ER410" s="22"/>
      <c r="EU410" s="344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</row>
    <row r="411" spans="39:161" x14ac:dyDescent="0.2">
      <c r="BB411" s="9" t="s">
        <v>74</v>
      </c>
      <c r="BC411" s="11">
        <v>250</v>
      </c>
      <c r="BD411" s="231">
        <v>2</v>
      </c>
      <c r="BE411" s="232" t="s">
        <v>856</v>
      </c>
      <c r="DH411" s="22"/>
      <c r="DI411" s="22"/>
      <c r="DJ411" s="22"/>
      <c r="DK411" s="344"/>
      <c r="DL411" s="361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22"/>
      <c r="EG411" s="22"/>
      <c r="EH411" s="22"/>
      <c r="EI411" s="22"/>
      <c r="EJ411" s="22"/>
      <c r="EK411" s="22"/>
      <c r="EL411" s="22"/>
      <c r="EM411" s="22"/>
      <c r="EN411" s="344"/>
      <c r="EO411" s="344"/>
      <c r="EP411" s="22"/>
      <c r="EQ411" s="22"/>
      <c r="ER411" s="22"/>
      <c r="EU411" s="344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</row>
    <row r="412" spans="39:161" x14ac:dyDescent="0.2">
      <c r="BB412" s="9" t="s">
        <v>75</v>
      </c>
      <c r="BC412" s="11">
        <f>0.9*BC420</f>
        <v>144</v>
      </c>
      <c r="BD412" s="231">
        <v>2</v>
      </c>
      <c r="BE412" s="232" t="s">
        <v>353</v>
      </c>
      <c r="DH412" s="22"/>
      <c r="DI412" s="22"/>
      <c r="DJ412" s="22"/>
      <c r="DK412" s="344"/>
      <c r="DL412" s="361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22"/>
      <c r="EG412" s="22"/>
      <c r="EH412" s="22"/>
      <c r="EI412" s="22"/>
      <c r="EJ412" s="22"/>
      <c r="EK412" s="22"/>
      <c r="EL412" s="22"/>
      <c r="EM412" s="22"/>
      <c r="EN412" s="344"/>
      <c r="EO412" s="344"/>
      <c r="EP412" s="22"/>
      <c r="EQ412" s="22"/>
      <c r="ER412" s="22"/>
      <c r="EU412" s="344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</row>
    <row r="413" spans="39:161" x14ac:dyDescent="0.2">
      <c r="BB413" s="9" t="s">
        <v>75</v>
      </c>
      <c r="BC413" s="11">
        <f>0.92*BC420</f>
        <v>147.20000000000002</v>
      </c>
      <c r="BD413" s="231">
        <v>2</v>
      </c>
      <c r="BE413" s="232" t="s">
        <v>354</v>
      </c>
      <c r="DH413" s="22"/>
      <c r="DI413" s="22"/>
      <c r="DJ413" s="22"/>
      <c r="DK413" s="344"/>
      <c r="DL413" s="361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22"/>
      <c r="EG413" s="22"/>
      <c r="EH413" s="22"/>
      <c r="EI413" s="22"/>
      <c r="EJ413" s="22"/>
      <c r="EK413" s="22"/>
      <c r="EL413" s="22"/>
      <c r="EM413" s="22"/>
      <c r="EN413" s="344"/>
      <c r="EO413" s="344"/>
      <c r="EP413" s="22"/>
      <c r="EQ413" s="22"/>
      <c r="ER413" s="22"/>
      <c r="EU413" s="344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</row>
    <row r="414" spans="39:161" x14ac:dyDescent="0.2">
      <c r="BB414" s="9" t="s">
        <v>75</v>
      </c>
      <c r="BC414" s="11">
        <f>0.93*BC420</f>
        <v>148.80000000000001</v>
      </c>
      <c r="BD414" s="231">
        <v>2</v>
      </c>
      <c r="BE414" s="232" t="s">
        <v>351</v>
      </c>
      <c r="DH414" s="22"/>
      <c r="DI414" s="22"/>
      <c r="DJ414" s="22"/>
      <c r="DK414" s="344"/>
      <c r="DL414" s="361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22"/>
      <c r="EG414" s="22"/>
      <c r="EH414" s="22"/>
      <c r="EI414" s="22"/>
      <c r="EJ414" s="22"/>
      <c r="EK414" s="22"/>
      <c r="EL414" s="22"/>
      <c r="EM414" s="22"/>
      <c r="EN414" s="344"/>
      <c r="EO414" s="344"/>
      <c r="EP414" s="22"/>
      <c r="EQ414" s="22"/>
      <c r="ER414" s="22"/>
      <c r="EU414" s="344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</row>
    <row r="415" spans="39:161" x14ac:dyDescent="0.2">
      <c r="BB415" s="9" t="s">
        <v>75</v>
      </c>
      <c r="BC415" s="11">
        <f>0.94*BC420</f>
        <v>150.39999999999998</v>
      </c>
      <c r="BD415" s="231">
        <v>2</v>
      </c>
      <c r="BE415" s="232" t="s">
        <v>355</v>
      </c>
      <c r="DH415" s="22"/>
      <c r="DI415" s="22"/>
      <c r="DJ415" s="22"/>
      <c r="DK415" s="344"/>
      <c r="DL415" s="361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22"/>
      <c r="EG415" s="22"/>
      <c r="EH415" s="22"/>
      <c r="EI415" s="22"/>
      <c r="EJ415" s="22"/>
      <c r="EK415" s="22"/>
      <c r="EL415" s="22"/>
      <c r="EM415" s="22"/>
      <c r="EN415" s="344"/>
      <c r="EO415" s="344"/>
      <c r="EP415" s="22"/>
      <c r="EQ415" s="22"/>
      <c r="ER415" s="22"/>
      <c r="EU415" s="344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</row>
    <row r="416" spans="39:161" x14ac:dyDescent="0.2">
      <c r="BB416" s="9" t="s">
        <v>75</v>
      </c>
      <c r="BC416" s="11">
        <f>0.95*BC420</f>
        <v>152</v>
      </c>
      <c r="BD416" s="231">
        <v>2</v>
      </c>
      <c r="BE416" s="232" t="s">
        <v>352</v>
      </c>
      <c r="DH416" s="22"/>
      <c r="DI416" s="22"/>
      <c r="DJ416" s="22"/>
      <c r="DK416" s="344"/>
      <c r="DL416" s="361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22"/>
      <c r="EG416" s="22"/>
      <c r="EH416" s="22"/>
      <c r="EI416" s="22"/>
      <c r="EJ416" s="22"/>
      <c r="EK416" s="22"/>
      <c r="EL416" s="22"/>
      <c r="EM416" s="22"/>
      <c r="EN416" s="344"/>
      <c r="EO416" s="344"/>
      <c r="EP416" s="22"/>
      <c r="EQ416" s="22"/>
      <c r="ER416" s="22"/>
      <c r="EU416" s="344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</row>
    <row r="417" spans="54:168" x14ac:dyDescent="0.2">
      <c r="BB417" s="9" t="s">
        <v>75</v>
      </c>
      <c r="BC417" s="11">
        <f>0.96*BC420</f>
        <v>153.6</v>
      </c>
      <c r="BD417" s="231">
        <v>3</v>
      </c>
      <c r="BE417" s="233" t="s">
        <v>30</v>
      </c>
      <c r="DH417" s="22"/>
      <c r="DI417" s="22"/>
      <c r="DJ417" s="22"/>
      <c r="DK417" s="344"/>
      <c r="DL417" s="361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22"/>
      <c r="EG417" s="22"/>
      <c r="EH417" s="22"/>
      <c r="EI417" s="22"/>
      <c r="EJ417" s="22"/>
      <c r="EK417" s="22"/>
      <c r="EL417" s="22"/>
      <c r="EM417" s="22"/>
      <c r="EN417" s="344"/>
      <c r="EO417" s="344"/>
      <c r="EP417" s="22"/>
      <c r="EQ417" s="22"/>
      <c r="ER417" s="22"/>
      <c r="EU417" s="344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</row>
    <row r="418" spans="54:168" x14ac:dyDescent="0.2">
      <c r="BB418" s="9" t="s">
        <v>75</v>
      </c>
      <c r="BC418" s="11">
        <f>0.97*BC420</f>
        <v>155.19999999999999</v>
      </c>
      <c r="BD418" s="231">
        <v>3</v>
      </c>
      <c r="BE418" s="232" t="s">
        <v>853</v>
      </c>
      <c r="DH418" s="22"/>
      <c r="DI418" s="22"/>
      <c r="DJ418" s="22"/>
      <c r="DK418" s="344"/>
      <c r="DL418" s="361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22"/>
      <c r="EG418" s="22"/>
      <c r="EH418" s="22"/>
      <c r="EI418" s="22"/>
      <c r="EJ418" s="22"/>
      <c r="EK418" s="22"/>
      <c r="EL418" s="22"/>
      <c r="EM418" s="22"/>
      <c r="EN418" s="344"/>
      <c r="EO418" s="344"/>
      <c r="EP418" s="22"/>
      <c r="EQ418" s="22"/>
      <c r="ER418" s="22"/>
      <c r="EU418" s="344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</row>
    <row r="419" spans="54:168" x14ac:dyDescent="0.2">
      <c r="BB419" s="9" t="s">
        <v>75</v>
      </c>
      <c r="BC419" s="11">
        <f>0.98*BC420</f>
        <v>156.80000000000001</v>
      </c>
      <c r="BD419" s="231">
        <v>3</v>
      </c>
      <c r="BE419" s="232" t="s">
        <v>854</v>
      </c>
      <c r="DH419" s="22"/>
      <c r="DI419" s="22"/>
      <c r="DJ419" s="22"/>
      <c r="DK419" s="344"/>
      <c r="DL419" s="361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22"/>
      <c r="EG419" s="22"/>
      <c r="EH419" s="22"/>
      <c r="EI419" s="22"/>
      <c r="EJ419" s="22"/>
      <c r="EK419" s="22"/>
      <c r="EL419" s="22"/>
      <c r="EM419" s="22"/>
      <c r="EN419" s="344"/>
      <c r="EO419" s="344"/>
      <c r="EP419" s="22"/>
      <c r="EQ419" s="22"/>
      <c r="ER419" s="22"/>
      <c r="EU419" s="344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</row>
    <row r="420" spans="54:168" x14ac:dyDescent="0.2">
      <c r="BB420" s="9" t="s">
        <v>75</v>
      </c>
      <c r="BC420" s="11">
        <v>160</v>
      </c>
      <c r="BD420" s="231">
        <v>3</v>
      </c>
      <c r="BE420" s="232" t="s">
        <v>855</v>
      </c>
      <c r="DH420" s="22"/>
      <c r="DI420" s="22"/>
      <c r="DJ420" s="22"/>
      <c r="DK420" s="344"/>
      <c r="DL420" s="361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22"/>
      <c r="EG420" s="22"/>
      <c r="EH420" s="22"/>
      <c r="EI420" s="22"/>
      <c r="EJ420" s="22"/>
      <c r="EK420" s="22"/>
      <c r="EL420" s="22"/>
      <c r="EM420" s="22"/>
      <c r="EN420" s="344"/>
      <c r="EO420" s="344"/>
      <c r="EP420" s="22"/>
      <c r="EQ420" s="22"/>
      <c r="ER420" s="22"/>
      <c r="EU420" s="344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</row>
    <row r="421" spans="54:168" x14ac:dyDescent="0.2">
      <c r="BB421" s="9" t="s">
        <v>75</v>
      </c>
      <c r="BC421" s="11">
        <f>0.9*BC429</f>
        <v>162</v>
      </c>
      <c r="BD421" s="231">
        <v>3</v>
      </c>
      <c r="BE421" s="232" t="s">
        <v>856</v>
      </c>
      <c r="DH421" s="22"/>
      <c r="DI421" s="22"/>
      <c r="DJ421" s="22"/>
      <c r="DK421" s="344"/>
      <c r="DL421" s="361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22"/>
      <c r="EG421" s="22"/>
      <c r="EH421" s="22"/>
      <c r="EI421" s="22"/>
      <c r="EJ421" s="22"/>
      <c r="EK421" s="22"/>
      <c r="EL421" s="22"/>
      <c r="EM421" s="22"/>
      <c r="EN421" s="344"/>
      <c r="EO421" s="344"/>
      <c r="EP421" s="22"/>
      <c r="EQ421" s="22"/>
      <c r="ER421" s="22"/>
      <c r="EU421" s="344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9"/>
      <c r="FG421" s="9"/>
      <c r="FH421" s="9"/>
      <c r="FI421" s="9"/>
      <c r="FJ421" s="9"/>
      <c r="FK421" s="9"/>
      <c r="FL421" s="9"/>
    </row>
    <row r="422" spans="54:168" x14ac:dyDescent="0.2">
      <c r="BB422" s="9" t="s">
        <v>75</v>
      </c>
      <c r="BC422" s="11">
        <f>0.92*BC429</f>
        <v>165.6</v>
      </c>
      <c r="BD422" s="231">
        <v>3</v>
      </c>
      <c r="BE422" s="232" t="s">
        <v>353</v>
      </c>
      <c r="DH422" s="22"/>
      <c r="DI422" s="22"/>
      <c r="DJ422" s="22"/>
      <c r="DK422" s="344"/>
      <c r="DL422" s="361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22"/>
      <c r="EG422" s="22"/>
      <c r="EH422" s="22"/>
      <c r="EI422" s="22"/>
      <c r="EJ422" s="22"/>
      <c r="EK422" s="22"/>
      <c r="EL422" s="22"/>
      <c r="EM422" s="22"/>
      <c r="EN422" s="344"/>
      <c r="EO422" s="344"/>
      <c r="EP422" s="22"/>
      <c r="EQ422" s="22"/>
      <c r="ER422" s="22"/>
      <c r="EU422" s="344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9"/>
      <c r="FG422" s="9"/>
      <c r="FH422" s="9"/>
      <c r="FI422" s="9"/>
      <c r="FJ422" s="9"/>
      <c r="FK422" s="9"/>
      <c r="FL422" s="9"/>
    </row>
    <row r="423" spans="54:168" x14ac:dyDescent="0.2">
      <c r="BB423" s="9" t="s">
        <v>75</v>
      </c>
      <c r="BC423" s="11">
        <f>0.93*BC429</f>
        <v>167.4</v>
      </c>
      <c r="BD423" s="231">
        <v>3</v>
      </c>
      <c r="BE423" s="232" t="s">
        <v>354</v>
      </c>
      <c r="DH423" s="22"/>
      <c r="DI423" s="22"/>
      <c r="DJ423" s="22"/>
      <c r="DK423" s="344"/>
      <c r="DL423" s="361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22"/>
      <c r="EG423" s="22"/>
      <c r="EH423" s="22"/>
      <c r="EI423" s="22"/>
      <c r="EJ423" s="22"/>
      <c r="EK423" s="22"/>
      <c r="EL423" s="22"/>
      <c r="EM423" s="22"/>
      <c r="EN423" s="344"/>
      <c r="EO423" s="344"/>
      <c r="EP423" s="22"/>
      <c r="EQ423" s="22"/>
      <c r="ER423" s="22"/>
      <c r="EU423" s="344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9"/>
      <c r="FG423" s="9"/>
      <c r="FH423" s="9"/>
      <c r="FI423" s="9"/>
      <c r="FJ423" s="9"/>
      <c r="FK423" s="9"/>
      <c r="FL423" s="9"/>
    </row>
    <row r="424" spans="54:168" x14ac:dyDescent="0.2">
      <c r="BB424" s="9" t="s">
        <v>75</v>
      </c>
      <c r="BC424" s="11">
        <f>0.94*BC429</f>
        <v>169.2</v>
      </c>
      <c r="BD424" s="231">
        <v>3</v>
      </c>
      <c r="BE424" s="232" t="s">
        <v>351</v>
      </c>
      <c r="DH424" s="22"/>
      <c r="DI424" s="22"/>
      <c r="DJ424" s="22"/>
      <c r="DK424" s="344"/>
      <c r="DL424" s="361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22"/>
      <c r="EG424" s="22"/>
      <c r="EH424" s="22"/>
      <c r="EI424" s="22"/>
      <c r="EJ424" s="22"/>
      <c r="EK424" s="22"/>
      <c r="EL424" s="22"/>
      <c r="EM424" s="22"/>
      <c r="EN424" s="344"/>
      <c r="EO424" s="344"/>
      <c r="EP424" s="22"/>
      <c r="EQ424" s="22"/>
      <c r="ER424" s="22"/>
      <c r="EU424" s="344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9"/>
      <c r="FG424" s="9"/>
      <c r="FH424" s="9"/>
      <c r="FI424" s="9"/>
      <c r="FJ424" s="9"/>
      <c r="FK424" s="9"/>
      <c r="FL424" s="9"/>
    </row>
    <row r="425" spans="54:168" x14ac:dyDescent="0.2">
      <c r="BB425" s="9" t="s">
        <v>75</v>
      </c>
      <c r="BC425" s="11">
        <f>0.95*BC429</f>
        <v>171</v>
      </c>
      <c r="BD425" s="231">
        <v>3</v>
      </c>
      <c r="BE425" s="232" t="s">
        <v>355</v>
      </c>
      <c r="DH425" s="22"/>
      <c r="DI425" s="22"/>
      <c r="DJ425" s="22"/>
      <c r="DK425" s="344"/>
      <c r="DL425" s="361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22"/>
      <c r="EG425" s="22"/>
      <c r="EH425" s="22"/>
      <c r="EI425" s="22"/>
      <c r="EJ425" s="22"/>
      <c r="EK425" s="22"/>
      <c r="EL425" s="22"/>
      <c r="EM425" s="22"/>
      <c r="EN425" s="344"/>
      <c r="EO425" s="344"/>
      <c r="EP425" s="22"/>
      <c r="EQ425" s="22"/>
      <c r="ER425" s="22"/>
      <c r="EU425" s="344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9"/>
      <c r="FG425" s="9"/>
      <c r="FH425" s="9"/>
      <c r="FI425" s="9"/>
      <c r="FJ425" s="9"/>
      <c r="FK425" s="9"/>
      <c r="FL425" s="9"/>
    </row>
    <row r="426" spans="54:168" x14ac:dyDescent="0.2">
      <c r="BB426" s="9" t="s">
        <v>75</v>
      </c>
      <c r="BC426" s="11">
        <f>0.96*BC429</f>
        <v>172.79999999999998</v>
      </c>
      <c r="BD426" s="231">
        <v>3</v>
      </c>
      <c r="BE426" s="232" t="s">
        <v>352</v>
      </c>
      <c r="DH426" s="22"/>
      <c r="DI426" s="22"/>
      <c r="DJ426" s="22"/>
      <c r="DK426" s="344"/>
      <c r="DL426" s="361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22"/>
      <c r="EG426" s="22"/>
      <c r="EH426" s="22"/>
      <c r="EI426" s="22"/>
      <c r="EJ426" s="22"/>
      <c r="EK426" s="22"/>
      <c r="EL426" s="22"/>
      <c r="EM426" s="22"/>
      <c r="EN426" s="344"/>
      <c r="EO426" s="344"/>
      <c r="EP426" s="22"/>
      <c r="EQ426" s="22"/>
      <c r="ER426" s="22"/>
      <c r="EU426" s="344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9"/>
      <c r="FG426" s="9"/>
      <c r="FH426" s="9"/>
      <c r="FI426" s="9"/>
      <c r="FJ426" s="9"/>
      <c r="FK426" s="9"/>
      <c r="FL426" s="9"/>
    </row>
    <row r="427" spans="54:168" x14ac:dyDescent="0.2">
      <c r="BB427" s="9" t="s">
        <v>75</v>
      </c>
      <c r="BC427" s="11">
        <f>0.97*BC429</f>
        <v>174.6</v>
      </c>
      <c r="BD427" s="231">
        <v>4</v>
      </c>
      <c r="BE427" s="233" t="s">
        <v>30</v>
      </c>
      <c r="DH427" s="22"/>
      <c r="DI427" s="22"/>
      <c r="DJ427" s="22"/>
      <c r="DK427" s="344"/>
      <c r="DL427" s="361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22"/>
      <c r="EG427" s="22"/>
      <c r="EH427" s="22"/>
      <c r="EI427" s="22"/>
      <c r="EJ427" s="22"/>
      <c r="EK427" s="22"/>
      <c r="EL427" s="22"/>
      <c r="EM427" s="22"/>
      <c r="EN427" s="344"/>
      <c r="EO427" s="344"/>
      <c r="EP427" s="22"/>
      <c r="EQ427" s="22"/>
      <c r="ER427" s="22"/>
      <c r="EU427" s="344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9"/>
      <c r="FG427" s="9"/>
      <c r="FH427" s="9"/>
      <c r="FI427" s="9"/>
      <c r="FJ427" s="9"/>
      <c r="FK427" s="9"/>
      <c r="FL427" s="9"/>
    </row>
    <row r="428" spans="54:168" x14ac:dyDescent="0.2">
      <c r="BB428" s="9" t="s">
        <v>75</v>
      </c>
      <c r="BC428" s="11">
        <f>0.98*BC429</f>
        <v>176.4</v>
      </c>
      <c r="BD428" s="231">
        <v>4</v>
      </c>
      <c r="BE428" s="232" t="s">
        <v>853</v>
      </c>
      <c r="DH428" s="22"/>
      <c r="DI428" s="22"/>
      <c r="DJ428" s="22"/>
      <c r="DK428" s="344"/>
      <c r="DL428" s="361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22"/>
      <c r="EG428" s="22"/>
      <c r="EH428" s="22"/>
      <c r="EI428" s="22"/>
      <c r="EJ428" s="22"/>
      <c r="EK428" s="22"/>
      <c r="EL428" s="22"/>
      <c r="EM428" s="22"/>
      <c r="EN428" s="344"/>
      <c r="EO428" s="344"/>
      <c r="EP428" s="22"/>
      <c r="EQ428" s="22"/>
      <c r="ER428" s="22"/>
      <c r="EU428" s="344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9"/>
      <c r="FG428" s="9"/>
      <c r="FH428" s="9"/>
      <c r="FI428" s="9"/>
      <c r="FJ428" s="9"/>
      <c r="FK428" s="9"/>
      <c r="FL428" s="9"/>
    </row>
    <row r="429" spans="54:168" x14ac:dyDescent="0.2">
      <c r="BB429" s="9" t="s">
        <v>75</v>
      </c>
      <c r="BC429" s="11">
        <v>180</v>
      </c>
      <c r="BD429" s="231">
        <v>4</v>
      </c>
      <c r="BE429" s="232" t="s">
        <v>854</v>
      </c>
      <c r="DH429" s="22"/>
      <c r="DI429" s="22"/>
      <c r="DJ429" s="22"/>
      <c r="DK429" s="344"/>
      <c r="DL429" s="361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22"/>
      <c r="EG429" s="22"/>
      <c r="EH429" s="22"/>
      <c r="EI429" s="22"/>
      <c r="EJ429" s="22"/>
      <c r="EK429" s="22"/>
      <c r="EL429" s="22"/>
      <c r="EM429" s="22"/>
      <c r="EN429" s="344"/>
      <c r="EO429" s="344"/>
      <c r="EP429" s="22"/>
      <c r="EQ429" s="22"/>
      <c r="ER429" s="22"/>
      <c r="EU429" s="344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9"/>
      <c r="FG429" s="9"/>
      <c r="FH429" s="9"/>
      <c r="FI429" s="9"/>
      <c r="FJ429" s="9"/>
      <c r="FK429" s="9"/>
      <c r="FL429" s="9"/>
    </row>
    <row r="430" spans="54:168" x14ac:dyDescent="0.2">
      <c r="BB430" s="9" t="s">
        <v>75</v>
      </c>
      <c r="BC430" s="11">
        <f>0.92*BC437</f>
        <v>184</v>
      </c>
      <c r="BD430" s="231">
        <v>4</v>
      </c>
      <c r="BE430" s="232" t="s">
        <v>855</v>
      </c>
      <c r="DH430" s="22"/>
      <c r="DI430" s="22"/>
      <c r="DJ430" s="22"/>
      <c r="DK430" s="344"/>
      <c r="DL430" s="361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22"/>
      <c r="EG430" s="22"/>
      <c r="EH430" s="22"/>
      <c r="EI430" s="22"/>
      <c r="EJ430" s="22"/>
      <c r="EK430" s="22"/>
      <c r="EL430" s="22"/>
      <c r="EM430" s="22"/>
      <c r="EN430" s="344"/>
      <c r="EO430" s="344"/>
      <c r="EP430" s="22"/>
      <c r="EQ430" s="22"/>
      <c r="ER430" s="22"/>
      <c r="EU430" s="344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9"/>
      <c r="FG430" s="9"/>
      <c r="FH430" s="9"/>
      <c r="FI430" s="9"/>
      <c r="FJ430" s="9"/>
      <c r="FK430" s="9"/>
      <c r="FL430" s="9"/>
    </row>
    <row r="431" spans="54:168" x14ac:dyDescent="0.2">
      <c r="BB431" s="9" t="s">
        <v>75</v>
      </c>
      <c r="BC431" s="11">
        <f>0.93*BC437</f>
        <v>186</v>
      </c>
      <c r="BD431" s="231">
        <v>4</v>
      </c>
      <c r="BE431" s="232" t="s">
        <v>856</v>
      </c>
      <c r="DH431" s="22"/>
      <c r="DI431" s="22"/>
      <c r="DJ431" s="22"/>
      <c r="DK431" s="344"/>
      <c r="DL431" s="361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22"/>
      <c r="EG431" s="22"/>
      <c r="EH431" s="22"/>
      <c r="EI431" s="22"/>
      <c r="EJ431" s="22"/>
      <c r="EK431" s="22"/>
      <c r="EL431" s="22"/>
      <c r="EM431" s="22"/>
      <c r="EN431" s="344"/>
      <c r="EO431" s="344"/>
      <c r="EP431" s="22"/>
      <c r="EQ431" s="22"/>
      <c r="ER431" s="22"/>
      <c r="EU431" s="344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9"/>
      <c r="FG431" s="9"/>
      <c r="FH431" s="9"/>
      <c r="FI431" s="9"/>
      <c r="FJ431" s="9"/>
      <c r="FK431" s="9"/>
      <c r="FL431" s="9"/>
    </row>
    <row r="432" spans="54:168" x14ac:dyDescent="0.2">
      <c r="BB432" s="9" t="s">
        <v>75</v>
      </c>
      <c r="BC432" s="11">
        <f>0.94*BC437</f>
        <v>188</v>
      </c>
      <c r="BD432" s="231">
        <v>4</v>
      </c>
      <c r="BE432" s="232" t="s">
        <v>353</v>
      </c>
      <c r="DH432" s="22"/>
      <c r="DI432" s="22"/>
      <c r="DJ432" s="22"/>
      <c r="DK432" s="344"/>
      <c r="DL432" s="361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22"/>
      <c r="EG432" s="22"/>
      <c r="EH432" s="22"/>
      <c r="EI432" s="22"/>
      <c r="EJ432" s="22"/>
      <c r="EK432" s="22"/>
      <c r="EL432" s="22"/>
      <c r="EM432" s="22"/>
      <c r="EN432" s="344"/>
      <c r="EO432" s="344"/>
      <c r="EP432" s="22"/>
      <c r="EQ432" s="22"/>
      <c r="ER432" s="22"/>
      <c r="EU432" s="344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9"/>
      <c r="FG432" s="9"/>
      <c r="FH432" s="9"/>
      <c r="FI432" s="9"/>
      <c r="FJ432" s="9"/>
      <c r="FK432" s="9"/>
      <c r="FL432" s="9"/>
    </row>
    <row r="433" spans="54:168" x14ac:dyDescent="0.2">
      <c r="BB433" s="9" t="s">
        <v>75</v>
      </c>
      <c r="BC433" s="11">
        <f>0.95*BC437</f>
        <v>190</v>
      </c>
      <c r="BD433" s="231">
        <v>4</v>
      </c>
      <c r="BE433" s="232" t="s">
        <v>354</v>
      </c>
      <c r="DH433" s="22"/>
      <c r="DI433" s="22"/>
      <c r="DJ433" s="22"/>
      <c r="DK433" s="344"/>
      <c r="DL433" s="361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22"/>
      <c r="EG433" s="22"/>
      <c r="EH433" s="22"/>
      <c r="EI433" s="22"/>
      <c r="EJ433" s="22"/>
      <c r="EK433" s="22"/>
      <c r="EL433" s="22"/>
      <c r="EM433" s="22"/>
      <c r="EN433" s="344"/>
      <c r="EO433" s="344"/>
      <c r="EP433" s="22"/>
      <c r="EQ433" s="22"/>
      <c r="ER433" s="22"/>
      <c r="EU433" s="344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9"/>
      <c r="FG433" s="9"/>
      <c r="FH433" s="9"/>
      <c r="FI433" s="9"/>
      <c r="FJ433" s="9"/>
      <c r="FK433" s="9"/>
      <c r="FL433" s="9"/>
    </row>
    <row r="434" spans="54:168" x14ac:dyDescent="0.2">
      <c r="BB434" s="9" t="s">
        <v>75</v>
      </c>
      <c r="BC434" s="11">
        <f>0.96*BC437</f>
        <v>192</v>
      </c>
      <c r="BD434" s="231">
        <v>4</v>
      </c>
      <c r="BE434" s="232" t="s">
        <v>351</v>
      </c>
      <c r="DH434" s="22"/>
      <c r="DI434" s="22"/>
      <c r="DJ434" s="22"/>
      <c r="DK434" s="344"/>
      <c r="DL434" s="361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22"/>
      <c r="EG434" s="22"/>
      <c r="EH434" s="22"/>
      <c r="EI434" s="22"/>
      <c r="EJ434" s="22"/>
      <c r="EK434" s="22"/>
      <c r="EL434" s="22"/>
      <c r="EM434" s="22"/>
      <c r="EN434" s="344"/>
      <c r="EO434" s="344"/>
      <c r="EP434" s="22"/>
      <c r="EQ434" s="22"/>
      <c r="ER434" s="22"/>
      <c r="EU434" s="344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9"/>
      <c r="FG434" s="9"/>
      <c r="FH434" s="9"/>
      <c r="FI434" s="9"/>
      <c r="FJ434" s="9"/>
      <c r="FK434" s="9"/>
      <c r="FL434" s="9"/>
    </row>
    <row r="435" spans="54:168" x14ac:dyDescent="0.2">
      <c r="BB435" s="9" t="s">
        <v>75</v>
      </c>
      <c r="BC435" s="11">
        <f>0.97*BC437</f>
        <v>194</v>
      </c>
      <c r="BD435" s="231">
        <v>4</v>
      </c>
      <c r="BE435" s="232" t="s">
        <v>355</v>
      </c>
      <c r="DH435" s="22"/>
      <c r="DI435" s="22"/>
      <c r="DJ435" s="22"/>
      <c r="DK435" s="344"/>
      <c r="DL435" s="361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22"/>
      <c r="EG435" s="22"/>
      <c r="EH435" s="22"/>
      <c r="EI435" s="22"/>
      <c r="EJ435" s="22"/>
      <c r="EK435" s="22"/>
      <c r="EL435" s="22"/>
      <c r="EM435" s="22"/>
      <c r="EN435" s="344"/>
      <c r="EO435" s="344"/>
      <c r="EP435" s="22"/>
      <c r="EQ435" s="22"/>
      <c r="ER435" s="22"/>
      <c r="EU435" s="344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9"/>
      <c r="FG435" s="9"/>
      <c r="FH435" s="9"/>
      <c r="FI435" s="9"/>
      <c r="FJ435" s="9"/>
      <c r="FK435" s="9"/>
      <c r="FL435" s="9"/>
    </row>
    <row r="436" spans="54:168" x14ac:dyDescent="0.2">
      <c r="BB436" s="9" t="s">
        <v>75</v>
      </c>
      <c r="BC436" s="11">
        <f>0.98*BC437</f>
        <v>196</v>
      </c>
      <c r="BD436" s="231">
        <v>4</v>
      </c>
      <c r="BE436" s="232" t="s">
        <v>352</v>
      </c>
      <c r="DH436" s="22"/>
      <c r="DI436" s="22"/>
      <c r="DJ436" s="22"/>
      <c r="DK436" s="344"/>
      <c r="DL436" s="361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22"/>
      <c r="EG436" s="22"/>
      <c r="EH436" s="22"/>
      <c r="EI436" s="22"/>
      <c r="EJ436" s="22"/>
      <c r="EK436" s="22"/>
      <c r="EL436" s="22"/>
      <c r="EM436" s="22"/>
      <c r="EN436" s="344"/>
      <c r="EO436" s="344"/>
      <c r="EP436" s="22"/>
      <c r="EQ436" s="22"/>
      <c r="ER436" s="22"/>
      <c r="EU436" s="344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9"/>
      <c r="FG436" s="9"/>
      <c r="FH436" s="9"/>
      <c r="FI436" s="9"/>
      <c r="FJ436" s="9"/>
      <c r="FK436" s="9"/>
      <c r="FL436" s="9"/>
    </row>
    <row r="437" spans="54:168" x14ac:dyDescent="0.2">
      <c r="BB437" s="9" t="s">
        <v>75</v>
      </c>
      <c r="BC437" s="11">
        <v>200</v>
      </c>
      <c r="BD437" s="231">
        <v>5</v>
      </c>
      <c r="BE437" s="233" t="s">
        <v>30</v>
      </c>
      <c r="DH437" s="22"/>
      <c r="DI437" s="22"/>
      <c r="DJ437" s="22"/>
      <c r="DK437" s="344"/>
      <c r="DL437" s="361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22"/>
      <c r="EG437" s="22"/>
      <c r="EH437" s="22"/>
      <c r="EI437" s="22"/>
      <c r="EJ437" s="22"/>
      <c r="EK437" s="22"/>
      <c r="EL437" s="22"/>
      <c r="EM437" s="22"/>
      <c r="EN437" s="344"/>
      <c r="EO437" s="344"/>
      <c r="EP437" s="22"/>
      <c r="EQ437" s="22"/>
      <c r="ER437" s="22"/>
      <c r="EU437" s="344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9"/>
      <c r="FG437" s="9"/>
      <c r="FH437" s="9"/>
      <c r="FI437" s="9"/>
      <c r="FJ437" s="9"/>
      <c r="FK437" s="9"/>
      <c r="FL437" s="9"/>
    </row>
    <row r="438" spans="54:168" x14ac:dyDescent="0.2">
      <c r="BB438" s="9" t="s">
        <v>75</v>
      </c>
      <c r="BC438" s="11">
        <f>0.9*BC446</f>
        <v>207</v>
      </c>
      <c r="BD438" s="231">
        <v>5</v>
      </c>
      <c r="BE438" s="232" t="s">
        <v>853</v>
      </c>
      <c r="DH438" s="22"/>
      <c r="DI438" s="22"/>
      <c r="DJ438" s="22"/>
      <c r="DK438" s="344"/>
      <c r="DL438" s="361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22"/>
      <c r="EG438" s="22"/>
      <c r="EH438" s="22"/>
      <c r="EI438" s="22"/>
      <c r="EJ438" s="22"/>
      <c r="EK438" s="22"/>
      <c r="EL438" s="22"/>
      <c r="EM438" s="22"/>
      <c r="EN438" s="344"/>
      <c r="EO438" s="344"/>
      <c r="EP438" s="22"/>
      <c r="EQ438" s="22"/>
      <c r="ER438" s="22"/>
      <c r="EU438" s="344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9"/>
      <c r="FG438" s="9"/>
      <c r="FH438" s="9"/>
      <c r="FI438" s="9"/>
      <c r="FJ438" s="9"/>
      <c r="FK438" s="9"/>
      <c r="FL438" s="9"/>
    </row>
    <row r="439" spans="54:168" x14ac:dyDescent="0.2">
      <c r="BB439" s="9" t="s">
        <v>75</v>
      </c>
      <c r="BC439" s="11">
        <f>0.92*BC446</f>
        <v>211.60000000000002</v>
      </c>
      <c r="BD439" s="231">
        <v>5</v>
      </c>
      <c r="BE439" s="232" t="s">
        <v>854</v>
      </c>
      <c r="DH439" s="22"/>
      <c r="DI439" s="22"/>
      <c r="DJ439" s="22"/>
      <c r="DK439" s="344"/>
      <c r="DL439" s="361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22"/>
      <c r="EG439" s="22"/>
      <c r="EH439" s="22"/>
      <c r="EI439" s="22"/>
      <c r="EJ439" s="22"/>
      <c r="EK439" s="22"/>
      <c r="EL439" s="22"/>
      <c r="EM439" s="22"/>
      <c r="EN439" s="344"/>
      <c r="EO439" s="344"/>
      <c r="EP439" s="22"/>
      <c r="EQ439" s="22"/>
      <c r="ER439" s="22"/>
      <c r="EU439" s="344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9"/>
      <c r="FG439" s="9"/>
      <c r="FH439" s="9"/>
      <c r="FI439" s="9"/>
      <c r="FJ439" s="9"/>
      <c r="FK439" s="9"/>
      <c r="FL439" s="9"/>
    </row>
    <row r="440" spans="54:168" x14ac:dyDescent="0.2">
      <c r="BB440" s="9" t="s">
        <v>75</v>
      </c>
      <c r="BC440" s="11">
        <f>0.93*BC446</f>
        <v>213.9</v>
      </c>
      <c r="BD440" s="231">
        <v>5</v>
      </c>
      <c r="BE440" s="232" t="s">
        <v>855</v>
      </c>
      <c r="DH440" s="22"/>
      <c r="DI440" s="22"/>
      <c r="DJ440" s="22"/>
      <c r="DK440" s="344"/>
      <c r="DL440" s="361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22"/>
      <c r="EG440" s="22"/>
      <c r="EH440" s="22"/>
      <c r="EI440" s="22"/>
      <c r="EJ440" s="22"/>
      <c r="EK440" s="22"/>
      <c r="EL440" s="22"/>
      <c r="EM440" s="22"/>
      <c r="EN440" s="344"/>
      <c r="EO440" s="344"/>
      <c r="EP440" s="22"/>
      <c r="EQ440" s="22"/>
      <c r="ER440" s="22"/>
      <c r="EU440" s="344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9"/>
      <c r="FG440" s="9"/>
      <c r="FH440" s="9"/>
      <c r="FI440" s="9"/>
      <c r="FJ440" s="9"/>
      <c r="FK440" s="9"/>
      <c r="FL440" s="9"/>
    </row>
    <row r="441" spans="54:168" x14ac:dyDescent="0.2">
      <c r="BB441" s="9" t="s">
        <v>75</v>
      </c>
      <c r="BC441" s="11">
        <f>0.94*BC446</f>
        <v>216.2</v>
      </c>
      <c r="BD441" s="231">
        <v>5</v>
      </c>
      <c r="BE441" s="232" t="s">
        <v>856</v>
      </c>
      <c r="DH441" s="22"/>
      <c r="DI441" s="22"/>
      <c r="DJ441" s="22"/>
      <c r="DK441" s="344"/>
      <c r="DL441" s="361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22"/>
      <c r="EG441" s="22"/>
      <c r="EH441" s="22"/>
      <c r="EI441" s="22"/>
      <c r="EJ441" s="22"/>
      <c r="EK441" s="22"/>
      <c r="EL441" s="22"/>
      <c r="EM441" s="22"/>
      <c r="EN441" s="344"/>
      <c r="EO441" s="344"/>
      <c r="EP441" s="22"/>
      <c r="EQ441" s="22"/>
      <c r="ER441" s="22"/>
      <c r="EU441" s="344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9"/>
      <c r="FG441" s="9"/>
      <c r="FH441" s="9"/>
      <c r="FI441" s="9"/>
      <c r="FJ441" s="9"/>
      <c r="FK441" s="9"/>
      <c r="FL441" s="9"/>
    </row>
    <row r="442" spans="54:168" x14ac:dyDescent="0.2">
      <c r="BB442" s="9" t="s">
        <v>75</v>
      </c>
      <c r="BC442" s="11">
        <f>0.95*BC446</f>
        <v>218.5</v>
      </c>
      <c r="BD442" s="231">
        <v>5</v>
      </c>
      <c r="BE442" s="232" t="s">
        <v>353</v>
      </c>
      <c r="DH442" s="22"/>
      <c r="DI442" s="22"/>
      <c r="DJ442" s="22"/>
      <c r="DK442" s="344"/>
      <c r="DL442" s="361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22"/>
      <c r="EG442" s="22"/>
      <c r="EH442" s="22"/>
      <c r="EI442" s="22"/>
      <c r="EJ442" s="22"/>
      <c r="EK442" s="22"/>
      <c r="EL442" s="22"/>
      <c r="EM442" s="22"/>
      <c r="EN442" s="344"/>
      <c r="EO442" s="344"/>
      <c r="EP442" s="22"/>
      <c r="EQ442" s="22"/>
      <c r="ER442" s="22"/>
      <c r="EU442" s="344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9"/>
      <c r="FG442" s="9"/>
      <c r="FH442" s="9"/>
      <c r="FI442" s="9"/>
      <c r="FJ442" s="9"/>
      <c r="FK442" s="9"/>
      <c r="FL442" s="9"/>
    </row>
    <row r="443" spans="54:168" x14ac:dyDescent="0.2">
      <c r="BB443" s="9" t="s">
        <v>75</v>
      </c>
      <c r="BC443" s="11">
        <f>0.96*BC446</f>
        <v>220.79999999999998</v>
      </c>
      <c r="BD443" s="231">
        <v>5</v>
      </c>
      <c r="BE443" s="232" t="s">
        <v>354</v>
      </c>
      <c r="DH443" s="22"/>
      <c r="DI443" s="22"/>
      <c r="DJ443" s="22"/>
      <c r="DK443" s="344"/>
      <c r="DL443" s="361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22"/>
      <c r="EG443" s="22"/>
      <c r="EH443" s="22"/>
      <c r="EI443" s="22"/>
      <c r="EJ443" s="22"/>
      <c r="EK443" s="22"/>
      <c r="EL443" s="22"/>
      <c r="EM443" s="22"/>
      <c r="EN443" s="344"/>
      <c r="EO443" s="344"/>
      <c r="EP443" s="22"/>
      <c r="EQ443" s="22"/>
      <c r="ER443" s="22"/>
      <c r="EU443" s="344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9"/>
      <c r="FG443" s="9"/>
      <c r="FH443" s="9"/>
      <c r="FI443" s="9"/>
      <c r="FJ443" s="9"/>
      <c r="FK443" s="9"/>
      <c r="FL443" s="9"/>
    </row>
    <row r="444" spans="54:168" x14ac:dyDescent="0.2">
      <c r="BB444" s="9" t="s">
        <v>75</v>
      </c>
      <c r="BC444" s="11">
        <f>0.97*BC446</f>
        <v>223.1</v>
      </c>
      <c r="BD444" s="231">
        <v>5</v>
      </c>
      <c r="BE444" s="232" t="s">
        <v>351</v>
      </c>
      <c r="DH444" s="22"/>
      <c r="DI444" s="22"/>
      <c r="DJ444" s="22"/>
      <c r="DK444" s="344"/>
      <c r="DL444" s="361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22"/>
      <c r="EG444" s="22"/>
      <c r="EH444" s="22"/>
      <c r="EI444" s="22"/>
      <c r="EJ444" s="22"/>
      <c r="EK444" s="22"/>
      <c r="EL444" s="22"/>
      <c r="EM444" s="22"/>
      <c r="EN444" s="344"/>
      <c r="EO444" s="344"/>
      <c r="EP444" s="22"/>
      <c r="EQ444" s="22"/>
      <c r="ER444" s="22"/>
      <c r="EU444" s="344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9"/>
      <c r="FG444" s="9"/>
      <c r="FH444" s="9"/>
      <c r="FI444" s="9"/>
      <c r="FJ444" s="9"/>
      <c r="FK444" s="9"/>
      <c r="FL444" s="9"/>
    </row>
    <row r="445" spans="54:168" x14ac:dyDescent="0.2">
      <c r="BB445" s="9" t="s">
        <v>75</v>
      </c>
      <c r="BC445" s="11">
        <f>0.98*BC446</f>
        <v>225.4</v>
      </c>
      <c r="BD445" s="231">
        <v>5</v>
      </c>
      <c r="BE445" s="232" t="s">
        <v>355</v>
      </c>
      <c r="DH445" s="22"/>
      <c r="DI445" s="22"/>
      <c r="DJ445" s="22"/>
      <c r="DK445" s="344"/>
      <c r="DL445" s="361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22"/>
      <c r="EG445" s="22"/>
      <c r="EH445" s="22"/>
      <c r="EI445" s="22"/>
      <c r="EJ445" s="22"/>
      <c r="EK445" s="22"/>
      <c r="EL445" s="22"/>
      <c r="EM445" s="22"/>
      <c r="EN445" s="344"/>
      <c r="EO445" s="344"/>
      <c r="EP445" s="22"/>
      <c r="EQ445" s="22"/>
      <c r="ER445" s="22"/>
      <c r="EU445" s="344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9"/>
      <c r="FG445" s="9"/>
      <c r="FH445" s="9"/>
      <c r="FI445" s="9"/>
      <c r="FJ445" s="9"/>
      <c r="FK445" s="9"/>
      <c r="FL445" s="9"/>
    </row>
    <row r="446" spans="54:168" x14ac:dyDescent="0.2">
      <c r="BB446" s="9" t="s">
        <v>75</v>
      </c>
      <c r="BC446" s="11">
        <v>230</v>
      </c>
      <c r="BD446" s="231">
        <v>5</v>
      </c>
      <c r="BE446" s="232" t="s">
        <v>352</v>
      </c>
      <c r="DH446" s="22"/>
      <c r="DI446" s="22"/>
      <c r="DJ446" s="22"/>
      <c r="DK446" s="344"/>
      <c r="DL446" s="361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22"/>
      <c r="EG446" s="22"/>
      <c r="EH446" s="22"/>
      <c r="EI446" s="22"/>
      <c r="EJ446" s="22"/>
      <c r="EK446" s="22"/>
      <c r="EL446" s="22"/>
      <c r="EM446" s="22"/>
      <c r="EN446" s="344"/>
      <c r="EO446" s="344"/>
      <c r="EP446" s="22"/>
      <c r="EQ446" s="22"/>
      <c r="ER446" s="22"/>
      <c r="EU446" s="344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9"/>
      <c r="FG446" s="9"/>
      <c r="FH446" s="9"/>
      <c r="FI446" s="9"/>
      <c r="FJ446" s="9"/>
      <c r="FK446" s="9"/>
      <c r="FL446" s="9"/>
    </row>
    <row r="447" spans="54:168" x14ac:dyDescent="0.2">
      <c r="BB447" s="9" t="s">
        <v>75</v>
      </c>
      <c r="BC447" s="11">
        <f>0.9*BC455</f>
        <v>225</v>
      </c>
      <c r="BD447" s="231">
        <v>6</v>
      </c>
      <c r="BE447" s="233" t="s">
        <v>30</v>
      </c>
      <c r="DH447" s="22"/>
      <c r="DI447" s="22"/>
      <c r="DJ447" s="22"/>
      <c r="DK447" s="344"/>
      <c r="DL447" s="361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22"/>
      <c r="EG447" s="22"/>
      <c r="EH447" s="22"/>
      <c r="EI447" s="22"/>
      <c r="EJ447" s="22"/>
      <c r="EK447" s="22"/>
      <c r="EL447" s="22"/>
      <c r="EM447" s="22"/>
      <c r="EN447" s="344"/>
      <c r="EO447" s="344"/>
      <c r="EP447" s="22"/>
      <c r="EQ447" s="22"/>
      <c r="ER447" s="22"/>
      <c r="EU447" s="344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9"/>
      <c r="FG447" s="9"/>
      <c r="FH447" s="9"/>
      <c r="FI447" s="9"/>
      <c r="FJ447" s="9"/>
      <c r="FK447" s="9"/>
      <c r="FL447" s="9"/>
    </row>
    <row r="448" spans="54:168" x14ac:dyDescent="0.2">
      <c r="BB448" s="9" t="s">
        <v>75</v>
      </c>
      <c r="BC448" s="11">
        <f>0.92*BC455</f>
        <v>230</v>
      </c>
      <c r="BD448" s="231">
        <v>6</v>
      </c>
      <c r="BE448" s="232" t="s">
        <v>853</v>
      </c>
      <c r="DH448" s="22"/>
      <c r="DI448" s="22"/>
      <c r="DJ448" s="22"/>
      <c r="DK448" s="344"/>
      <c r="DL448" s="361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22"/>
      <c r="EG448" s="22"/>
      <c r="EH448" s="22"/>
      <c r="EI448" s="22"/>
      <c r="EJ448" s="22"/>
      <c r="EK448" s="22"/>
      <c r="EL448" s="22"/>
      <c r="EM448" s="22"/>
      <c r="EN448" s="344"/>
      <c r="EO448" s="344"/>
      <c r="EP448" s="22"/>
      <c r="EQ448" s="22"/>
      <c r="ER448" s="22"/>
      <c r="EU448" s="344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9"/>
      <c r="FG448" s="9"/>
      <c r="FH448" s="9"/>
      <c r="FI448" s="9"/>
      <c r="FJ448" s="9"/>
      <c r="FK448" s="9"/>
      <c r="FL448" s="9"/>
    </row>
    <row r="449" spans="54:168" x14ac:dyDescent="0.2">
      <c r="BB449" s="9" t="s">
        <v>75</v>
      </c>
      <c r="BC449" s="11">
        <f>0.93*BC455</f>
        <v>232.5</v>
      </c>
      <c r="BD449" s="231">
        <v>6</v>
      </c>
      <c r="BE449" s="232" t="s">
        <v>854</v>
      </c>
      <c r="DH449" s="22"/>
      <c r="DI449" s="22"/>
      <c r="DJ449" s="22"/>
      <c r="DK449" s="344"/>
      <c r="DL449" s="361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22"/>
      <c r="EG449" s="22"/>
      <c r="EH449" s="22"/>
      <c r="EI449" s="22"/>
      <c r="EJ449" s="22"/>
      <c r="EK449" s="22"/>
      <c r="EL449" s="22"/>
      <c r="EM449" s="22"/>
      <c r="EN449" s="344"/>
      <c r="EO449" s="344"/>
      <c r="EP449" s="22"/>
      <c r="EQ449" s="22"/>
      <c r="ER449" s="22"/>
      <c r="EU449" s="344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9"/>
      <c r="FG449" s="9"/>
      <c r="FH449" s="9"/>
      <c r="FI449" s="9"/>
      <c r="FJ449" s="9"/>
      <c r="FK449" s="9"/>
      <c r="FL449" s="9"/>
    </row>
    <row r="450" spans="54:168" x14ac:dyDescent="0.2">
      <c r="BB450" s="9" t="s">
        <v>75</v>
      </c>
      <c r="BC450" s="11">
        <f>0.94*BC455</f>
        <v>235</v>
      </c>
      <c r="BD450" s="231">
        <v>6</v>
      </c>
      <c r="BE450" s="232" t="s">
        <v>855</v>
      </c>
      <c r="DH450" s="22"/>
      <c r="DI450" s="22"/>
      <c r="DJ450" s="22"/>
      <c r="DK450" s="344"/>
      <c r="DL450" s="361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22"/>
      <c r="EG450" s="22"/>
      <c r="EH450" s="22"/>
      <c r="EI450" s="22"/>
      <c r="EJ450" s="22"/>
      <c r="EK450" s="22"/>
      <c r="EL450" s="22"/>
      <c r="EM450" s="22"/>
      <c r="EN450" s="344"/>
      <c r="EO450" s="344"/>
      <c r="EP450" s="22"/>
      <c r="EQ450" s="22"/>
      <c r="ER450" s="22"/>
      <c r="EU450" s="344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9"/>
      <c r="FG450" s="9"/>
      <c r="FH450" s="9"/>
      <c r="FI450" s="9"/>
      <c r="FJ450" s="9"/>
      <c r="FK450" s="9"/>
      <c r="FL450" s="9"/>
    </row>
    <row r="451" spans="54:168" x14ac:dyDescent="0.2">
      <c r="BB451" s="9" t="s">
        <v>75</v>
      </c>
      <c r="BC451" s="11">
        <f>0.95*BC455</f>
        <v>237.5</v>
      </c>
      <c r="BD451" s="231">
        <v>6</v>
      </c>
      <c r="BE451" s="232" t="s">
        <v>856</v>
      </c>
      <c r="DH451" s="22"/>
      <c r="DI451" s="22"/>
      <c r="DJ451" s="22"/>
      <c r="DK451" s="344"/>
      <c r="DL451" s="361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22"/>
      <c r="EG451" s="22"/>
      <c r="EH451" s="22"/>
      <c r="EI451" s="22"/>
      <c r="EJ451" s="22"/>
      <c r="EK451" s="22"/>
      <c r="EL451" s="22"/>
      <c r="EM451" s="22"/>
      <c r="EN451" s="344"/>
      <c r="EO451" s="344"/>
      <c r="EP451" s="22"/>
      <c r="EQ451" s="22"/>
      <c r="ER451" s="22"/>
      <c r="EU451" s="344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9"/>
      <c r="FG451" s="9"/>
      <c r="FH451" s="9"/>
      <c r="FI451" s="9"/>
      <c r="FJ451" s="9"/>
      <c r="FK451" s="9"/>
      <c r="FL451" s="9"/>
    </row>
    <row r="452" spans="54:168" x14ac:dyDescent="0.2">
      <c r="BB452" s="9" t="s">
        <v>75</v>
      </c>
      <c r="BC452" s="11">
        <f>0.96*BC455</f>
        <v>240</v>
      </c>
      <c r="BD452" s="231">
        <v>6</v>
      </c>
      <c r="BE452" s="232" t="s">
        <v>353</v>
      </c>
      <c r="DH452" s="22"/>
      <c r="DI452" s="22"/>
      <c r="DJ452" s="22"/>
      <c r="DK452" s="344"/>
      <c r="DL452" s="361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22"/>
      <c r="EG452" s="22"/>
      <c r="EH452" s="22"/>
      <c r="EI452" s="22"/>
      <c r="EJ452" s="22"/>
      <c r="EK452" s="22"/>
      <c r="EL452" s="22"/>
      <c r="EM452" s="22"/>
      <c r="EN452" s="344"/>
      <c r="EO452" s="344"/>
      <c r="EP452" s="22"/>
      <c r="EQ452" s="22"/>
      <c r="ER452" s="22"/>
      <c r="EU452" s="344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9"/>
      <c r="FG452" s="9"/>
      <c r="FH452" s="9"/>
      <c r="FI452" s="9"/>
      <c r="FJ452" s="9"/>
      <c r="FK452" s="9"/>
      <c r="FL452" s="9"/>
    </row>
    <row r="453" spans="54:168" x14ac:dyDescent="0.2">
      <c r="BB453" s="9" t="s">
        <v>75</v>
      </c>
      <c r="BC453" s="11">
        <f>0.97*BC455</f>
        <v>242.5</v>
      </c>
      <c r="BD453" s="231">
        <v>6</v>
      </c>
      <c r="BE453" s="232" t="s">
        <v>354</v>
      </c>
      <c r="DH453" s="22"/>
      <c r="DI453" s="22"/>
      <c r="DJ453" s="22"/>
      <c r="DK453" s="344"/>
      <c r="DL453" s="361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22"/>
      <c r="EG453" s="22"/>
      <c r="EH453" s="22"/>
      <c r="EI453" s="22"/>
      <c r="EJ453" s="22"/>
      <c r="EK453" s="22"/>
      <c r="EL453" s="22"/>
      <c r="EM453" s="22"/>
      <c r="EN453" s="344"/>
      <c r="EO453" s="344"/>
      <c r="EP453" s="22"/>
      <c r="EQ453" s="22"/>
      <c r="ER453" s="22"/>
      <c r="EU453" s="344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9"/>
      <c r="FG453" s="9"/>
      <c r="FH453" s="9"/>
      <c r="FI453" s="9"/>
      <c r="FJ453" s="9"/>
      <c r="FK453" s="9"/>
      <c r="FL453" s="9"/>
    </row>
    <row r="454" spans="54:168" x14ac:dyDescent="0.2">
      <c r="BB454" s="9" t="s">
        <v>75</v>
      </c>
      <c r="BC454" s="11">
        <f>0.98*BC455</f>
        <v>245</v>
      </c>
      <c r="BD454" s="231">
        <v>6</v>
      </c>
      <c r="BE454" s="232" t="s">
        <v>351</v>
      </c>
      <c r="DH454" s="22"/>
      <c r="DI454" s="22"/>
      <c r="DJ454" s="22"/>
      <c r="DK454" s="344"/>
      <c r="DL454" s="361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22"/>
      <c r="EG454" s="22"/>
      <c r="EH454" s="22"/>
      <c r="EI454" s="22"/>
      <c r="EJ454" s="22"/>
      <c r="EK454" s="22"/>
      <c r="EL454" s="22"/>
      <c r="EM454" s="22"/>
      <c r="EN454" s="344"/>
      <c r="EO454" s="344"/>
      <c r="EP454" s="22"/>
      <c r="EQ454" s="22"/>
      <c r="ER454" s="22"/>
      <c r="EU454" s="344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9"/>
      <c r="FG454" s="9"/>
      <c r="FH454" s="9"/>
      <c r="FI454" s="9"/>
      <c r="FJ454" s="9"/>
      <c r="FK454" s="9"/>
      <c r="FL454" s="9"/>
    </row>
    <row r="455" spans="54:168" x14ac:dyDescent="0.2">
      <c r="BB455" s="9" t="s">
        <v>75</v>
      </c>
      <c r="BC455" s="11">
        <v>250</v>
      </c>
      <c r="BD455" s="231">
        <v>6</v>
      </c>
      <c r="BE455" s="232" t="s">
        <v>355</v>
      </c>
      <c r="DH455" s="22"/>
      <c r="DI455" s="22"/>
      <c r="DJ455" s="22"/>
      <c r="DK455" s="344"/>
      <c r="DL455" s="361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22"/>
      <c r="EG455" s="22"/>
      <c r="EH455" s="22"/>
      <c r="EI455" s="22"/>
      <c r="EJ455" s="22"/>
      <c r="EK455" s="22"/>
      <c r="EL455" s="22"/>
      <c r="EM455" s="22"/>
      <c r="EN455" s="344"/>
      <c r="EO455" s="344"/>
      <c r="EP455" s="22"/>
      <c r="EQ455" s="22"/>
      <c r="ER455" s="22"/>
      <c r="EU455" s="344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9"/>
      <c r="FG455" s="9"/>
      <c r="FH455" s="9"/>
      <c r="FI455" s="9"/>
      <c r="FJ455" s="9"/>
      <c r="FK455" s="9"/>
      <c r="FL455" s="9"/>
    </row>
    <row r="456" spans="54:168" x14ac:dyDescent="0.2">
      <c r="BB456" s="9" t="s">
        <v>75</v>
      </c>
      <c r="BC456" s="11">
        <f>0.9*BC464</f>
        <v>252</v>
      </c>
      <c r="BD456" s="231">
        <v>6</v>
      </c>
      <c r="BE456" s="232" t="s">
        <v>352</v>
      </c>
      <c r="DH456" s="22"/>
      <c r="DI456" s="22"/>
      <c r="DJ456" s="22"/>
      <c r="DK456" s="344"/>
      <c r="DL456" s="361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22"/>
      <c r="EG456" s="22"/>
      <c r="EH456" s="22"/>
      <c r="EI456" s="22"/>
      <c r="EJ456" s="22"/>
      <c r="EK456" s="22"/>
      <c r="EL456" s="22"/>
      <c r="EM456" s="22"/>
      <c r="EN456" s="344"/>
      <c r="EO456" s="344"/>
      <c r="EP456" s="22"/>
      <c r="EQ456" s="22"/>
      <c r="ER456" s="22"/>
      <c r="EU456" s="344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9"/>
      <c r="FG456" s="9"/>
      <c r="FH456" s="9"/>
      <c r="FI456" s="9"/>
      <c r="FJ456" s="9"/>
      <c r="FK456" s="9"/>
      <c r="FL456" s="9"/>
    </row>
    <row r="457" spans="54:168" x14ac:dyDescent="0.2">
      <c r="BB457" s="9" t="s">
        <v>75</v>
      </c>
      <c r="BC457" s="11">
        <f>0.92*BC464</f>
        <v>257.60000000000002</v>
      </c>
      <c r="BD457" s="231">
        <v>10</v>
      </c>
      <c r="BE457" s="233" t="s">
        <v>30</v>
      </c>
      <c r="DH457" s="22"/>
      <c r="DI457" s="22"/>
      <c r="DJ457" s="22"/>
      <c r="DK457" s="344"/>
      <c r="DL457" s="361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22"/>
      <c r="EG457" s="22"/>
      <c r="EH457" s="22"/>
      <c r="EI457" s="22"/>
      <c r="EJ457" s="22"/>
      <c r="EK457" s="22"/>
      <c r="EL457" s="22"/>
      <c r="EM457" s="22"/>
      <c r="EN457" s="344"/>
      <c r="EO457" s="344"/>
      <c r="EP457" s="22"/>
      <c r="EQ457" s="22"/>
      <c r="ER457" s="22"/>
      <c r="EU457" s="344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9"/>
      <c r="FG457" s="9"/>
      <c r="FH457" s="9"/>
      <c r="FI457" s="9"/>
      <c r="FJ457" s="9"/>
      <c r="FK457" s="9"/>
      <c r="FL457" s="9"/>
    </row>
    <row r="458" spans="54:168" x14ac:dyDescent="0.2">
      <c r="BB458" s="9" t="s">
        <v>75</v>
      </c>
      <c r="BC458" s="11">
        <f>0.93*BC464</f>
        <v>260.40000000000003</v>
      </c>
      <c r="BD458" s="231">
        <v>10</v>
      </c>
      <c r="BE458" s="232" t="s">
        <v>853</v>
      </c>
      <c r="DH458" s="22"/>
      <c r="DI458" s="22"/>
      <c r="DJ458" s="22"/>
      <c r="DK458" s="344"/>
      <c r="DL458" s="361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22"/>
      <c r="EG458" s="22"/>
      <c r="EH458" s="22"/>
      <c r="EI458" s="22"/>
      <c r="EJ458" s="22"/>
      <c r="EK458" s="22"/>
      <c r="EL458" s="22"/>
      <c r="EM458" s="22"/>
      <c r="EN458" s="344"/>
      <c r="EO458" s="344"/>
      <c r="EP458" s="22"/>
      <c r="EQ458" s="22"/>
      <c r="ER458" s="22"/>
      <c r="EU458" s="344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9"/>
      <c r="FG458" s="9"/>
      <c r="FH458" s="9"/>
      <c r="FI458" s="9"/>
      <c r="FJ458" s="9"/>
      <c r="FK458" s="9"/>
      <c r="FL458" s="9"/>
    </row>
    <row r="459" spans="54:168" x14ac:dyDescent="0.2">
      <c r="BB459" s="9" t="s">
        <v>75</v>
      </c>
      <c r="BC459" s="11">
        <f>0.94*BC464</f>
        <v>263.2</v>
      </c>
      <c r="BD459" s="231">
        <v>10</v>
      </c>
      <c r="BE459" s="232" t="s">
        <v>854</v>
      </c>
      <c r="DH459" s="22"/>
      <c r="DI459" s="22"/>
      <c r="DJ459" s="22"/>
      <c r="DK459" s="344"/>
      <c r="DL459" s="361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22"/>
      <c r="EG459" s="22"/>
      <c r="EH459" s="22"/>
      <c r="EI459" s="22"/>
      <c r="EJ459" s="22"/>
      <c r="EK459" s="22"/>
      <c r="EL459" s="22"/>
      <c r="EM459" s="22"/>
      <c r="EN459" s="344"/>
      <c r="EO459" s="344"/>
      <c r="EP459" s="22"/>
      <c r="EQ459" s="22"/>
      <c r="ER459" s="22"/>
      <c r="EU459" s="344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9"/>
      <c r="FG459" s="9"/>
      <c r="FH459" s="9"/>
      <c r="FI459" s="9"/>
      <c r="FJ459" s="9"/>
      <c r="FK459" s="9"/>
      <c r="FL459" s="9"/>
    </row>
    <row r="460" spans="54:168" x14ac:dyDescent="0.2">
      <c r="BB460" s="9" t="s">
        <v>75</v>
      </c>
      <c r="BC460" s="11">
        <f>0.95*BC464</f>
        <v>266</v>
      </c>
      <c r="BD460" s="231">
        <v>10</v>
      </c>
      <c r="BE460" s="232" t="s">
        <v>855</v>
      </c>
      <c r="DH460" s="22"/>
      <c r="DI460" s="22"/>
      <c r="DJ460" s="22"/>
      <c r="DK460" s="344"/>
      <c r="DL460" s="361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22"/>
      <c r="EG460" s="22"/>
      <c r="EH460" s="22"/>
      <c r="EI460" s="22"/>
      <c r="EJ460" s="22"/>
      <c r="EK460" s="22"/>
      <c r="EL460" s="22"/>
      <c r="EM460" s="22"/>
      <c r="EN460" s="344"/>
      <c r="EO460" s="344"/>
      <c r="EP460" s="22"/>
      <c r="EQ460" s="22"/>
      <c r="ER460" s="22"/>
      <c r="EU460" s="344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9"/>
      <c r="FG460" s="9"/>
      <c r="FH460" s="9"/>
      <c r="FI460" s="9"/>
      <c r="FJ460" s="9"/>
      <c r="FK460" s="9"/>
      <c r="FL460" s="9"/>
    </row>
    <row r="461" spans="54:168" x14ac:dyDescent="0.2">
      <c r="BB461" s="9" t="s">
        <v>75</v>
      </c>
      <c r="BC461" s="11">
        <f>0.96*BC464</f>
        <v>268.8</v>
      </c>
      <c r="BD461" s="231">
        <v>10</v>
      </c>
      <c r="BE461" s="232" t="s">
        <v>856</v>
      </c>
      <c r="DH461" s="22"/>
      <c r="DI461" s="22"/>
      <c r="DJ461" s="22"/>
      <c r="DK461" s="344"/>
      <c r="DL461" s="361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22"/>
      <c r="EG461" s="22"/>
      <c r="EH461" s="22"/>
      <c r="EI461" s="22"/>
      <c r="EJ461" s="22"/>
      <c r="EK461" s="22"/>
      <c r="EL461" s="22"/>
      <c r="EM461" s="22"/>
      <c r="EN461" s="344"/>
      <c r="EO461" s="344"/>
      <c r="EP461" s="22"/>
      <c r="EQ461" s="22"/>
      <c r="ER461" s="22"/>
      <c r="EU461" s="344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9"/>
      <c r="FG461" s="9"/>
      <c r="FH461" s="9"/>
      <c r="FI461" s="9"/>
      <c r="FJ461" s="9"/>
      <c r="FK461" s="9"/>
      <c r="FL461" s="9"/>
    </row>
    <row r="462" spans="54:168" x14ac:dyDescent="0.2">
      <c r="BB462" s="9" t="s">
        <v>75</v>
      </c>
      <c r="BC462" s="11">
        <f>0.97*BC464</f>
        <v>271.59999999999997</v>
      </c>
      <c r="BD462" s="231">
        <v>10</v>
      </c>
      <c r="BE462" s="232" t="s">
        <v>353</v>
      </c>
      <c r="DH462" s="22"/>
      <c r="DI462" s="22"/>
      <c r="DJ462" s="22"/>
      <c r="DK462" s="344"/>
      <c r="DL462" s="361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22"/>
      <c r="EG462" s="22"/>
      <c r="EH462" s="22"/>
      <c r="EI462" s="22"/>
      <c r="EJ462" s="22"/>
      <c r="EK462" s="22"/>
      <c r="EL462" s="22"/>
      <c r="EM462" s="22"/>
      <c r="EN462" s="344"/>
      <c r="EO462" s="344"/>
      <c r="EP462" s="22"/>
      <c r="EQ462" s="22"/>
      <c r="ER462" s="22"/>
      <c r="EU462" s="344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9"/>
      <c r="FG462" s="9"/>
      <c r="FH462" s="9"/>
      <c r="FI462" s="9"/>
      <c r="FJ462" s="9"/>
      <c r="FK462" s="9"/>
      <c r="FL462" s="9"/>
    </row>
    <row r="463" spans="54:168" x14ac:dyDescent="0.2">
      <c r="BB463" s="9" t="s">
        <v>75</v>
      </c>
      <c r="BC463" s="11">
        <f>0.98*BC464</f>
        <v>274.39999999999998</v>
      </c>
      <c r="BD463" s="231">
        <v>10</v>
      </c>
      <c r="BE463" s="232" t="s">
        <v>354</v>
      </c>
      <c r="DH463" s="22"/>
      <c r="DI463" s="22"/>
      <c r="DJ463" s="22"/>
      <c r="DK463" s="344"/>
      <c r="DL463" s="361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22"/>
      <c r="EG463" s="22"/>
      <c r="EH463" s="22"/>
      <c r="EI463" s="22"/>
      <c r="EJ463" s="22"/>
      <c r="EK463" s="22"/>
      <c r="EL463" s="22"/>
      <c r="EM463" s="22"/>
      <c r="EN463" s="344"/>
      <c r="EO463" s="344"/>
      <c r="EP463" s="22"/>
      <c r="EQ463" s="22"/>
      <c r="ER463" s="22"/>
      <c r="EU463" s="344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9"/>
      <c r="FG463" s="9"/>
      <c r="FH463" s="9"/>
      <c r="FI463" s="9"/>
      <c r="FJ463" s="9"/>
      <c r="FK463" s="9"/>
      <c r="FL463" s="9"/>
    </row>
    <row r="464" spans="54:168" x14ac:dyDescent="0.2">
      <c r="BB464" s="9" t="s">
        <v>75</v>
      </c>
      <c r="BC464" s="11">
        <v>280</v>
      </c>
      <c r="BD464" s="231">
        <v>10</v>
      </c>
      <c r="BE464" s="232" t="s">
        <v>351</v>
      </c>
      <c r="DH464" s="22"/>
      <c r="DI464" s="22"/>
      <c r="DJ464" s="22"/>
      <c r="DK464" s="344"/>
      <c r="DL464" s="361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22"/>
      <c r="EG464" s="22"/>
      <c r="EH464" s="22"/>
      <c r="EI464" s="22"/>
      <c r="EJ464" s="22"/>
      <c r="EK464" s="22"/>
      <c r="EL464" s="22"/>
      <c r="EM464" s="22"/>
      <c r="EN464" s="344"/>
      <c r="EO464" s="344"/>
      <c r="EP464" s="22"/>
      <c r="EQ464" s="22"/>
      <c r="ER464" s="22"/>
      <c r="EU464" s="344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9"/>
      <c r="FG464" s="9"/>
      <c r="FH464" s="9"/>
      <c r="FI464" s="9"/>
      <c r="FJ464" s="9"/>
      <c r="FK464" s="9"/>
      <c r="FL464" s="9"/>
    </row>
    <row r="465" spans="54:168" x14ac:dyDescent="0.2">
      <c r="BB465" s="9" t="s">
        <v>75</v>
      </c>
      <c r="BC465" s="11">
        <f>0.9*BC473</f>
        <v>288</v>
      </c>
      <c r="BD465" s="231">
        <v>10</v>
      </c>
      <c r="BE465" s="232" t="s">
        <v>355</v>
      </c>
      <c r="DH465" s="22"/>
      <c r="DI465" s="22"/>
      <c r="DJ465" s="22"/>
      <c r="DK465" s="344"/>
      <c r="DL465" s="361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22"/>
      <c r="EG465" s="22"/>
      <c r="EH465" s="22"/>
      <c r="EI465" s="22"/>
      <c r="EJ465" s="22"/>
      <c r="EK465" s="22"/>
      <c r="EL465" s="22"/>
      <c r="EM465" s="22"/>
      <c r="EN465" s="344"/>
      <c r="EO465" s="344"/>
      <c r="EP465" s="22"/>
      <c r="EQ465" s="22"/>
      <c r="ER465" s="22"/>
      <c r="EU465" s="344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9"/>
      <c r="FG465" s="9"/>
      <c r="FH465" s="9"/>
      <c r="FI465" s="9"/>
      <c r="FJ465" s="9"/>
      <c r="FK465" s="9"/>
      <c r="FL465" s="9"/>
    </row>
    <row r="466" spans="54:168" x14ac:dyDescent="0.2">
      <c r="BB466" s="9" t="s">
        <v>75</v>
      </c>
      <c r="BC466" s="11">
        <f>0.92*BC473</f>
        <v>294.40000000000003</v>
      </c>
      <c r="BD466" s="231">
        <v>10</v>
      </c>
      <c r="BE466" s="232" t="s">
        <v>352</v>
      </c>
      <c r="DH466" s="22"/>
      <c r="DI466" s="22"/>
      <c r="DJ466" s="22"/>
      <c r="DK466" s="344"/>
      <c r="DL466" s="361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22"/>
      <c r="EG466" s="22"/>
      <c r="EH466" s="22"/>
      <c r="EI466" s="22"/>
      <c r="EJ466" s="22"/>
      <c r="EK466" s="22"/>
      <c r="EL466" s="22"/>
      <c r="EM466" s="22"/>
      <c r="EN466" s="344"/>
      <c r="EO466" s="344"/>
      <c r="EP466" s="22"/>
      <c r="EQ466" s="22"/>
      <c r="ER466" s="22"/>
      <c r="EU466" s="344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9"/>
      <c r="FG466" s="9"/>
      <c r="FH466" s="9"/>
      <c r="FI466" s="9"/>
      <c r="FJ466" s="9"/>
      <c r="FK466" s="9"/>
      <c r="FL466" s="9"/>
    </row>
    <row r="467" spans="54:168" x14ac:dyDescent="0.2">
      <c r="BB467" s="9" t="s">
        <v>75</v>
      </c>
      <c r="BC467" s="11">
        <f>0.93*BC473</f>
        <v>297.60000000000002</v>
      </c>
      <c r="BD467" s="231">
        <v>13</v>
      </c>
      <c r="BE467" s="233" t="s">
        <v>30</v>
      </c>
      <c r="DH467" s="22"/>
      <c r="DI467" s="22"/>
      <c r="DJ467" s="22"/>
      <c r="DK467" s="344"/>
      <c r="DL467" s="361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22"/>
      <c r="EG467" s="22"/>
      <c r="EH467" s="22"/>
      <c r="EI467" s="22"/>
      <c r="EJ467" s="22"/>
      <c r="EK467" s="22"/>
      <c r="EL467" s="22"/>
      <c r="EM467" s="22"/>
      <c r="EN467" s="344"/>
      <c r="EO467" s="344"/>
      <c r="EP467" s="22"/>
      <c r="EQ467" s="22"/>
      <c r="ER467" s="22"/>
      <c r="EU467" s="344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9"/>
      <c r="FG467" s="9"/>
      <c r="FH467" s="9"/>
      <c r="FI467" s="9"/>
      <c r="FJ467" s="9"/>
      <c r="FK467" s="9"/>
      <c r="FL467" s="9"/>
    </row>
    <row r="468" spans="54:168" x14ac:dyDescent="0.2">
      <c r="BB468" s="9" t="s">
        <v>75</v>
      </c>
      <c r="BC468" s="11">
        <f>0.94*BC473</f>
        <v>300.79999999999995</v>
      </c>
      <c r="BD468" s="231">
        <v>13</v>
      </c>
      <c r="BE468" s="232" t="s">
        <v>853</v>
      </c>
      <c r="DH468" s="22"/>
      <c r="DI468" s="22"/>
      <c r="DJ468" s="22"/>
      <c r="DK468" s="344"/>
      <c r="DL468" s="361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22"/>
      <c r="EG468" s="22"/>
      <c r="EH468" s="22"/>
      <c r="EI468" s="22"/>
      <c r="EJ468" s="22"/>
      <c r="EK468" s="22"/>
      <c r="EL468" s="22"/>
      <c r="EM468" s="22"/>
      <c r="EN468" s="344"/>
      <c r="EO468" s="344"/>
      <c r="EP468" s="22"/>
      <c r="EQ468" s="22"/>
      <c r="ER468" s="22"/>
      <c r="EU468" s="344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9"/>
      <c r="FG468" s="9"/>
      <c r="FH468" s="9"/>
      <c r="FI468" s="9"/>
      <c r="FJ468" s="9"/>
      <c r="FK468" s="9"/>
      <c r="FL468" s="9"/>
    </row>
    <row r="469" spans="54:168" x14ac:dyDescent="0.2">
      <c r="BB469" s="9" t="s">
        <v>75</v>
      </c>
      <c r="BC469" s="11">
        <f>0.95*BC473</f>
        <v>304</v>
      </c>
      <c r="BD469" s="231">
        <v>13</v>
      </c>
      <c r="BE469" s="232" t="s">
        <v>854</v>
      </c>
      <c r="DH469" s="22"/>
      <c r="DI469" s="22"/>
      <c r="DJ469" s="22"/>
      <c r="DK469" s="344"/>
      <c r="DL469" s="361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22"/>
      <c r="EG469" s="22"/>
      <c r="EH469" s="22"/>
      <c r="EI469" s="22"/>
      <c r="EJ469" s="22"/>
      <c r="EK469" s="22"/>
      <c r="EL469" s="22"/>
      <c r="EM469" s="22"/>
      <c r="EN469" s="344"/>
      <c r="EO469" s="344"/>
      <c r="EP469" s="22"/>
      <c r="EQ469" s="22"/>
      <c r="ER469" s="22"/>
      <c r="EU469" s="344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9"/>
      <c r="FG469" s="9"/>
      <c r="FH469" s="9"/>
      <c r="FI469" s="9"/>
      <c r="FJ469" s="9"/>
      <c r="FK469" s="9"/>
      <c r="FL469" s="9"/>
    </row>
    <row r="470" spans="54:168" x14ac:dyDescent="0.2">
      <c r="BB470" s="9" t="s">
        <v>75</v>
      </c>
      <c r="BC470" s="11">
        <f>0.96*BC473</f>
        <v>307.2</v>
      </c>
      <c r="BD470" s="231">
        <v>13</v>
      </c>
      <c r="BE470" s="232" t="s">
        <v>855</v>
      </c>
      <c r="DH470" s="22"/>
      <c r="DI470" s="22"/>
      <c r="DJ470" s="22"/>
      <c r="DK470" s="344"/>
      <c r="DL470" s="361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22"/>
      <c r="EG470" s="22"/>
      <c r="EH470" s="22"/>
      <c r="EI470" s="22"/>
      <c r="EJ470" s="22"/>
      <c r="EK470" s="22"/>
      <c r="EL470" s="22"/>
      <c r="EM470" s="22"/>
      <c r="EN470" s="344"/>
      <c r="EO470" s="344"/>
      <c r="EP470" s="22"/>
      <c r="EQ470" s="22"/>
      <c r="ER470" s="22"/>
      <c r="EU470" s="344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9"/>
      <c r="FG470" s="9"/>
      <c r="FH470" s="9"/>
      <c r="FI470" s="9"/>
      <c r="FJ470" s="9"/>
      <c r="FK470" s="9"/>
      <c r="FL470" s="9"/>
    </row>
    <row r="471" spans="54:168" x14ac:dyDescent="0.2">
      <c r="BB471" s="9" t="s">
        <v>75</v>
      </c>
      <c r="BC471" s="11">
        <f>0.97*BC473</f>
        <v>310.39999999999998</v>
      </c>
      <c r="BD471" s="231">
        <v>13</v>
      </c>
      <c r="BE471" s="232" t="s">
        <v>856</v>
      </c>
      <c r="DH471" s="22"/>
      <c r="DI471" s="22"/>
      <c r="DJ471" s="22"/>
      <c r="DK471" s="344"/>
      <c r="DL471" s="361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22"/>
      <c r="EG471" s="22"/>
      <c r="EH471" s="22"/>
      <c r="EI471" s="22"/>
      <c r="EJ471" s="22"/>
      <c r="EK471" s="22"/>
      <c r="EL471" s="22"/>
      <c r="EM471" s="22"/>
      <c r="EN471" s="344"/>
      <c r="EO471" s="344"/>
      <c r="EP471" s="22"/>
      <c r="EQ471" s="22"/>
      <c r="ER471" s="22"/>
      <c r="EU471" s="344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9"/>
      <c r="FG471" s="9"/>
      <c r="FH471" s="9"/>
      <c r="FI471" s="9"/>
      <c r="FJ471" s="9"/>
      <c r="FK471" s="9"/>
      <c r="FL471" s="9"/>
    </row>
    <row r="472" spans="54:168" x14ac:dyDescent="0.2">
      <c r="BB472" s="9" t="s">
        <v>75</v>
      </c>
      <c r="BC472" s="11">
        <f>0.98*BC473</f>
        <v>313.60000000000002</v>
      </c>
      <c r="BD472" s="231">
        <v>13</v>
      </c>
      <c r="BE472" s="232" t="s">
        <v>353</v>
      </c>
      <c r="DH472" s="22"/>
      <c r="DI472" s="22"/>
      <c r="DJ472" s="22"/>
      <c r="DK472" s="344"/>
      <c r="DL472" s="361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22"/>
      <c r="EG472" s="22"/>
      <c r="EH472" s="22"/>
      <c r="EI472" s="22"/>
      <c r="EJ472" s="22"/>
      <c r="EK472" s="22"/>
      <c r="EL472" s="22"/>
      <c r="EM472" s="22"/>
      <c r="EN472" s="344"/>
      <c r="EO472" s="344"/>
      <c r="EP472" s="22"/>
      <c r="EQ472" s="22"/>
      <c r="ER472" s="22"/>
      <c r="EU472" s="344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9"/>
      <c r="FG472" s="9"/>
      <c r="FH472" s="9"/>
      <c r="FI472" s="9"/>
      <c r="FJ472" s="9"/>
      <c r="FK472" s="9"/>
      <c r="FL472" s="9"/>
    </row>
    <row r="473" spans="54:168" x14ac:dyDescent="0.2">
      <c r="BB473" s="9" t="s">
        <v>75</v>
      </c>
      <c r="BC473" s="11">
        <v>320</v>
      </c>
      <c r="BD473" s="231">
        <v>13</v>
      </c>
      <c r="BE473" s="232" t="s">
        <v>354</v>
      </c>
      <c r="DH473" s="22"/>
      <c r="DI473" s="22"/>
      <c r="DJ473" s="22"/>
      <c r="DK473" s="344"/>
      <c r="DL473" s="361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22"/>
      <c r="EG473" s="22"/>
      <c r="EH473" s="22"/>
      <c r="EI473" s="22"/>
      <c r="EJ473" s="22"/>
      <c r="EK473" s="22"/>
      <c r="EL473" s="22"/>
      <c r="EM473" s="22"/>
      <c r="EN473" s="344"/>
      <c r="EO473" s="344"/>
      <c r="EP473" s="22"/>
      <c r="EQ473" s="22"/>
      <c r="ER473" s="22"/>
      <c r="EU473" s="344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9"/>
      <c r="FG473" s="9"/>
      <c r="FH473" s="9"/>
      <c r="FI473" s="9"/>
      <c r="FJ473" s="9"/>
      <c r="FK473" s="9"/>
      <c r="FL473" s="9"/>
    </row>
    <row r="474" spans="54:168" x14ac:dyDescent="0.2">
      <c r="BB474" s="9" t="s">
        <v>75</v>
      </c>
      <c r="BC474" s="11">
        <f>0.9*BC482</f>
        <v>324</v>
      </c>
      <c r="BD474" s="231">
        <v>13</v>
      </c>
      <c r="BE474" s="232" t="s">
        <v>351</v>
      </c>
      <c r="DH474" s="22"/>
      <c r="DI474" s="22"/>
      <c r="DJ474" s="22"/>
      <c r="DK474" s="344"/>
      <c r="DL474" s="361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22"/>
      <c r="EG474" s="22"/>
      <c r="EH474" s="22"/>
      <c r="EI474" s="22"/>
      <c r="EJ474" s="22"/>
      <c r="EK474" s="22"/>
      <c r="EL474" s="22"/>
      <c r="EM474" s="22"/>
      <c r="EN474" s="344"/>
      <c r="EO474" s="344"/>
      <c r="EP474" s="22"/>
      <c r="EQ474" s="22"/>
      <c r="ER474" s="22"/>
      <c r="EU474" s="344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9"/>
      <c r="FG474" s="9"/>
      <c r="FH474" s="9"/>
      <c r="FI474" s="9"/>
      <c r="FJ474" s="9"/>
      <c r="FK474" s="9"/>
      <c r="FL474" s="9"/>
    </row>
    <row r="475" spans="54:168" x14ac:dyDescent="0.2">
      <c r="BB475" s="9" t="s">
        <v>75</v>
      </c>
      <c r="BC475" s="11">
        <f>0.92*BC482</f>
        <v>331.2</v>
      </c>
      <c r="BD475" s="231">
        <v>13</v>
      </c>
      <c r="BE475" s="232" t="s">
        <v>355</v>
      </c>
      <c r="DH475" s="22"/>
      <c r="DI475" s="22"/>
      <c r="DJ475" s="22"/>
      <c r="DK475" s="344"/>
      <c r="DL475" s="361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22"/>
      <c r="EG475" s="22"/>
      <c r="EH475" s="22"/>
      <c r="EI475" s="22"/>
      <c r="EJ475" s="22"/>
      <c r="EK475" s="22"/>
      <c r="EL475" s="22"/>
      <c r="EM475" s="22"/>
      <c r="EN475" s="344"/>
      <c r="EO475" s="344"/>
      <c r="EP475" s="22"/>
      <c r="EQ475" s="22"/>
      <c r="ER475" s="22"/>
      <c r="EU475" s="344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9"/>
      <c r="FG475" s="9"/>
      <c r="FH475" s="9"/>
      <c r="FI475" s="9"/>
      <c r="FJ475" s="9"/>
      <c r="FK475" s="9"/>
      <c r="FL475" s="9"/>
    </row>
    <row r="476" spans="54:168" x14ac:dyDescent="0.2">
      <c r="BB476" s="9" t="s">
        <v>75</v>
      </c>
      <c r="BC476" s="11">
        <f>0.93*BC482</f>
        <v>334.8</v>
      </c>
      <c r="BD476" s="231">
        <v>13</v>
      </c>
      <c r="BE476" s="232" t="s">
        <v>352</v>
      </c>
      <c r="DH476" s="22"/>
      <c r="DI476" s="22"/>
      <c r="DJ476" s="22"/>
      <c r="DK476" s="344"/>
      <c r="DL476" s="361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22"/>
      <c r="EG476" s="22"/>
      <c r="EH476" s="22"/>
      <c r="EI476" s="22"/>
      <c r="EJ476" s="22"/>
      <c r="EK476" s="22"/>
      <c r="EL476" s="22"/>
      <c r="EM476" s="22"/>
      <c r="EN476" s="344"/>
      <c r="EO476" s="344"/>
      <c r="EP476" s="22"/>
      <c r="EQ476" s="22"/>
      <c r="ER476" s="22"/>
      <c r="EU476" s="344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9"/>
      <c r="FG476" s="9"/>
      <c r="FH476" s="9"/>
      <c r="FI476" s="9"/>
      <c r="FJ476" s="9"/>
      <c r="FK476" s="9"/>
      <c r="FL476" s="9"/>
    </row>
    <row r="477" spans="54:168" x14ac:dyDescent="0.2">
      <c r="BB477" s="9" t="s">
        <v>75</v>
      </c>
      <c r="BC477" s="11">
        <f>0.94*BC482</f>
        <v>338.4</v>
      </c>
      <c r="BD477" s="231">
        <v>15</v>
      </c>
      <c r="BE477" s="233" t="s">
        <v>30</v>
      </c>
      <c r="DH477" s="22"/>
      <c r="DI477" s="22"/>
      <c r="DJ477" s="22"/>
      <c r="DK477" s="344"/>
      <c r="DL477" s="361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22"/>
      <c r="EG477" s="22"/>
      <c r="EH477" s="22"/>
      <c r="EI477" s="22"/>
      <c r="EJ477" s="22"/>
      <c r="EK477" s="22"/>
      <c r="EL477" s="22"/>
      <c r="EM477" s="22"/>
      <c r="EN477" s="344"/>
      <c r="EO477" s="344"/>
      <c r="EP477" s="22"/>
      <c r="EQ477" s="22"/>
      <c r="ER477" s="22"/>
      <c r="EU477" s="344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9"/>
      <c r="FG477" s="9"/>
      <c r="FH477" s="9"/>
      <c r="FI477" s="9"/>
      <c r="FJ477" s="9"/>
      <c r="FK477" s="9"/>
      <c r="FL477" s="9"/>
    </row>
    <row r="478" spans="54:168" x14ac:dyDescent="0.2">
      <c r="BB478" s="9" t="s">
        <v>75</v>
      </c>
      <c r="BC478" s="11">
        <f>0.95*BC482</f>
        <v>342</v>
      </c>
      <c r="BD478" s="231">
        <v>15</v>
      </c>
      <c r="BE478" s="232" t="s">
        <v>853</v>
      </c>
      <c r="DH478" s="22"/>
      <c r="DI478" s="22"/>
      <c r="DJ478" s="22"/>
      <c r="DK478" s="344"/>
      <c r="DL478" s="361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22"/>
      <c r="EG478" s="22"/>
      <c r="EH478" s="22"/>
      <c r="EI478" s="22"/>
      <c r="EJ478" s="22"/>
      <c r="EK478" s="22"/>
      <c r="EL478" s="22"/>
      <c r="EM478" s="22"/>
      <c r="EN478" s="344"/>
      <c r="EO478" s="344"/>
      <c r="EP478" s="22"/>
      <c r="EQ478" s="22"/>
      <c r="ER478" s="22"/>
      <c r="EU478" s="344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9"/>
      <c r="FG478" s="9"/>
      <c r="FH478" s="9"/>
      <c r="FI478" s="9"/>
      <c r="FJ478" s="9"/>
      <c r="FK478" s="9"/>
      <c r="FL478" s="9"/>
    </row>
    <row r="479" spans="54:168" x14ac:dyDescent="0.2">
      <c r="BB479" s="9" t="s">
        <v>75</v>
      </c>
      <c r="BC479" s="11">
        <f>0.96*BC482</f>
        <v>345.59999999999997</v>
      </c>
      <c r="BD479" s="231">
        <v>15</v>
      </c>
      <c r="BE479" s="232" t="s">
        <v>854</v>
      </c>
      <c r="DH479" s="22"/>
      <c r="DI479" s="22"/>
      <c r="DJ479" s="22"/>
      <c r="DK479" s="344"/>
      <c r="DL479" s="361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22"/>
      <c r="EG479" s="22"/>
      <c r="EH479" s="22"/>
      <c r="EI479" s="22"/>
      <c r="EJ479" s="22"/>
      <c r="EK479" s="22"/>
      <c r="EL479" s="22"/>
      <c r="EM479" s="22"/>
      <c r="EN479" s="344"/>
      <c r="EO479" s="344"/>
      <c r="EP479" s="22"/>
      <c r="EQ479" s="22"/>
      <c r="ER479" s="22"/>
      <c r="EU479" s="344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9"/>
      <c r="FG479" s="9"/>
      <c r="FH479" s="9"/>
      <c r="FI479" s="9"/>
      <c r="FJ479" s="9"/>
      <c r="FK479" s="9"/>
      <c r="FL479" s="9"/>
    </row>
    <row r="480" spans="54:168" x14ac:dyDescent="0.2">
      <c r="BB480" s="9" t="s">
        <v>75</v>
      </c>
      <c r="BC480" s="11">
        <f>0.97*BC482</f>
        <v>349.2</v>
      </c>
      <c r="BD480" s="231">
        <v>15</v>
      </c>
      <c r="BE480" s="232" t="s">
        <v>855</v>
      </c>
      <c r="DH480" s="22"/>
      <c r="DI480" s="22"/>
      <c r="DJ480" s="22"/>
      <c r="DK480" s="344"/>
      <c r="DL480" s="361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22"/>
      <c r="EG480" s="22"/>
      <c r="EH480" s="22"/>
      <c r="EI480" s="22"/>
      <c r="EJ480" s="22"/>
      <c r="EK480" s="22"/>
      <c r="EL480" s="22"/>
      <c r="EM480" s="22"/>
      <c r="EN480" s="344"/>
      <c r="EO480" s="344"/>
      <c r="EP480" s="22"/>
      <c r="EQ480" s="22"/>
      <c r="ER480" s="22"/>
      <c r="EU480" s="344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9"/>
      <c r="FG480" s="9"/>
      <c r="FH480" s="9"/>
      <c r="FI480" s="9"/>
      <c r="FJ480" s="9"/>
      <c r="FK480" s="9"/>
      <c r="FL480" s="9"/>
    </row>
    <row r="481" spans="54:168" x14ac:dyDescent="0.2">
      <c r="BB481" s="9" t="s">
        <v>75</v>
      </c>
      <c r="BC481" s="11">
        <f>0.98*BC482</f>
        <v>352.8</v>
      </c>
      <c r="BD481" s="231">
        <v>15</v>
      </c>
      <c r="BE481" s="232" t="s">
        <v>856</v>
      </c>
      <c r="DH481" s="22"/>
      <c r="DI481" s="22"/>
      <c r="DJ481" s="22"/>
      <c r="DK481" s="344"/>
      <c r="DL481" s="361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22"/>
      <c r="EG481" s="22"/>
      <c r="EH481" s="22"/>
      <c r="EI481" s="22"/>
      <c r="EJ481" s="22"/>
      <c r="EK481" s="22"/>
      <c r="EL481" s="22"/>
      <c r="EM481" s="22"/>
      <c r="EN481" s="344"/>
      <c r="EO481" s="344"/>
      <c r="EP481" s="22"/>
      <c r="EQ481" s="22"/>
      <c r="ER481" s="22"/>
      <c r="EU481" s="344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9"/>
      <c r="FG481" s="9"/>
      <c r="FH481" s="9"/>
      <c r="FI481" s="9"/>
      <c r="FJ481" s="9"/>
      <c r="FK481" s="9"/>
      <c r="FL481" s="9"/>
    </row>
    <row r="482" spans="54:168" x14ac:dyDescent="0.2">
      <c r="BB482" s="9" t="s">
        <v>75</v>
      </c>
      <c r="BC482" s="11">
        <v>360</v>
      </c>
      <c r="BD482" s="231">
        <v>15</v>
      </c>
      <c r="BE482" s="232" t="s">
        <v>353</v>
      </c>
      <c r="DH482" s="22"/>
      <c r="DI482" s="22"/>
      <c r="DJ482" s="22"/>
      <c r="DK482" s="344"/>
      <c r="DL482" s="361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22"/>
      <c r="EG482" s="22"/>
      <c r="EH482" s="22"/>
      <c r="EI482" s="22"/>
      <c r="EJ482" s="22"/>
      <c r="EK482" s="22"/>
      <c r="EL482" s="22"/>
      <c r="EM482" s="22"/>
      <c r="EN482" s="344"/>
      <c r="EO482" s="344"/>
      <c r="EP482" s="22"/>
      <c r="EQ482" s="22"/>
      <c r="ER482" s="22"/>
      <c r="EU482" s="344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9"/>
      <c r="FG482" s="9"/>
      <c r="FH482" s="9"/>
      <c r="FI482" s="9"/>
      <c r="FJ482" s="9"/>
      <c r="FK482" s="9"/>
      <c r="FL482" s="9"/>
    </row>
    <row r="483" spans="54:168" x14ac:dyDescent="0.2">
      <c r="BB483" s="9" t="s">
        <v>75</v>
      </c>
      <c r="BC483" s="11">
        <f>0.92*BC490</f>
        <v>368</v>
      </c>
      <c r="BD483" s="231">
        <v>15</v>
      </c>
      <c r="BE483" s="232" t="s">
        <v>354</v>
      </c>
      <c r="DH483" s="22"/>
      <c r="DI483" s="22"/>
      <c r="DJ483" s="22"/>
      <c r="DK483" s="344"/>
      <c r="DL483" s="361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22"/>
      <c r="EG483" s="22"/>
      <c r="EH483" s="22"/>
      <c r="EI483" s="22"/>
      <c r="EJ483" s="22"/>
      <c r="EK483" s="22"/>
      <c r="EL483" s="22"/>
      <c r="EM483" s="22"/>
      <c r="EN483" s="344"/>
      <c r="EO483" s="344"/>
      <c r="EP483" s="22"/>
      <c r="EQ483" s="22"/>
      <c r="ER483" s="22"/>
      <c r="EU483" s="344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9"/>
      <c r="FG483" s="9"/>
      <c r="FH483" s="9"/>
      <c r="FI483" s="9"/>
      <c r="FJ483" s="9"/>
      <c r="FK483" s="9"/>
      <c r="FL483" s="9"/>
    </row>
    <row r="484" spans="54:168" x14ac:dyDescent="0.2">
      <c r="BB484" s="9" t="s">
        <v>75</v>
      </c>
      <c r="BC484" s="11">
        <f>0.93*BC490</f>
        <v>372</v>
      </c>
      <c r="BD484" s="231">
        <v>15</v>
      </c>
      <c r="BE484" s="232" t="s">
        <v>351</v>
      </c>
      <c r="DH484" s="22"/>
      <c r="DI484" s="22"/>
      <c r="DJ484" s="22"/>
      <c r="DK484" s="344"/>
      <c r="DL484" s="361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22"/>
      <c r="EG484" s="22"/>
      <c r="EH484" s="22"/>
      <c r="EI484" s="22"/>
      <c r="EJ484" s="22"/>
      <c r="EK484" s="22"/>
      <c r="EL484" s="22"/>
      <c r="EM484" s="22"/>
      <c r="EN484" s="344"/>
      <c r="EO484" s="344"/>
      <c r="EP484" s="22"/>
      <c r="EQ484" s="22"/>
      <c r="ER484" s="22"/>
      <c r="EU484" s="344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9"/>
      <c r="FG484" s="9"/>
      <c r="FH484" s="9"/>
      <c r="FI484" s="9"/>
      <c r="FJ484" s="9"/>
      <c r="FK484" s="9"/>
      <c r="FL484" s="9"/>
    </row>
    <row r="485" spans="54:168" x14ac:dyDescent="0.2">
      <c r="BB485" s="9" t="s">
        <v>75</v>
      </c>
      <c r="BC485" s="11">
        <f>0.94*BC490</f>
        <v>376</v>
      </c>
      <c r="BD485" s="231">
        <v>15</v>
      </c>
      <c r="BE485" s="232" t="s">
        <v>355</v>
      </c>
      <c r="DH485" s="22"/>
      <c r="DI485" s="22"/>
      <c r="DJ485" s="22"/>
      <c r="DK485" s="344"/>
      <c r="DL485" s="361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22"/>
      <c r="EG485" s="22"/>
      <c r="EH485" s="22"/>
      <c r="EI485" s="22"/>
      <c r="EJ485" s="22"/>
      <c r="EK485" s="22"/>
      <c r="EL485" s="22"/>
      <c r="EM485" s="22"/>
      <c r="EN485" s="344"/>
      <c r="EO485" s="344"/>
      <c r="EP485" s="22"/>
      <c r="EQ485" s="22"/>
      <c r="ER485" s="22"/>
      <c r="EU485" s="344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9"/>
      <c r="FG485" s="9"/>
      <c r="FH485" s="9"/>
      <c r="FI485" s="9"/>
      <c r="FJ485" s="9"/>
      <c r="FK485" s="9"/>
      <c r="FL485" s="9"/>
    </row>
    <row r="486" spans="54:168" x14ac:dyDescent="0.2">
      <c r="BB486" s="9" t="s">
        <v>75</v>
      </c>
      <c r="BC486" s="11">
        <f>0.95*BC490</f>
        <v>380</v>
      </c>
      <c r="BD486" s="231">
        <v>15</v>
      </c>
      <c r="BE486" s="232" t="s">
        <v>352</v>
      </c>
      <c r="DH486" s="22"/>
      <c r="DI486" s="22"/>
      <c r="DJ486" s="22"/>
      <c r="DK486" s="344"/>
      <c r="DL486" s="361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22"/>
      <c r="EG486" s="22"/>
      <c r="EH486" s="22"/>
      <c r="EI486" s="22"/>
      <c r="EJ486" s="22"/>
      <c r="EK486" s="22"/>
      <c r="EL486" s="22"/>
      <c r="EM486" s="22"/>
      <c r="EN486" s="344"/>
      <c r="EO486" s="344"/>
      <c r="EP486" s="22"/>
      <c r="EQ486" s="22"/>
      <c r="ER486" s="22"/>
      <c r="EU486" s="344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9"/>
      <c r="FG486" s="9"/>
      <c r="FH486" s="9"/>
      <c r="FI486" s="9"/>
      <c r="FJ486" s="9"/>
      <c r="FK486" s="9"/>
      <c r="FL486" s="9"/>
    </row>
    <row r="487" spans="54:168" x14ac:dyDescent="0.2">
      <c r="BB487" s="9" t="s">
        <v>75</v>
      </c>
      <c r="BC487" s="11">
        <f>0.96*BC490</f>
        <v>384</v>
      </c>
      <c r="BD487" s="231">
        <v>16</v>
      </c>
      <c r="BE487" s="232" t="s">
        <v>30</v>
      </c>
      <c r="CD487" s="9"/>
      <c r="CE487" s="9"/>
      <c r="DH487" s="22"/>
      <c r="DI487" s="22"/>
      <c r="DJ487" s="22"/>
      <c r="DK487" s="344"/>
      <c r="DL487" s="361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22"/>
      <c r="EG487" s="22"/>
      <c r="EH487" s="22"/>
      <c r="EI487" s="22"/>
      <c r="EJ487" s="22"/>
      <c r="EK487" s="22"/>
      <c r="EL487" s="22"/>
      <c r="EM487" s="22"/>
      <c r="EN487" s="344"/>
      <c r="EO487" s="344"/>
      <c r="EP487" s="22"/>
      <c r="EQ487" s="22"/>
      <c r="ER487" s="22"/>
      <c r="EU487" s="344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9"/>
      <c r="FG487" s="9"/>
      <c r="FH487" s="9"/>
      <c r="FI487" s="9"/>
      <c r="FJ487" s="9"/>
      <c r="FK487" s="9"/>
      <c r="FL487" s="9"/>
    </row>
    <row r="488" spans="54:168" x14ac:dyDescent="0.2">
      <c r="BB488" s="9" t="s">
        <v>75</v>
      </c>
      <c r="BC488" s="11">
        <f>0.97*BC490</f>
        <v>388</v>
      </c>
      <c r="BD488" s="231">
        <v>16</v>
      </c>
      <c r="BE488" s="232" t="s">
        <v>595</v>
      </c>
      <c r="CD488" s="9"/>
      <c r="CE488" s="9"/>
      <c r="DH488" s="22"/>
      <c r="DI488" s="22"/>
      <c r="DJ488" s="22"/>
      <c r="DK488" s="344"/>
      <c r="DL488" s="361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22"/>
      <c r="EG488" s="22"/>
      <c r="EH488" s="22"/>
      <c r="EI488" s="22"/>
      <c r="EJ488" s="22"/>
      <c r="EK488" s="22"/>
      <c r="EL488" s="22"/>
      <c r="EM488" s="22"/>
      <c r="EN488" s="344"/>
      <c r="EO488" s="344"/>
      <c r="EP488" s="22"/>
      <c r="EQ488" s="22"/>
      <c r="ER488" s="22"/>
      <c r="EU488" s="344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9"/>
      <c r="FG488" s="9"/>
      <c r="FH488" s="9"/>
      <c r="FI488" s="9"/>
      <c r="FJ488" s="9"/>
      <c r="FK488" s="9"/>
      <c r="FL488" s="9"/>
    </row>
    <row r="489" spans="54:168" x14ac:dyDescent="0.2">
      <c r="BB489" s="9" t="s">
        <v>75</v>
      </c>
      <c r="BC489" s="11">
        <f>0.98*BC490</f>
        <v>392</v>
      </c>
      <c r="BD489" s="231">
        <v>16</v>
      </c>
      <c r="BE489" s="232" t="s">
        <v>596</v>
      </c>
      <c r="CD489" s="9"/>
      <c r="CE489" s="9"/>
      <c r="DH489" s="22"/>
      <c r="DI489" s="22"/>
      <c r="DJ489" s="22"/>
      <c r="DK489" s="344"/>
      <c r="DL489" s="361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22"/>
      <c r="EG489" s="22"/>
      <c r="EH489" s="22"/>
      <c r="EI489" s="22"/>
      <c r="EJ489" s="22"/>
      <c r="EK489" s="22"/>
      <c r="EL489" s="22"/>
      <c r="EM489" s="22"/>
      <c r="EN489" s="344"/>
      <c r="EO489" s="344"/>
      <c r="EP489" s="22"/>
      <c r="EQ489" s="22"/>
      <c r="ER489" s="22"/>
      <c r="EU489" s="344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9"/>
      <c r="FG489" s="9"/>
      <c r="FH489" s="9"/>
      <c r="FI489" s="9"/>
      <c r="FJ489" s="9"/>
      <c r="FK489" s="9"/>
      <c r="FL489" s="9"/>
    </row>
    <row r="490" spans="54:168" x14ac:dyDescent="0.2">
      <c r="BB490" s="9" t="s">
        <v>75</v>
      </c>
      <c r="BC490" s="11">
        <v>400</v>
      </c>
      <c r="BD490" s="231">
        <v>16</v>
      </c>
      <c r="BE490" s="232" t="s">
        <v>597</v>
      </c>
      <c r="CD490" s="9"/>
      <c r="CE490" s="9"/>
      <c r="DH490" s="22"/>
      <c r="DI490" s="22"/>
      <c r="DJ490" s="22"/>
      <c r="DK490" s="344"/>
      <c r="DL490" s="361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22"/>
      <c r="EG490" s="22"/>
      <c r="EH490" s="22"/>
      <c r="EI490" s="22"/>
      <c r="EJ490" s="22"/>
      <c r="EK490" s="22"/>
      <c r="EL490" s="22"/>
      <c r="EM490" s="22"/>
      <c r="EN490" s="344"/>
      <c r="EO490" s="344"/>
      <c r="EP490" s="22"/>
      <c r="EQ490" s="22"/>
      <c r="ER490" s="22"/>
      <c r="EU490" s="344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9"/>
      <c r="FG490" s="9"/>
      <c r="FH490" s="9"/>
      <c r="FI490" s="9"/>
      <c r="FJ490" s="9"/>
      <c r="FK490" s="9"/>
      <c r="FL490" s="9"/>
    </row>
    <row r="491" spans="54:168" x14ac:dyDescent="0.2">
      <c r="BB491" s="9" t="s">
        <v>76</v>
      </c>
      <c r="BC491" s="11">
        <f>0.9*BC499</f>
        <v>225</v>
      </c>
      <c r="BD491" s="231">
        <v>16</v>
      </c>
      <c r="BE491" s="232" t="s">
        <v>598</v>
      </c>
      <c r="CD491" s="9"/>
      <c r="CE491" s="9"/>
      <c r="DH491" s="22"/>
      <c r="DI491" s="22"/>
      <c r="DJ491" s="22"/>
      <c r="DK491" s="344"/>
      <c r="DL491" s="361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22"/>
      <c r="EG491" s="22"/>
      <c r="EH491" s="22"/>
      <c r="EI491" s="22"/>
      <c r="EJ491" s="22"/>
      <c r="EK491" s="22"/>
      <c r="EL491" s="22"/>
      <c r="EM491" s="22"/>
      <c r="EN491" s="344"/>
      <c r="EO491" s="344"/>
      <c r="EP491" s="22"/>
      <c r="EQ491" s="22"/>
      <c r="ER491" s="22"/>
      <c r="EU491" s="344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9"/>
      <c r="FG491" s="9"/>
      <c r="FH491" s="9"/>
      <c r="FI491" s="9"/>
      <c r="FJ491" s="9"/>
      <c r="FK491" s="9"/>
      <c r="FL491" s="9"/>
    </row>
    <row r="492" spans="54:168" x14ac:dyDescent="0.2">
      <c r="BB492" s="9" t="s">
        <v>76</v>
      </c>
      <c r="BC492" s="11">
        <f>0.92*BC499</f>
        <v>230</v>
      </c>
      <c r="BD492" s="231">
        <v>16</v>
      </c>
      <c r="BE492" s="232" t="s">
        <v>290</v>
      </c>
      <c r="CD492" s="9"/>
      <c r="CE492" s="9"/>
      <c r="DH492" s="22"/>
      <c r="DI492" s="22"/>
      <c r="DJ492" s="22"/>
      <c r="DK492" s="344"/>
      <c r="DL492" s="361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22"/>
      <c r="EG492" s="22"/>
      <c r="EH492" s="22"/>
      <c r="EI492" s="22"/>
      <c r="EJ492" s="22"/>
      <c r="EK492" s="22"/>
      <c r="EL492" s="22"/>
      <c r="EM492" s="22"/>
      <c r="EN492" s="344"/>
      <c r="EO492" s="344"/>
      <c r="EP492" s="22"/>
      <c r="EQ492" s="22"/>
      <c r="ER492" s="22"/>
      <c r="EU492" s="344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9"/>
      <c r="FG492" s="9"/>
      <c r="FH492" s="9"/>
      <c r="FI492" s="9"/>
      <c r="FJ492" s="9"/>
      <c r="FK492" s="9"/>
      <c r="FL492" s="9"/>
    </row>
    <row r="493" spans="54:168" x14ac:dyDescent="0.2">
      <c r="BB493" s="9" t="s">
        <v>76</v>
      </c>
      <c r="BC493" s="11">
        <f>0.93*BC499</f>
        <v>232.5</v>
      </c>
      <c r="BD493" s="231">
        <v>16</v>
      </c>
      <c r="BE493" s="232" t="s">
        <v>287</v>
      </c>
      <c r="CD493" s="9"/>
      <c r="CE493" s="9"/>
      <c r="DH493" s="22"/>
      <c r="DI493" s="22"/>
      <c r="DJ493" s="22"/>
      <c r="DK493" s="344"/>
      <c r="DL493" s="361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22"/>
      <c r="EG493" s="22"/>
      <c r="EH493" s="22"/>
      <c r="EI493" s="22"/>
      <c r="EJ493" s="22"/>
      <c r="EK493" s="22"/>
      <c r="EL493" s="22"/>
      <c r="EM493" s="22"/>
      <c r="EN493" s="344"/>
      <c r="EO493" s="344"/>
      <c r="EP493" s="22"/>
      <c r="EQ493" s="22"/>
      <c r="ER493" s="22"/>
      <c r="EU493" s="344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9"/>
      <c r="FG493" s="9"/>
      <c r="FH493" s="9"/>
      <c r="FI493" s="9"/>
      <c r="FJ493" s="9"/>
      <c r="FK493" s="9"/>
      <c r="FL493" s="9"/>
    </row>
    <row r="494" spans="54:168" x14ac:dyDescent="0.2">
      <c r="BB494" s="9" t="s">
        <v>76</v>
      </c>
      <c r="BC494" s="11">
        <f>0.94*BC499</f>
        <v>235</v>
      </c>
      <c r="BD494" s="231">
        <v>16</v>
      </c>
      <c r="BE494" s="232" t="s">
        <v>291</v>
      </c>
      <c r="CD494" s="9"/>
      <c r="CE494" s="9"/>
      <c r="DH494" s="22"/>
      <c r="DI494" s="22"/>
      <c r="DJ494" s="22"/>
      <c r="DK494" s="344"/>
      <c r="DL494" s="361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22"/>
      <c r="EG494" s="22"/>
      <c r="EH494" s="22"/>
      <c r="EI494" s="22"/>
      <c r="EJ494" s="22"/>
      <c r="EK494" s="22"/>
      <c r="EL494" s="22"/>
      <c r="EM494" s="22"/>
      <c r="EN494" s="344"/>
      <c r="EO494" s="344"/>
      <c r="EP494" s="22"/>
      <c r="EQ494" s="22"/>
      <c r="ER494" s="22"/>
      <c r="EU494" s="344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9"/>
      <c r="FG494" s="9"/>
      <c r="FH494" s="9"/>
      <c r="FI494" s="9"/>
      <c r="FJ494" s="9"/>
      <c r="FK494" s="9"/>
      <c r="FL494" s="9"/>
    </row>
    <row r="495" spans="54:168" x14ac:dyDescent="0.2">
      <c r="BB495" s="9" t="s">
        <v>76</v>
      </c>
      <c r="BC495" s="11">
        <f>0.95*BC499</f>
        <v>237.5</v>
      </c>
      <c r="BD495" s="231">
        <v>16</v>
      </c>
      <c r="BE495" s="232" t="s">
        <v>300</v>
      </c>
      <c r="CD495" s="9"/>
      <c r="CE495" s="9"/>
      <c r="DH495" s="22"/>
      <c r="DI495" s="22"/>
      <c r="DJ495" s="22"/>
      <c r="DK495" s="344"/>
      <c r="DL495" s="361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22"/>
      <c r="EG495" s="22"/>
      <c r="EH495" s="22"/>
      <c r="EI495" s="22"/>
      <c r="EJ495" s="22"/>
      <c r="EK495" s="22"/>
      <c r="EL495" s="22"/>
      <c r="EM495" s="22"/>
      <c r="EN495" s="344"/>
      <c r="EO495" s="344"/>
      <c r="EP495" s="22"/>
      <c r="EQ495" s="22"/>
      <c r="ER495" s="22"/>
      <c r="EU495" s="344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9"/>
      <c r="FG495" s="9"/>
      <c r="FH495" s="9"/>
      <c r="FI495" s="9"/>
      <c r="FJ495" s="9"/>
      <c r="FK495" s="9"/>
      <c r="FL495" s="9"/>
    </row>
    <row r="496" spans="54:168" x14ac:dyDescent="0.2">
      <c r="BB496" s="9" t="s">
        <v>76</v>
      </c>
      <c r="BC496" s="11">
        <f>0.96*BC499</f>
        <v>240</v>
      </c>
      <c r="BD496" s="231">
        <v>16</v>
      </c>
      <c r="BE496" s="232" t="s">
        <v>292</v>
      </c>
      <c r="CD496" s="9"/>
      <c r="CE496" s="9"/>
      <c r="DH496" s="22"/>
      <c r="DI496" s="22"/>
      <c r="DJ496" s="22"/>
      <c r="DK496" s="344"/>
      <c r="DL496" s="361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22"/>
      <c r="EG496" s="22"/>
      <c r="EH496" s="22"/>
      <c r="EI496" s="22"/>
      <c r="EJ496" s="22"/>
      <c r="EK496" s="22"/>
      <c r="EL496" s="22"/>
      <c r="EM496" s="22"/>
      <c r="EN496" s="344"/>
      <c r="EO496" s="344"/>
      <c r="EP496" s="22"/>
      <c r="EQ496" s="22"/>
      <c r="ER496" s="22"/>
      <c r="EU496" s="344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9"/>
      <c r="FG496" s="9"/>
      <c r="FH496" s="9"/>
      <c r="FI496" s="9"/>
      <c r="FJ496" s="9"/>
      <c r="FK496" s="9"/>
      <c r="FL496" s="9"/>
    </row>
    <row r="497" spans="54:168" x14ac:dyDescent="0.2">
      <c r="BB497" s="9" t="s">
        <v>76</v>
      </c>
      <c r="BC497" s="11">
        <f>0.97*BC499</f>
        <v>242.5</v>
      </c>
      <c r="BD497" s="231">
        <v>20</v>
      </c>
      <c r="BE497" s="233" t="s">
        <v>30</v>
      </c>
      <c r="CD497" s="9"/>
      <c r="CE497" s="9"/>
      <c r="DH497" s="22"/>
      <c r="DI497" s="22"/>
      <c r="DJ497" s="22"/>
      <c r="DK497" s="344"/>
      <c r="DL497" s="361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22"/>
      <c r="EG497" s="22"/>
      <c r="EH497" s="22"/>
      <c r="EI497" s="22"/>
      <c r="EJ497" s="22"/>
      <c r="EK497" s="22"/>
      <c r="EL497" s="22"/>
      <c r="EM497" s="22"/>
      <c r="EN497" s="344"/>
      <c r="EO497" s="344"/>
      <c r="EP497" s="22"/>
      <c r="EQ497" s="22"/>
      <c r="ER497" s="22"/>
      <c r="EU497" s="344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9"/>
      <c r="FG497" s="9"/>
      <c r="FH497" s="9"/>
      <c r="FI497" s="9"/>
      <c r="FJ497" s="9"/>
      <c r="FK497" s="9"/>
      <c r="FL497" s="9"/>
    </row>
    <row r="498" spans="54:168" x14ac:dyDescent="0.2">
      <c r="BB498" s="9" t="s">
        <v>76</v>
      </c>
      <c r="BC498" s="11">
        <f>0.98*BC499</f>
        <v>245</v>
      </c>
      <c r="BD498" s="231">
        <v>20</v>
      </c>
      <c r="BE498" s="232" t="s">
        <v>595</v>
      </c>
      <c r="CD498" s="9"/>
      <c r="CE498" s="9"/>
      <c r="DH498" s="22"/>
      <c r="DI498" s="22"/>
      <c r="DJ498" s="22"/>
      <c r="DK498" s="344"/>
      <c r="DL498" s="361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22"/>
      <c r="EG498" s="22"/>
      <c r="EH498" s="22"/>
      <c r="EI498" s="22"/>
      <c r="EJ498" s="22"/>
      <c r="EK498" s="22"/>
      <c r="EL498" s="22"/>
      <c r="EM498" s="22"/>
      <c r="EN498" s="344"/>
      <c r="EO498" s="344"/>
      <c r="EP498" s="22"/>
      <c r="EQ498" s="22"/>
      <c r="ER498" s="22"/>
      <c r="EU498" s="344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9"/>
      <c r="FG498" s="9"/>
      <c r="FH498" s="9"/>
      <c r="FI498" s="9"/>
      <c r="FJ498" s="9"/>
      <c r="FK498" s="9"/>
      <c r="FL498" s="9"/>
    </row>
    <row r="499" spans="54:168" x14ac:dyDescent="0.2">
      <c r="BB499" s="9" t="s">
        <v>76</v>
      </c>
      <c r="BC499" s="11">
        <v>250</v>
      </c>
      <c r="BD499" s="231">
        <v>20</v>
      </c>
      <c r="BE499" s="232" t="s">
        <v>596</v>
      </c>
      <c r="CD499" s="9"/>
      <c r="CE499" s="9"/>
      <c r="DH499" s="22"/>
      <c r="DI499" s="22"/>
      <c r="DJ499" s="22"/>
      <c r="DK499" s="344"/>
      <c r="DL499" s="361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22"/>
      <c r="EG499" s="22"/>
      <c r="EH499" s="22"/>
      <c r="EI499" s="22"/>
      <c r="EJ499" s="22"/>
      <c r="EK499" s="22"/>
      <c r="EL499" s="22"/>
      <c r="EM499" s="22"/>
      <c r="EN499" s="344"/>
      <c r="EO499" s="344"/>
      <c r="EP499" s="22"/>
      <c r="EQ499" s="22"/>
      <c r="ER499" s="22"/>
      <c r="EU499" s="344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9"/>
      <c r="FG499" s="9"/>
      <c r="FH499" s="9"/>
      <c r="FI499" s="9"/>
      <c r="FJ499" s="9"/>
      <c r="FK499" s="9"/>
      <c r="FL499" s="9"/>
    </row>
    <row r="500" spans="54:168" x14ac:dyDescent="0.2">
      <c r="BB500" s="9" t="s">
        <v>76</v>
      </c>
      <c r="BC500" s="11">
        <f>0.9*BC508</f>
        <v>252</v>
      </c>
      <c r="BD500" s="231">
        <v>20</v>
      </c>
      <c r="BE500" s="232" t="s">
        <v>597</v>
      </c>
      <c r="CD500" s="9"/>
      <c r="CE500" s="9"/>
      <c r="DH500" s="22"/>
      <c r="DI500" s="22"/>
      <c r="DJ500" s="22"/>
      <c r="DK500" s="344"/>
      <c r="DL500" s="361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22"/>
      <c r="EG500" s="22"/>
      <c r="EH500" s="22"/>
      <c r="EI500" s="22"/>
      <c r="EJ500" s="22"/>
      <c r="EK500" s="22"/>
      <c r="EL500" s="22"/>
      <c r="EM500" s="22"/>
      <c r="EN500" s="344"/>
      <c r="EO500" s="344"/>
      <c r="EP500" s="22"/>
      <c r="EQ500" s="22"/>
      <c r="ER500" s="22"/>
      <c r="EU500" s="344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9"/>
      <c r="FG500" s="9"/>
      <c r="FH500" s="9"/>
      <c r="FI500" s="9"/>
      <c r="FJ500" s="9"/>
      <c r="FK500" s="9"/>
      <c r="FL500" s="9"/>
    </row>
    <row r="501" spans="54:168" x14ac:dyDescent="0.2">
      <c r="BB501" s="9" t="s">
        <v>76</v>
      </c>
      <c r="BC501" s="11">
        <f>0.92*BC508</f>
        <v>257.60000000000002</v>
      </c>
      <c r="BD501" s="231">
        <v>20</v>
      </c>
      <c r="BE501" s="232" t="s">
        <v>598</v>
      </c>
      <c r="CD501" s="9"/>
      <c r="CE501" s="9"/>
      <c r="DH501" s="22"/>
      <c r="DI501" s="22"/>
      <c r="DJ501" s="22"/>
      <c r="DK501" s="344"/>
      <c r="DL501" s="361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22"/>
      <c r="EG501" s="22"/>
      <c r="EH501" s="22"/>
      <c r="EI501" s="22"/>
      <c r="EJ501" s="22"/>
      <c r="EK501" s="22"/>
      <c r="EL501" s="22"/>
      <c r="EM501" s="22"/>
      <c r="EN501" s="344"/>
      <c r="EO501" s="344"/>
      <c r="EP501" s="22"/>
      <c r="EQ501" s="22"/>
      <c r="ER501" s="22"/>
      <c r="EU501" s="344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9"/>
      <c r="FG501" s="9"/>
      <c r="FH501" s="9"/>
      <c r="FI501" s="9"/>
      <c r="FJ501" s="9"/>
      <c r="FK501" s="9"/>
      <c r="FL501" s="9"/>
    </row>
    <row r="502" spans="54:168" x14ac:dyDescent="0.2">
      <c r="BB502" s="9" t="s">
        <v>76</v>
      </c>
      <c r="BC502" s="11">
        <f>0.93*BC508</f>
        <v>260.40000000000003</v>
      </c>
      <c r="BD502" s="231">
        <v>20</v>
      </c>
      <c r="BE502" s="232" t="s">
        <v>290</v>
      </c>
      <c r="CD502" s="9"/>
      <c r="CE502" s="9"/>
      <c r="DH502" s="22"/>
      <c r="DI502" s="22"/>
      <c r="DJ502" s="22"/>
      <c r="DK502" s="344"/>
      <c r="DL502" s="361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22"/>
      <c r="EG502" s="22"/>
      <c r="EH502" s="22"/>
      <c r="EI502" s="22"/>
      <c r="EJ502" s="22"/>
      <c r="EK502" s="22"/>
      <c r="EL502" s="22"/>
      <c r="EM502" s="22"/>
      <c r="EN502" s="344"/>
      <c r="EO502" s="344"/>
      <c r="EP502" s="22"/>
      <c r="EQ502" s="22"/>
      <c r="ER502" s="22"/>
      <c r="EU502" s="344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9"/>
      <c r="FG502" s="9"/>
      <c r="FH502" s="9"/>
      <c r="FI502" s="9"/>
      <c r="FJ502" s="9"/>
      <c r="FK502" s="9"/>
      <c r="FL502" s="9"/>
    </row>
    <row r="503" spans="54:168" x14ac:dyDescent="0.2">
      <c r="BB503" s="9" t="s">
        <v>76</v>
      </c>
      <c r="BC503" s="11">
        <f>0.94*BC508</f>
        <v>263.2</v>
      </c>
      <c r="BD503" s="231">
        <v>20</v>
      </c>
      <c r="BE503" s="232" t="s">
        <v>287</v>
      </c>
      <c r="CD503" s="9"/>
      <c r="CE503" s="9"/>
      <c r="DH503" s="22"/>
      <c r="DI503" s="22"/>
      <c r="DJ503" s="22"/>
      <c r="DK503" s="344"/>
      <c r="DL503" s="361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22"/>
      <c r="EG503" s="22"/>
      <c r="EH503" s="22"/>
      <c r="EI503" s="22"/>
      <c r="EJ503" s="22"/>
      <c r="EK503" s="22"/>
      <c r="EL503" s="22"/>
      <c r="EM503" s="22"/>
      <c r="EN503" s="344"/>
      <c r="EO503" s="344"/>
      <c r="EP503" s="22"/>
      <c r="EQ503" s="22"/>
      <c r="ER503" s="22"/>
      <c r="EU503" s="344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9"/>
      <c r="FG503" s="9"/>
      <c r="FH503" s="9"/>
      <c r="FI503" s="9"/>
      <c r="FJ503" s="9"/>
      <c r="FK503" s="9"/>
      <c r="FL503" s="9"/>
    </row>
    <row r="504" spans="54:168" x14ac:dyDescent="0.2">
      <c r="BB504" s="9" t="s">
        <v>76</v>
      </c>
      <c r="BC504" s="11">
        <f>0.95*BC508</f>
        <v>266</v>
      </c>
      <c r="BD504" s="231">
        <v>20</v>
      </c>
      <c r="BE504" s="232" t="s">
        <v>291</v>
      </c>
      <c r="CD504" s="9"/>
      <c r="CE504" s="9"/>
      <c r="DH504" s="22"/>
      <c r="DI504" s="22"/>
      <c r="DJ504" s="22"/>
      <c r="DK504" s="344"/>
      <c r="DL504" s="361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22"/>
      <c r="EG504" s="22"/>
      <c r="EH504" s="22"/>
      <c r="EI504" s="22"/>
      <c r="EJ504" s="22"/>
      <c r="EK504" s="22"/>
      <c r="EL504" s="22"/>
      <c r="EM504" s="22"/>
      <c r="EN504" s="344"/>
      <c r="EO504" s="344"/>
      <c r="EP504" s="22"/>
      <c r="EQ504" s="22"/>
      <c r="ER504" s="22"/>
      <c r="EU504" s="344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9"/>
      <c r="FG504" s="9"/>
      <c r="FH504" s="9"/>
      <c r="FI504" s="9"/>
      <c r="FJ504" s="9"/>
      <c r="FK504" s="9"/>
      <c r="FL504" s="9"/>
    </row>
    <row r="505" spans="54:168" x14ac:dyDescent="0.2">
      <c r="BB505" s="9" t="s">
        <v>76</v>
      </c>
      <c r="BC505" s="11">
        <f>0.96*BC508</f>
        <v>268.8</v>
      </c>
      <c r="BD505" s="231">
        <v>20</v>
      </c>
      <c r="BE505" s="232" t="s">
        <v>300</v>
      </c>
      <c r="CD505" s="9"/>
      <c r="CE505" s="9"/>
      <c r="DH505" s="22"/>
      <c r="DI505" s="22"/>
      <c r="DJ505" s="22"/>
      <c r="DK505" s="344"/>
      <c r="DL505" s="361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22"/>
      <c r="EG505" s="22"/>
      <c r="EH505" s="22"/>
      <c r="EI505" s="22"/>
      <c r="EJ505" s="22"/>
      <c r="EK505" s="22"/>
      <c r="EL505" s="22"/>
      <c r="EM505" s="22"/>
      <c r="EN505" s="344"/>
      <c r="EO505" s="344"/>
      <c r="EP505" s="22"/>
      <c r="EQ505" s="22"/>
      <c r="ER505" s="22"/>
      <c r="EU505" s="344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9"/>
      <c r="FG505" s="9"/>
      <c r="FH505" s="9"/>
      <c r="FI505" s="9"/>
      <c r="FJ505" s="9"/>
      <c r="FK505" s="9"/>
      <c r="FL505" s="9"/>
    </row>
    <row r="506" spans="54:168" x14ac:dyDescent="0.2">
      <c r="BB506" s="9" t="s">
        <v>76</v>
      </c>
      <c r="BC506" s="11">
        <f>0.97*BC508</f>
        <v>271.59999999999997</v>
      </c>
      <c r="BD506" s="231">
        <v>20</v>
      </c>
      <c r="BE506" s="232" t="s">
        <v>292</v>
      </c>
      <c r="CD506" s="9"/>
      <c r="CE506" s="9"/>
      <c r="DH506" s="22"/>
      <c r="DI506" s="22"/>
      <c r="DJ506" s="22"/>
      <c r="DK506" s="344"/>
      <c r="DL506" s="361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22"/>
      <c r="EG506" s="22"/>
      <c r="EH506" s="22"/>
      <c r="EI506" s="22"/>
      <c r="EJ506" s="22"/>
      <c r="EK506" s="22"/>
      <c r="EL506" s="22"/>
      <c r="EM506" s="22"/>
      <c r="EN506" s="344"/>
      <c r="EO506" s="344"/>
      <c r="EP506" s="22"/>
      <c r="EQ506" s="22"/>
      <c r="ER506" s="22"/>
      <c r="EU506" s="344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9"/>
      <c r="FG506" s="9"/>
      <c r="FH506" s="9"/>
      <c r="FI506" s="9"/>
      <c r="FJ506" s="9"/>
      <c r="FK506" s="9"/>
      <c r="FL506" s="9"/>
    </row>
    <row r="507" spans="54:168" x14ac:dyDescent="0.2">
      <c r="BB507" s="9" t="s">
        <v>76</v>
      </c>
      <c r="BC507" s="11">
        <f>0.98*BC508</f>
        <v>274.39999999999998</v>
      </c>
      <c r="BD507" s="231">
        <v>25</v>
      </c>
      <c r="BE507" s="233" t="s">
        <v>30</v>
      </c>
      <c r="CD507" s="9"/>
      <c r="CE507" s="9"/>
      <c r="DH507" s="22"/>
      <c r="DI507" s="22"/>
      <c r="DJ507" s="22"/>
      <c r="DK507" s="344"/>
      <c r="DL507" s="361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22"/>
      <c r="EG507" s="22"/>
      <c r="EH507" s="22"/>
      <c r="EI507" s="22"/>
      <c r="EJ507" s="22"/>
      <c r="EK507" s="22"/>
      <c r="EL507" s="22"/>
      <c r="EM507" s="22"/>
      <c r="EN507" s="344"/>
      <c r="EO507" s="344"/>
      <c r="EP507" s="22"/>
      <c r="EQ507" s="22"/>
      <c r="ER507" s="22"/>
      <c r="EU507" s="344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9"/>
      <c r="FG507" s="9"/>
      <c r="FH507" s="9"/>
      <c r="FI507" s="9"/>
      <c r="FJ507" s="9"/>
      <c r="FK507" s="9"/>
      <c r="FL507" s="9"/>
    </row>
    <row r="508" spans="54:168" x14ac:dyDescent="0.2">
      <c r="BB508" s="9" t="s">
        <v>76</v>
      </c>
      <c r="BC508" s="11">
        <v>280</v>
      </c>
      <c r="BD508" s="231">
        <v>25</v>
      </c>
      <c r="BE508" s="232" t="s">
        <v>595</v>
      </c>
      <c r="CD508" s="9"/>
      <c r="CE508" s="9"/>
      <c r="DH508" s="22"/>
      <c r="DI508" s="22"/>
      <c r="DJ508" s="22"/>
      <c r="DK508" s="344"/>
      <c r="DL508" s="361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22"/>
      <c r="EG508" s="22"/>
      <c r="EH508" s="22"/>
      <c r="EI508" s="22"/>
      <c r="EJ508" s="22"/>
      <c r="EK508" s="22"/>
      <c r="EL508" s="22"/>
      <c r="EM508" s="22"/>
      <c r="EN508" s="344"/>
      <c r="EO508" s="344"/>
      <c r="EP508" s="22"/>
      <c r="EQ508" s="22"/>
      <c r="ER508" s="22"/>
      <c r="EU508" s="344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9"/>
      <c r="FG508" s="9"/>
      <c r="FH508" s="9"/>
      <c r="FI508" s="9"/>
      <c r="FJ508" s="9"/>
      <c r="FK508" s="9"/>
      <c r="FL508" s="9"/>
    </row>
    <row r="509" spans="54:168" x14ac:dyDescent="0.2">
      <c r="BB509" s="9" t="s">
        <v>76</v>
      </c>
      <c r="BC509" s="11">
        <f>0.9*BC517</f>
        <v>288</v>
      </c>
      <c r="BD509" s="231">
        <v>25</v>
      </c>
      <c r="BE509" s="232" t="s">
        <v>596</v>
      </c>
      <c r="CD509" s="9"/>
      <c r="CE509" s="9"/>
      <c r="DH509" s="22"/>
      <c r="DI509" s="22"/>
      <c r="DJ509" s="22"/>
      <c r="DK509" s="344"/>
      <c r="DL509" s="361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22"/>
      <c r="EG509" s="22"/>
      <c r="EH509" s="22"/>
      <c r="EI509" s="22"/>
      <c r="EJ509" s="22"/>
      <c r="EK509" s="22"/>
      <c r="EL509" s="22"/>
      <c r="EM509" s="22"/>
      <c r="EN509" s="344"/>
      <c r="EO509" s="344"/>
      <c r="EP509" s="22"/>
      <c r="EQ509" s="22"/>
      <c r="ER509" s="22"/>
      <c r="EU509" s="344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9"/>
      <c r="FG509" s="9"/>
      <c r="FH509" s="9"/>
      <c r="FI509" s="9"/>
      <c r="FJ509" s="9"/>
      <c r="FK509" s="9"/>
      <c r="FL509" s="9"/>
    </row>
    <row r="510" spans="54:168" x14ac:dyDescent="0.2">
      <c r="BB510" s="9" t="s">
        <v>76</v>
      </c>
      <c r="BC510" s="11">
        <f>0.92*BC517</f>
        <v>294.40000000000003</v>
      </c>
      <c r="BD510" s="231">
        <v>25</v>
      </c>
      <c r="BE510" s="232" t="s">
        <v>597</v>
      </c>
      <c r="CD510" s="9"/>
      <c r="CE510" s="9"/>
      <c r="DH510" s="22"/>
      <c r="DI510" s="22"/>
      <c r="DJ510" s="22"/>
      <c r="DK510" s="344"/>
      <c r="DL510" s="361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22"/>
      <c r="EG510" s="22"/>
      <c r="EH510" s="22"/>
      <c r="EI510" s="22"/>
      <c r="EJ510" s="22"/>
      <c r="EK510" s="22"/>
      <c r="EL510" s="22"/>
      <c r="EM510" s="22"/>
      <c r="EN510" s="344"/>
      <c r="EO510" s="344"/>
      <c r="EP510" s="22"/>
      <c r="EQ510" s="22"/>
      <c r="ER510" s="22"/>
      <c r="EU510" s="344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9"/>
      <c r="FG510" s="9"/>
      <c r="FH510" s="9"/>
      <c r="FI510" s="9"/>
      <c r="FJ510" s="9"/>
      <c r="FK510" s="9"/>
      <c r="FL510" s="9"/>
    </row>
    <row r="511" spans="54:168" x14ac:dyDescent="0.2">
      <c r="BB511" s="9" t="s">
        <v>76</v>
      </c>
      <c r="BC511" s="11">
        <f>0.93*BC517</f>
        <v>297.60000000000002</v>
      </c>
      <c r="BD511" s="231">
        <v>25</v>
      </c>
      <c r="BE511" s="232" t="s">
        <v>598</v>
      </c>
      <c r="CD511" s="9"/>
      <c r="CE511" s="9"/>
      <c r="DH511" s="22"/>
      <c r="DI511" s="22"/>
      <c r="DJ511" s="22"/>
      <c r="DK511" s="344"/>
      <c r="DL511" s="361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22"/>
      <c r="EG511" s="22"/>
      <c r="EH511" s="22"/>
      <c r="EI511" s="22"/>
      <c r="EJ511" s="22"/>
      <c r="EK511" s="22"/>
      <c r="EL511" s="22"/>
      <c r="EM511" s="22"/>
      <c r="EN511" s="344"/>
      <c r="EO511" s="344"/>
      <c r="EP511" s="22"/>
      <c r="EQ511" s="22"/>
      <c r="ER511" s="22"/>
      <c r="EU511" s="344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9"/>
      <c r="FG511" s="9"/>
      <c r="FH511" s="9"/>
      <c r="FI511" s="9"/>
      <c r="FJ511" s="9"/>
      <c r="FK511" s="9"/>
      <c r="FL511" s="9"/>
    </row>
    <row r="512" spans="54:168" x14ac:dyDescent="0.2">
      <c r="BB512" s="9" t="s">
        <v>76</v>
      </c>
      <c r="BC512" s="11">
        <f>0.94*BC517</f>
        <v>300.79999999999995</v>
      </c>
      <c r="BD512" s="231">
        <v>25</v>
      </c>
      <c r="BE512" s="232" t="s">
        <v>290</v>
      </c>
      <c r="CD512" s="9"/>
      <c r="CE512" s="9"/>
      <c r="DH512" s="22"/>
      <c r="DI512" s="22"/>
      <c r="DJ512" s="22"/>
      <c r="DK512" s="344"/>
      <c r="DL512" s="361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22"/>
      <c r="EG512" s="22"/>
      <c r="EH512" s="22"/>
      <c r="EI512" s="22"/>
      <c r="EJ512" s="22"/>
      <c r="EK512" s="22"/>
      <c r="EL512" s="22"/>
      <c r="EM512" s="22"/>
      <c r="EN512" s="344"/>
      <c r="EO512" s="344"/>
      <c r="EP512" s="22"/>
      <c r="EQ512" s="22"/>
      <c r="ER512" s="22"/>
      <c r="EU512" s="344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9"/>
      <c r="FG512" s="9"/>
      <c r="FH512" s="9"/>
      <c r="FI512" s="9"/>
      <c r="FJ512" s="9"/>
      <c r="FK512" s="9"/>
      <c r="FL512" s="9"/>
    </row>
    <row r="513" spans="24:177" x14ac:dyDescent="0.2">
      <c r="BB513" s="9" t="s">
        <v>76</v>
      </c>
      <c r="BC513" s="11">
        <f>0.95*BC517</f>
        <v>304</v>
      </c>
      <c r="BD513" s="231">
        <v>25</v>
      </c>
      <c r="BE513" s="232" t="s">
        <v>287</v>
      </c>
      <c r="CD513" s="9"/>
      <c r="CE513" s="9"/>
      <c r="DH513" s="22"/>
      <c r="DI513" s="22"/>
      <c r="DJ513" s="22"/>
      <c r="DK513" s="344"/>
      <c r="DL513" s="361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22"/>
      <c r="EG513" s="22"/>
      <c r="EH513" s="22"/>
      <c r="EI513" s="22"/>
      <c r="EJ513" s="22"/>
      <c r="EK513" s="22"/>
      <c r="EL513" s="22"/>
      <c r="EM513" s="22"/>
      <c r="EN513" s="344"/>
      <c r="EO513" s="344"/>
      <c r="EP513" s="22"/>
      <c r="EQ513" s="22"/>
      <c r="ER513" s="22"/>
      <c r="EU513" s="344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9"/>
      <c r="FG513" s="9"/>
      <c r="FH513" s="9"/>
      <c r="FI513" s="9"/>
      <c r="FJ513" s="9"/>
      <c r="FK513" s="9"/>
      <c r="FL513" s="9"/>
    </row>
    <row r="514" spans="24:177" x14ac:dyDescent="0.2">
      <c r="BB514" s="9" t="s">
        <v>76</v>
      </c>
      <c r="BC514" s="11">
        <f>0.96*BC517</f>
        <v>307.2</v>
      </c>
      <c r="BD514" s="231">
        <v>25</v>
      </c>
      <c r="BE514" s="232" t="s">
        <v>291</v>
      </c>
      <c r="CD514" s="9"/>
      <c r="CE514" s="9"/>
      <c r="DH514" s="22"/>
      <c r="DI514" s="22"/>
      <c r="DJ514" s="22"/>
      <c r="DK514" s="344"/>
      <c r="DL514" s="361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22"/>
      <c r="EG514" s="22"/>
      <c r="EH514" s="22"/>
      <c r="EI514" s="22"/>
      <c r="EJ514" s="22"/>
      <c r="EK514" s="22"/>
      <c r="EL514" s="22"/>
      <c r="EM514" s="22"/>
      <c r="EN514" s="344"/>
      <c r="EO514" s="344"/>
      <c r="EP514" s="22"/>
      <c r="EQ514" s="22"/>
      <c r="ER514" s="22"/>
      <c r="EU514" s="344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9"/>
      <c r="FG514" s="9"/>
      <c r="FH514" s="9"/>
      <c r="FI514" s="9"/>
      <c r="FJ514" s="9"/>
      <c r="FK514" s="9"/>
      <c r="FL514" s="9"/>
    </row>
    <row r="515" spans="24:177" x14ac:dyDescent="0.2">
      <c r="BB515" s="9" t="s">
        <v>76</v>
      </c>
      <c r="BC515" s="11">
        <f>0.97*BC517</f>
        <v>310.39999999999998</v>
      </c>
      <c r="BD515" s="231">
        <v>25</v>
      </c>
      <c r="BE515" s="232" t="s">
        <v>300</v>
      </c>
      <c r="CD515" s="9"/>
      <c r="CE515" s="9"/>
      <c r="DH515" s="22"/>
      <c r="DI515" s="22"/>
      <c r="DJ515" s="22"/>
      <c r="DK515" s="344"/>
      <c r="DL515" s="361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22"/>
      <c r="EG515" s="22"/>
      <c r="EH515" s="22"/>
      <c r="EI515" s="22"/>
      <c r="EJ515" s="22"/>
      <c r="EK515" s="22"/>
      <c r="EL515" s="22"/>
      <c r="EM515" s="22"/>
      <c r="EN515" s="344"/>
      <c r="EO515" s="344"/>
      <c r="EP515" s="22"/>
      <c r="EQ515" s="22"/>
      <c r="ER515" s="22"/>
      <c r="EU515" s="344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9"/>
      <c r="FG515" s="9"/>
      <c r="FH515" s="9"/>
      <c r="FI515" s="9"/>
      <c r="FJ515" s="9"/>
      <c r="FK515" s="9"/>
      <c r="FL515" s="9"/>
    </row>
    <row r="516" spans="24:177" ht="13.5" thickBot="1" x14ac:dyDescent="0.25">
      <c r="BB516" s="9" t="s">
        <v>76</v>
      </c>
      <c r="BC516" s="11">
        <f>0.98*BC517</f>
        <v>313.60000000000002</v>
      </c>
      <c r="BD516" s="237">
        <v>25</v>
      </c>
      <c r="BE516" s="238" t="s">
        <v>292</v>
      </c>
      <c r="CD516" s="9"/>
      <c r="CE516" s="9"/>
      <c r="DH516" s="22"/>
      <c r="DI516" s="22"/>
      <c r="DJ516" s="22"/>
      <c r="DK516" s="344"/>
      <c r="DL516" s="361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22"/>
      <c r="EG516" s="22"/>
      <c r="EH516" s="22"/>
      <c r="EI516" s="22"/>
      <c r="EJ516" s="22"/>
      <c r="EK516" s="22"/>
      <c r="EL516" s="22"/>
      <c r="EM516" s="22"/>
      <c r="EN516" s="344"/>
      <c r="EO516" s="344"/>
      <c r="EP516" s="22"/>
      <c r="EQ516" s="22"/>
      <c r="ER516" s="22"/>
      <c r="EU516" s="344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9"/>
      <c r="FG516" s="9"/>
      <c r="FH516" s="9"/>
      <c r="FI516" s="9"/>
      <c r="FJ516" s="9"/>
      <c r="FK516" s="9"/>
      <c r="FL516" s="9"/>
    </row>
    <row r="517" spans="24:177" x14ac:dyDescent="0.2">
      <c r="BB517" s="9" t="s">
        <v>76</v>
      </c>
      <c r="BC517" s="11">
        <v>320</v>
      </c>
      <c r="BD517" s="231">
        <v>32</v>
      </c>
      <c r="BE517" s="235" t="s">
        <v>30</v>
      </c>
      <c r="CD517" s="9"/>
      <c r="CE517" s="9"/>
      <c r="DH517" s="22"/>
      <c r="DI517" s="22"/>
      <c r="DJ517" s="22"/>
      <c r="DK517" s="344"/>
      <c r="DL517" s="361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22"/>
      <c r="EG517" s="22"/>
      <c r="EH517" s="22"/>
      <c r="EI517" s="22"/>
      <c r="EJ517" s="22"/>
      <c r="EK517" s="22"/>
      <c r="EL517" s="22"/>
      <c r="EM517" s="22"/>
      <c r="EN517" s="344"/>
      <c r="EO517" s="344"/>
      <c r="EP517" s="22"/>
      <c r="EQ517" s="22"/>
      <c r="ER517" s="22"/>
      <c r="EU517" s="344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9"/>
      <c r="FG517" s="9"/>
      <c r="FH517" s="9"/>
      <c r="FI517" s="9"/>
      <c r="FJ517" s="9"/>
      <c r="FK517" s="9"/>
      <c r="FL517" s="9"/>
    </row>
    <row r="518" spans="24:177" x14ac:dyDescent="0.2">
      <c r="BB518" s="9" t="s">
        <v>76</v>
      </c>
      <c r="BC518" s="11">
        <f>0.9*BC526</f>
        <v>315</v>
      </c>
      <c r="BD518" s="231">
        <v>32</v>
      </c>
      <c r="BE518" s="232" t="s">
        <v>595</v>
      </c>
      <c r="CD518" s="9"/>
      <c r="CE518" s="9"/>
      <c r="DH518" s="22"/>
      <c r="DI518" s="22"/>
      <c r="DJ518" s="22"/>
      <c r="DK518" s="344"/>
      <c r="DL518" s="361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22"/>
      <c r="EG518" s="22"/>
      <c r="EH518" s="22"/>
      <c r="EI518" s="22"/>
      <c r="EJ518" s="22"/>
      <c r="EK518" s="22"/>
      <c r="EL518" s="22"/>
      <c r="EM518" s="22"/>
      <c r="EN518" s="344"/>
      <c r="EO518" s="344"/>
      <c r="EP518" s="22"/>
      <c r="EQ518" s="22"/>
      <c r="ER518" s="22"/>
      <c r="EU518" s="344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9"/>
      <c r="FG518" s="9"/>
      <c r="FH518" s="9"/>
      <c r="FI518" s="9"/>
      <c r="FJ518" s="9"/>
      <c r="FK518" s="9"/>
      <c r="FL518" s="9"/>
    </row>
    <row r="519" spans="24:177" x14ac:dyDescent="0.2">
      <c r="BB519" s="9" t="s">
        <v>76</v>
      </c>
      <c r="BC519" s="11">
        <f>0.92*BC526</f>
        <v>322</v>
      </c>
      <c r="BD519" s="231">
        <v>32</v>
      </c>
      <c r="BE519" s="232" t="s">
        <v>596</v>
      </c>
      <c r="CD519" s="9"/>
      <c r="CE519" s="9"/>
      <c r="DH519" s="22"/>
      <c r="DI519" s="22"/>
      <c r="DJ519" s="22"/>
      <c r="DK519" s="344"/>
      <c r="DL519" s="361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22"/>
      <c r="EG519" s="22"/>
      <c r="EH519" s="22"/>
      <c r="EI519" s="22"/>
      <c r="EJ519" s="22"/>
      <c r="EK519" s="22"/>
      <c r="EL519" s="22"/>
      <c r="EM519" s="22"/>
      <c r="EN519" s="344"/>
      <c r="EO519" s="344"/>
      <c r="EP519" s="22"/>
      <c r="EQ519" s="22"/>
      <c r="ER519" s="22"/>
      <c r="EU519" s="344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9"/>
      <c r="FG519" s="9"/>
      <c r="FH519" s="9"/>
      <c r="FI519" s="9"/>
      <c r="FJ519" s="9"/>
      <c r="FK519" s="9"/>
      <c r="FL519" s="9"/>
    </row>
    <row r="520" spans="24:177" x14ac:dyDescent="0.2">
      <c r="BB520" s="9" t="s">
        <v>76</v>
      </c>
      <c r="BC520" s="11">
        <f>0.93*BC526</f>
        <v>325.5</v>
      </c>
      <c r="BD520" s="231">
        <v>32</v>
      </c>
      <c r="BE520" s="232" t="s">
        <v>597</v>
      </c>
      <c r="CD520" s="9"/>
      <c r="CE520" s="9"/>
      <c r="DH520" s="22"/>
      <c r="DI520" s="22"/>
      <c r="DJ520" s="22"/>
      <c r="DK520" s="344"/>
      <c r="DL520" s="361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22"/>
      <c r="EG520" s="22"/>
      <c r="EH520" s="22"/>
      <c r="EI520" s="22"/>
      <c r="EJ520" s="22"/>
      <c r="EK520" s="22"/>
      <c r="EL520" s="22"/>
      <c r="EM520" s="22"/>
      <c r="EN520" s="344"/>
      <c r="EO520" s="344"/>
      <c r="EP520" s="22"/>
      <c r="EQ520" s="22"/>
      <c r="ER520" s="22"/>
      <c r="EU520" s="344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9"/>
      <c r="FG520" s="9"/>
      <c r="FH520" s="9"/>
      <c r="FI520" s="9"/>
      <c r="FJ520" s="9"/>
      <c r="FK520" s="9"/>
      <c r="FL520" s="9"/>
    </row>
    <row r="521" spans="24:177" s="9" customFormat="1" x14ac:dyDescent="0.2">
      <c r="X521" s="50"/>
      <c r="AC521" s="8"/>
      <c r="AD521" s="11"/>
      <c r="AE521" s="8"/>
      <c r="AF521" s="10"/>
      <c r="AW521" s="8"/>
      <c r="AX521" s="108"/>
      <c r="AY521" s="102"/>
      <c r="AZ521" s="109"/>
      <c r="BA521" s="11"/>
      <c r="BB521" s="9" t="s">
        <v>76</v>
      </c>
      <c r="BC521" s="11">
        <f>0.94*BC526</f>
        <v>329</v>
      </c>
      <c r="BD521" s="231">
        <v>32</v>
      </c>
      <c r="BE521" s="232" t="s">
        <v>598</v>
      </c>
      <c r="CA521" s="18"/>
      <c r="DH521" s="22"/>
      <c r="DI521" s="22"/>
      <c r="DJ521" s="22"/>
      <c r="DK521" s="344"/>
      <c r="DL521" s="361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22"/>
      <c r="EG521" s="22"/>
      <c r="EH521" s="22"/>
      <c r="EI521" s="22"/>
      <c r="EJ521" s="22"/>
      <c r="EK521" s="22"/>
      <c r="EL521" s="22"/>
      <c r="EM521" s="22"/>
      <c r="EN521" s="344"/>
      <c r="EO521" s="344"/>
      <c r="EP521" s="22"/>
      <c r="EQ521" s="22"/>
      <c r="ER521" s="22"/>
      <c r="ES521" s="344"/>
      <c r="ET521" s="349"/>
      <c r="EU521" s="344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T521" s="27"/>
      <c r="FU521" s="27"/>
    </row>
    <row r="522" spans="24:177" s="9" customFormat="1" x14ac:dyDescent="0.2">
      <c r="X522" s="50"/>
      <c r="AC522" s="8"/>
      <c r="AD522" s="11"/>
      <c r="AE522" s="8"/>
      <c r="AF522" s="10"/>
      <c r="AW522" s="8"/>
      <c r="AX522" s="108"/>
      <c r="AY522" s="102"/>
      <c r="AZ522" s="109"/>
      <c r="BA522" s="11"/>
      <c r="BB522" s="9" t="s">
        <v>76</v>
      </c>
      <c r="BC522" s="11">
        <f>0.95*BC526</f>
        <v>332.5</v>
      </c>
      <c r="BD522" s="231">
        <v>32</v>
      </c>
      <c r="BE522" s="232" t="s">
        <v>290</v>
      </c>
      <c r="CA522" s="18"/>
      <c r="DH522" s="22"/>
      <c r="DI522" s="22"/>
      <c r="DJ522" s="22"/>
      <c r="DK522" s="344"/>
      <c r="DL522" s="361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22"/>
      <c r="EG522" s="22"/>
      <c r="EH522" s="22"/>
      <c r="EI522" s="22"/>
      <c r="EJ522" s="22"/>
      <c r="EK522" s="22"/>
      <c r="EL522" s="22"/>
      <c r="EM522" s="22"/>
      <c r="EN522" s="344"/>
      <c r="EO522" s="344"/>
      <c r="EP522" s="22"/>
      <c r="EQ522" s="22"/>
      <c r="ER522" s="22"/>
      <c r="ES522" s="344"/>
      <c r="ET522" s="349"/>
      <c r="EU522" s="344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T522" s="27"/>
      <c r="FU522" s="27"/>
    </row>
    <row r="523" spans="24:177" s="9" customFormat="1" x14ac:dyDescent="0.2">
      <c r="X523" s="50"/>
      <c r="AC523" s="8"/>
      <c r="AD523" s="11"/>
      <c r="AE523" s="8"/>
      <c r="AF523" s="10"/>
      <c r="AW523" s="8"/>
      <c r="AX523" s="108"/>
      <c r="AY523" s="102"/>
      <c r="AZ523" s="109"/>
      <c r="BA523" s="11"/>
      <c r="BB523" s="9" t="s">
        <v>76</v>
      </c>
      <c r="BC523" s="11">
        <f>0.96*BC526</f>
        <v>336</v>
      </c>
      <c r="BD523" s="231">
        <v>32</v>
      </c>
      <c r="BE523" s="232" t="s">
        <v>287</v>
      </c>
      <c r="CA523" s="18"/>
      <c r="DH523" s="22"/>
      <c r="DI523" s="22"/>
      <c r="DJ523" s="22"/>
      <c r="DK523" s="344"/>
      <c r="DL523" s="361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22"/>
      <c r="EG523" s="22"/>
      <c r="EH523" s="22"/>
      <c r="EI523" s="22"/>
      <c r="EJ523" s="22"/>
      <c r="EK523" s="22"/>
      <c r="EL523" s="22"/>
      <c r="EM523" s="22"/>
      <c r="EN523" s="344"/>
      <c r="EO523" s="344"/>
      <c r="EP523" s="22"/>
      <c r="EQ523" s="22"/>
      <c r="ER523" s="22"/>
      <c r="ES523" s="344"/>
      <c r="ET523" s="349"/>
      <c r="EU523" s="344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T523" s="27"/>
      <c r="FU523" s="27"/>
    </row>
    <row r="524" spans="24:177" s="9" customFormat="1" x14ac:dyDescent="0.2">
      <c r="X524" s="50"/>
      <c r="AC524" s="8"/>
      <c r="AD524" s="11"/>
      <c r="AE524" s="8"/>
      <c r="AF524" s="10"/>
      <c r="AW524" s="8"/>
      <c r="AX524" s="108"/>
      <c r="AY524" s="102"/>
      <c r="AZ524" s="109"/>
      <c r="BA524" s="11"/>
      <c r="BB524" s="9" t="s">
        <v>76</v>
      </c>
      <c r="BC524" s="11">
        <f>0.97*BC526</f>
        <v>339.5</v>
      </c>
      <c r="BD524" s="231">
        <v>32</v>
      </c>
      <c r="BE524" s="232" t="s">
        <v>291</v>
      </c>
      <c r="CA524" s="18"/>
      <c r="DH524" s="22"/>
      <c r="DI524" s="22"/>
      <c r="DJ524" s="22"/>
      <c r="DK524" s="344"/>
      <c r="DL524" s="361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22"/>
      <c r="EG524" s="22"/>
      <c r="EH524" s="22"/>
      <c r="EI524" s="22"/>
      <c r="EJ524" s="22"/>
      <c r="EK524" s="22"/>
      <c r="EL524" s="22"/>
      <c r="EM524" s="22"/>
      <c r="EN524" s="344"/>
      <c r="EO524" s="344"/>
      <c r="EP524" s="22"/>
      <c r="EQ524" s="22"/>
      <c r="ER524" s="22"/>
      <c r="ES524" s="344"/>
      <c r="ET524" s="349"/>
      <c r="EU524" s="344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T524" s="27"/>
      <c r="FU524" s="27"/>
    </row>
    <row r="525" spans="24:177" s="9" customFormat="1" x14ac:dyDescent="0.2">
      <c r="X525" s="50"/>
      <c r="AC525" s="8"/>
      <c r="AD525" s="11"/>
      <c r="AE525" s="8"/>
      <c r="AF525" s="10"/>
      <c r="AW525" s="8"/>
      <c r="AX525" s="108"/>
      <c r="AY525" s="102"/>
      <c r="AZ525" s="109"/>
      <c r="BA525" s="11"/>
      <c r="BB525" s="9" t="s">
        <v>76</v>
      </c>
      <c r="BC525" s="11">
        <f>0.98*BC526</f>
        <v>343</v>
      </c>
      <c r="BD525" s="231">
        <v>32</v>
      </c>
      <c r="BE525" s="232" t="s">
        <v>300</v>
      </c>
      <c r="CA525" s="18"/>
      <c r="DH525" s="22"/>
      <c r="DI525" s="22"/>
      <c r="DJ525" s="22"/>
      <c r="DK525" s="344"/>
      <c r="DL525" s="361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22"/>
      <c r="EG525" s="22"/>
      <c r="EH525" s="22"/>
      <c r="EI525" s="22"/>
      <c r="EJ525" s="22"/>
      <c r="EK525" s="22"/>
      <c r="EL525" s="22"/>
      <c r="EM525" s="22"/>
      <c r="EN525" s="344"/>
      <c r="EO525" s="344"/>
      <c r="EP525" s="22"/>
      <c r="EQ525" s="22"/>
      <c r="ER525" s="22"/>
      <c r="ES525" s="344"/>
      <c r="ET525" s="349"/>
      <c r="EU525" s="344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T525" s="27"/>
      <c r="FU525" s="27"/>
    </row>
    <row r="526" spans="24:177" s="9" customFormat="1" x14ac:dyDescent="0.2">
      <c r="X526" s="50"/>
      <c r="AC526" s="8"/>
      <c r="AD526" s="11"/>
      <c r="AE526" s="8"/>
      <c r="AF526" s="10"/>
      <c r="AW526" s="8"/>
      <c r="AX526" s="108"/>
      <c r="AY526" s="102"/>
      <c r="AZ526" s="109"/>
      <c r="BA526" s="11"/>
      <c r="BB526" s="9" t="s">
        <v>76</v>
      </c>
      <c r="BC526" s="11">
        <v>350</v>
      </c>
      <c r="BD526" s="231">
        <v>32</v>
      </c>
      <c r="BE526" s="232" t="s">
        <v>292</v>
      </c>
      <c r="CA526" s="18"/>
      <c r="DH526" s="22"/>
      <c r="DI526" s="22"/>
      <c r="DJ526" s="22"/>
      <c r="DK526" s="344"/>
      <c r="DL526" s="361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22"/>
      <c r="EG526" s="22"/>
      <c r="EH526" s="22"/>
      <c r="EI526" s="22"/>
      <c r="EJ526" s="22"/>
      <c r="EK526" s="22"/>
      <c r="EL526" s="22"/>
      <c r="EM526" s="22"/>
      <c r="EN526" s="344"/>
      <c r="EO526" s="344"/>
      <c r="EP526" s="22"/>
      <c r="EQ526" s="22"/>
      <c r="ER526" s="22"/>
      <c r="ES526" s="344"/>
      <c r="ET526" s="349"/>
      <c r="EU526" s="344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T526" s="27"/>
      <c r="FU526" s="27"/>
    </row>
    <row r="527" spans="24:177" s="9" customFormat="1" x14ac:dyDescent="0.2">
      <c r="X527" s="50"/>
      <c r="AC527" s="8"/>
      <c r="AD527" s="11"/>
      <c r="AE527" s="8"/>
      <c r="AF527" s="10"/>
      <c r="AW527" s="8"/>
      <c r="AX527" s="108"/>
      <c r="AY527" s="102"/>
      <c r="AZ527" s="109"/>
      <c r="BA527" s="11"/>
      <c r="BB527" s="9" t="s">
        <v>76</v>
      </c>
      <c r="BC527" s="11">
        <f>0.9*BC535</f>
        <v>360</v>
      </c>
      <c r="BD527" s="231">
        <v>40</v>
      </c>
      <c r="BE527" s="233" t="s">
        <v>30</v>
      </c>
      <c r="CA527" s="18"/>
      <c r="DH527" s="22"/>
      <c r="DI527" s="22"/>
      <c r="DJ527" s="22"/>
      <c r="DK527" s="344"/>
      <c r="DL527" s="361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22"/>
      <c r="EG527" s="22"/>
      <c r="EH527" s="22"/>
      <c r="EI527" s="22"/>
      <c r="EJ527" s="22"/>
      <c r="EK527" s="22"/>
      <c r="EL527" s="22"/>
      <c r="EM527" s="22"/>
      <c r="EN527" s="344"/>
      <c r="EO527" s="344"/>
      <c r="EP527" s="22"/>
      <c r="EQ527" s="22"/>
      <c r="ER527" s="22"/>
      <c r="ES527" s="344"/>
      <c r="ET527" s="349"/>
      <c r="EU527" s="344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T527" s="27"/>
      <c r="FU527" s="27"/>
    </row>
    <row r="528" spans="24:177" s="9" customFormat="1" x14ac:dyDescent="0.2">
      <c r="X528" s="50"/>
      <c r="AC528" s="8"/>
      <c r="AD528" s="11"/>
      <c r="AE528" s="8"/>
      <c r="AF528" s="10"/>
      <c r="AW528" s="8"/>
      <c r="AX528" s="108"/>
      <c r="AY528" s="102"/>
      <c r="AZ528" s="109"/>
      <c r="BA528" s="11"/>
      <c r="BB528" s="9" t="s">
        <v>76</v>
      </c>
      <c r="BC528" s="11">
        <f>0.92*BC535</f>
        <v>368</v>
      </c>
      <c r="BD528" s="231">
        <v>40</v>
      </c>
      <c r="BE528" s="232" t="s">
        <v>595</v>
      </c>
      <c r="CA528" s="18"/>
      <c r="DH528" s="22"/>
      <c r="DI528" s="22"/>
      <c r="DJ528" s="22"/>
      <c r="DK528" s="344"/>
      <c r="DL528" s="361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22"/>
      <c r="EG528" s="22"/>
      <c r="EH528" s="22"/>
      <c r="EI528" s="22"/>
      <c r="EJ528" s="22"/>
      <c r="EK528" s="22"/>
      <c r="EL528" s="22"/>
      <c r="EM528" s="22"/>
      <c r="EN528" s="344"/>
      <c r="EO528" s="344"/>
      <c r="EP528" s="22"/>
      <c r="EQ528" s="22"/>
      <c r="ER528" s="22"/>
      <c r="ES528" s="344"/>
      <c r="ET528" s="349"/>
      <c r="EU528" s="344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T528" s="27"/>
      <c r="FU528" s="27"/>
    </row>
    <row r="529" spans="24:177" s="9" customFormat="1" x14ac:dyDescent="0.2">
      <c r="X529" s="50"/>
      <c r="AC529" s="8"/>
      <c r="AD529" s="11"/>
      <c r="AE529" s="8"/>
      <c r="AF529" s="10"/>
      <c r="AW529" s="8"/>
      <c r="AX529" s="108"/>
      <c r="AY529" s="102"/>
      <c r="AZ529" s="109"/>
      <c r="BA529" s="11"/>
      <c r="BB529" s="9" t="s">
        <v>76</v>
      </c>
      <c r="BC529" s="11">
        <f>0.93*BC535</f>
        <v>372</v>
      </c>
      <c r="BD529" s="231">
        <v>40</v>
      </c>
      <c r="BE529" s="232" t="s">
        <v>596</v>
      </c>
      <c r="CA529" s="18"/>
      <c r="DH529" s="22"/>
      <c r="DI529" s="22"/>
      <c r="DJ529" s="22"/>
      <c r="DK529" s="344"/>
      <c r="DL529" s="361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22"/>
      <c r="EG529" s="22"/>
      <c r="EH529" s="22"/>
      <c r="EI529" s="22"/>
      <c r="EJ529" s="22"/>
      <c r="EK529" s="22"/>
      <c r="EL529" s="22"/>
      <c r="EM529" s="22"/>
      <c r="EN529" s="344"/>
      <c r="EO529" s="344"/>
      <c r="EP529" s="22"/>
      <c r="EQ529" s="22"/>
      <c r="ER529" s="22"/>
      <c r="ES529" s="344"/>
      <c r="ET529" s="349"/>
      <c r="EU529" s="344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T529" s="27"/>
      <c r="FU529" s="27"/>
    </row>
    <row r="530" spans="24:177" s="9" customFormat="1" x14ac:dyDescent="0.2">
      <c r="X530" s="50"/>
      <c r="AC530" s="8"/>
      <c r="AD530" s="11"/>
      <c r="AE530" s="8"/>
      <c r="AF530" s="10"/>
      <c r="AW530" s="8"/>
      <c r="AX530" s="108"/>
      <c r="AY530" s="102"/>
      <c r="AZ530" s="109"/>
      <c r="BA530" s="11"/>
      <c r="BB530" s="9" t="s">
        <v>76</v>
      </c>
      <c r="BC530" s="11">
        <f>0.94*BC535</f>
        <v>376</v>
      </c>
      <c r="BD530" s="231">
        <v>40</v>
      </c>
      <c r="BE530" s="232" t="s">
        <v>597</v>
      </c>
      <c r="CA530" s="18"/>
      <c r="DH530" s="22"/>
      <c r="DI530" s="22"/>
      <c r="DJ530" s="22"/>
      <c r="DK530" s="344"/>
      <c r="DL530" s="361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22"/>
      <c r="EG530" s="22"/>
      <c r="EH530" s="22"/>
      <c r="EI530" s="22"/>
      <c r="EJ530" s="22"/>
      <c r="EK530" s="22"/>
      <c r="EL530" s="22"/>
      <c r="EM530" s="22"/>
      <c r="EN530" s="344"/>
      <c r="EO530" s="344"/>
      <c r="EP530" s="22"/>
      <c r="EQ530" s="22"/>
      <c r="ER530" s="22"/>
      <c r="ES530" s="344"/>
      <c r="ET530" s="349"/>
      <c r="EU530" s="344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T530" s="27"/>
      <c r="FU530" s="27"/>
    </row>
    <row r="531" spans="24:177" s="9" customFormat="1" x14ac:dyDescent="0.2">
      <c r="X531" s="50"/>
      <c r="AC531" s="8"/>
      <c r="AD531" s="11"/>
      <c r="AE531" s="8"/>
      <c r="AF531" s="10"/>
      <c r="AW531" s="8"/>
      <c r="AX531" s="108"/>
      <c r="AY531" s="102"/>
      <c r="AZ531" s="109"/>
      <c r="BA531" s="11"/>
      <c r="BB531" s="9" t="s">
        <v>76</v>
      </c>
      <c r="BC531" s="11">
        <f>0.95*BC535</f>
        <v>380</v>
      </c>
      <c r="BD531" s="231">
        <v>40</v>
      </c>
      <c r="BE531" s="232" t="s">
        <v>598</v>
      </c>
      <c r="CA531" s="18"/>
      <c r="DH531" s="22"/>
      <c r="DI531" s="22"/>
      <c r="DJ531" s="22"/>
      <c r="DK531" s="344"/>
      <c r="DL531" s="361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22"/>
      <c r="EG531" s="22"/>
      <c r="EH531" s="22"/>
      <c r="EI531" s="22"/>
      <c r="EJ531" s="22"/>
      <c r="EK531" s="22"/>
      <c r="EL531" s="22"/>
      <c r="EM531" s="22"/>
      <c r="EN531" s="344"/>
      <c r="EO531" s="344"/>
      <c r="EP531" s="22"/>
      <c r="EQ531" s="22"/>
      <c r="ER531" s="22"/>
      <c r="ES531" s="344"/>
      <c r="ET531" s="349"/>
      <c r="EU531" s="344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T531" s="27"/>
      <c r="FU531" s="27"/>
    </row>
    <row r="532" spans="24:177" s="9" customFormat="1" x14ac:dyDescent="0.2">
      <c r="X532" s="50"/>
      <c r="AC532" s="8"/>
      <c r="AD532" s="11"/>
      <c r="AE532" s="8"/>
      <c r="AF532" s="10"/>
      <c r="AW532" s="8"/>
      <c r="AX532" s="108"/>
      <c r="AY532" s="102"/>
      <c r="AZ532" s="109"/>
      <c r="BA532" s="11"/>
      <c r="BB532" s="9" t="s">
        <v>76</v>
      </c>
      <c r="BC532" s="11">
        <f>0.96*BC535</f>
        <v>384</v>
      </c>
      <c r="BD532" s="231">
        <v>40</v>
      </c>
      <c r="BE532" s="232" t="s">
        <v>290</v>
      </c>
      <c r="CA532" s="18"/>
      <c r="DH532" s="22"/>
      <c r="DI532" s="22"/>
      <c r="DJ532" s="22"/>
      <c r="DK532" s="344"/>
      <c r="DL532" s="361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22"/>
      <c r="EG532" s="22"/>
      <c r="EH532" s="22"/>
      <c r="EI532" s="22"/>
      <c r="EJ532" s="22"/>
      <c r="EK532" s="22"/>
      <c r="EL532" s="22"/>
      <c r="EM532" s="22"/>
      <c r="EN532" s="344"/>
      <c r="EO532" s="344"/>
      <c r="EP532" s="22"/>
      <c r="EQ532" s="22"/>
      <c r="ER532" s="22"/>
      <c r="ES532" s="344"/>
      <c r="ET532" s="349"/>
      <c r="EU532" s="344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T532" s="27"/>
      <c r="FU532" s="27"/>
    </row>
    <row r="533" spans="24:177" s="9" customFormat="1" x14ac:dyDescent="0.2">
      <c r="X533" s="50"/>
      <c r="AC533" s="8"/>
      <c r="AD533" s="11"/>
      <c r="AE533" s="8"/>
      <c r="AF533" s="10"/>
      <c r="AW533" s="8"/>
      <c r="AX533" s="108"/>
      <c r="AY533" s="102"/>
      <c r="AZ533" s="109"/>
      <c r="BA533" s="11"/>
      <c r="BB533" s="9" t="s">
        <v>76</v>
      </c>
      <c r="BC533" s="11">
        <f>0.97*BC535</f>
        <v>388</v>
      </c>
      <c r="BD533" s="231">
        <v>40</v>
      </c>
      <c r="BE533" s="232" t="s">
        <v>287</v>
      </c>
      <c r="CA533" s="18"/>
      <c r="DH533" s="22"/>
      <c r="DI533" s="22"/>
      <c r="DJ533" s="22"/>
      <c r="DK533" s="344"/>
      <c r="DL533" s="361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22"/>
      <c r="EG533" s="22"/>
      <c r="EH533" s="22"/>
      <c r="EI533" s="22"/>
      <c r="EJ533" s="22"/>
      <c r="EK533" s="22"/>
      <c r="EL533" s="22"/>
      <c r="EM533" s="22"/>
      <c r="EN533" s="344"/>
      <c r="EO533" s="344"/>
      <c r="EP533" s="22"/>
      <c r="EQ533" s="22"/>
      <c r="ER533" s="22"/>
      <c r="ES533" s="344"/>
      <c r="ET533" s="349"/>
      <c r="EU533" s="344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T533" s="27"/>
      <c r="FU533" s="27"/>
    </row>
    <row r="534" spans="24:177" s="9" customFormat="1" x14ac:dyDescent="0.2">
      <c r="X534" s="50"/>
      <c r="AC534" s="8"/>
      <c r="AD534" s="11"/>
      <c r="AE534" s="8"/>
      <c r="AF534" s="10"/>
      <c r="AW534" s="8"/>
      <c r="AX534" s="108"/>
      <c r="AY534" s="102"/>
      <c r="AZ534" s="109"/>
      <c r="BA534" s="11"/>
      <c r="BB534" s="9" t="s">
        <v>76</v>
      </c>
      <c r="BC534" s="11">
        <f>0.98*BC535</f>
        <v>392</v>
      </c>
      <c r="BD534" s="231">
        <v>40</v>
      </c>
      <c r="BE534" s="232" t="s">
        <v>291</v>
      </c>
      <c r="CA534" s="18"/>
      <c r="DH534" s="22"/>
      <c r="DI534" s="22"/>
      <c r="DJ534" s="22"/>
      <c r="DK534" s="344"/>
      <c r="DL534" s="361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22"/>
      <c r="EG534" s="22"/>
      <c r="EH534" s="22"/>
      <c r="EI534" s="22"/>
      <c r="EJ534" s="22"/>
      <c r="EK534" s="22"/>
      <c r="EL534" s="22"/>
      <c r="EM534" s="22"/>
      <c r="EN534" s="344"/>
      <c r="EO534" s="344"/>
      <c r="EP534" s="22"/>
      <c r="EQ534" s="22"/>
      <c r="ER534" s="22"/>
      <c r="ES534" s="344"/>
      <c r="ET534" s="349"/>
      <c r="EU534" s="344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T534" s="27"/>
      <c r="FU534" s="27"/>
    </row>
    <row r="535" spans="24:177" s="9" customFormat="1" x14ac:dyDescent="0.2">
      <c r="X535" s="50"/>
      <c r="AC535" s="8"/>
      <c r="AD535" s="11"/>
      <c r="AE535" s="8"/>
      <c r="AF535" s="10"/>
      <c r="AW535" s="8"/>
      <c r="AX535" s="108"/>
      <c r="AY535" s="102"/>
      <c r="AZ535" s="109"/>
      <c r="BA535" s="11"/>
      <c r="BB535" s="9" t="s">
        <v>76</v>
      </c>
      <c r="BC535" s="11">
        <v>400</v>
      </c>
      <c r="BD535" s="231">
        <v>40</v>
      </c>
      <c r="BE535" s="232" t="s">
        <v>300</v>
      </c>
      <c r="CA535" s="18"/>
      <c r="DH535" s="22"/>
      <c r="DI535" s="22"/>
      <c r="DJ535" s="22"/>
      <c r="DK535" s="344"/>
      <c r="DL535" s="361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22"/>
      <c r="EG535" s="22"/>
      <c r="EH535" s="22"/>
      <c r="EI535" s="22"/>
      <c r="EJ535" s="22"/>
      <c r="EK535" s="22"/>
      <c r="EL535" s="22"/>
      <c r="EM535" s="22"/>
      <c r="EN535" s="344"/>
      <c r="EO535" s="344"/>
      <c r="EP535" s="22"/>
      <c r="EQ535" s="22"/>
      <c r="ER535" s="22"/>
      <c r="ES535" s="344"/>
      <c r="ET535" s="349"/>
      <c r="EU535" s="344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T535" s="27"/>
      <c r="FU535" s="27"/>
    </row>
    <row r="536" spans="24:177" s="9" customFormat="1" x14ac:dyDescent="0.2">
      <c r="X536" s="50"/>
      <c r="AC536" s="8"/>
      <c r="AD536" s="11"/>
      <c r="AE536" s="8"/>
      <c r="AF536" s="10"/>
      <c r="AW536" s="8"/>
      <c r="AX536" s="108"/>
      <c r="AY536" s="102"/>
      <c r="AZ536" s="109"/>
      <c r="BA536" s="11"/>
      <c r="BB536" s="9" t="s">
        <v>76</v>
      </c>
      <c r="BC536" s="11">
        <f>0.9*BC544</f>
        <v>405</v>
      </c>
      <c r="BD536" s="231">
        <v>40</v>
      </c>
      <c r="BE536" s="232" t="s">
        <v>292</v>
      </c>
      <c r="CA536" s="18"/>
      <c r="DH536" s="22"/>
      <c r="DI536" s="22"/>
      <c r="DJ536" s="22"/>
      <c r="DK536" s="344"/>
      <c r="DL536" s="361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22"/>
      <c r="EG536" s="22"/>
      <c r="EH536" s="22"/>
      <c r="EI536" s="22"/>
      <c r="EJ536" s="22"/>
      <c r="EK536" s="22"/>
      <c r="EL536" s="22"/>
      <c r="EM536" s="22"/>
      <c r="EN536" s="344"/>
      <c r="EO536" s="344"/>
      <c r="EP536" s="22"/>
      <c r="EQ536" s="22"/>
      <c r="ER536" s="22"/>
      <c r="ES536" s="344"/>
      <c r="ET536" s="349"/>
      <c r="EU536" s="344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T536" s="27"/>
      <c r="FU536" s="27"/>
    </row>
    <row r="537" spans="24:177" s="9" customFormat="1" x14ac:dyDescent="0.2">
      <c r="X537" s="50"/>
      <c r="AC537" s="8"/>
      <c r="AD537" s="11"/>
      <c r="AE537" s="8"/>
      <c r="AF537" s="10"/>
      <c r="AW537" s="8"/>
      <c r="AX537" s="108"/>
      <c r="AY537" s="102"/>
      <c r="AZ537" s="109"/>
      <c r="BA537" s="11"/>
      <c r="BB537" s="9" t="s">
        <v>76</v>
      </c>
      <c r="BC537" s="11">
        <f>0.92*BC544</f>
        <v>414</v>
      </c>
      <c r="BD537" s="231">
        <v>50</v>
      </c>
      <c r="BE537" s="233" t="s">
        <v>30</v>
      </c>
      <c r="CA537" s="18"/>
      <c r="DH537" s="22"/>
      <c r="DI537" s="22"/>
      <c r="DJ537" s="22"/>
      <c r="DK537" s="344"/>
      <c r="DL537" s="361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22"/>
      <c r="EG537" s="22"/>
      <c r="EH537" s="22"/>
      <c r="EI537" s="22"/>
      <c r="EJ537" s="22"/>
      <c r="EK537" s="22"/>
      <c r="EL537" s="22"/>
      <c r="EM537" s="22"/>
      <c r="EN537" s="344"/>
      <c r="EO537" s="344"/>
      <c r="EP537" s="22"/>
      <c r="EQ537" s="22"/>
      <c r="ER537" s="22"/>
      <c r="ES537" s="344"/>
      <c r="ET537" s="349"/>
      <c r="EU537" s="344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T537" s="27"/>
      <c r="FU537" s="27"/>
    </row>
    <row r="538" spans="24:177" s="9" customFormat="1" x14ac:dyDescent="0.2">
      <c r="X538" s="50"/>
      <c r="AC538" s="8"/>
      <c r="AD538" s="11"/>
      <c r="AE538" s="8"/>
      <c r="AF538" s="10"/>
      <c r="AW538" s="8"/>
      <c r="AX538" s="108"/>
      <c r="AY538" s="102"/>
      <c r="AZ538" s="109"/>
      <c r="BA538" s="11"/>
      <c r="BB538" s="9" t="s">
        <v>76</v>
      </c>
      <c r="BC538" s="11">
        <f>0.93*BC544</f>
        <v>418.5</v>
      </c>
      <c r="BD538" s="231">
        <v>50</v>
      </c>
      <c r="BE538" s="232" t="s">
        <v>595</v>
      </c>
      <c r="CA538" s="18"/>
      <c r="DH538" s="22"/>
      <c r="DI538" s="22"/>
      <c r="DJ538" s="22"/>
      <c r="DK538" s="344"/>
      <c r="DL538" s="361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22"/>
      <c r="EG538" s="22"/>
      <c r="EH538" s="22"/>
      <c r="EI538" s="22"/>
      <c r="EJ538" s="22"/>
      <c r="EK538" s="22"/>
      <c r="EL538" s="22"/>
      <c r="EM538" s="22"/>
      <c r="EN538" s="344"/>
      <c r="EO538" s="344"/>
      <c r="EP538" s="22"/>
      <c r="EQ538" s="22"/>
      <c r="ER538" s="22"/>
      <c r="ES538" s="344"/>
      <c r="ET538" s="349"/>
      <c r="EU538" s="344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T538" s="27"/>
      <c r="FU538" s="27"/>
    </row>
    <row r="539" spans="24:177" s="9" customFormat="1" x14ac:dyDescent="0.2">
      <c r="X539" s="50"/>
      <c r="AC539" s="8"/>
      <c r="AD539" s="11"/>
      <c r="AE539" s="8"/>
      <c r="AF539" s="10"/>
      <c r="AW539" s="8"/>
      <c r="AX539" s="108"/>
      <c r="AY539" s="102"/>
      <c r="AZ539" s="109"/>
      <c r="BA539" s="11"/>
      <c r="BB539" s="9" t="s">
        <v>76</v>
      </c>
      <c r="BC539" s="11">
        <f>0.94*BC544</f>
        <v>423</v>
      </c>
      <c r="BD539" s="231">
        <v>50</v>
      </c>
      <c r="BE539" s="232" t="s">
        <v>596</v>
      </c>
      <c r="CA539" s="18"/>
      <c r="DH539" s="22"/>
      <c r="DI539" s="22"/>
      <c r="DJ539" s="22"/>
      <c r="DK539" s="344"/>
      <c r="DL539" s="361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22"/>
      <c r="EG539" s="22"/>
      <c r="EH539" s="22"/>
      <c r="EI539" s="22"/>
      <c r="EJ539" s="22"/>
      <c r="EK539" s="22"/>
      <c r="EL539" s="22"/>
      <c r="EM539" s="22"/>
      <c r="EN539" s="344"/>
      <c r="EO539" s="344"/>
      <c r="EP539" s="22"/>
      <c r="EQ539" s="22"/>
      <c r="ER539" s="22"/>
      <c r="ES539" s="344"/>
      <c r="ET539" s="349"/>
      <c r="EU539" s="344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T539" s="27"/>
      <c r="FU539" s="27"/>
    </row>
    <row r="540" spans="24:177" s="9" customFormat="1" x14ac:dyDescent="0.2">
      <c r="X540" s="50"/>
      <c r="AC540" s="8"/>
      <c r="AD540" s="11"/>
      <c r="AE540" s="8"/>
      <c r="AF540" s="10"/>
      <c r="AW540" s="8"/>
      <c r="AX540" s="108"/>
      <c r="AY540" s="102"/>
      <c r="AZ540" s="109"/>
      <c r="BA540" s="11"/>
      <c r="BB540" s="9" t="s">
        <v>76</v>
      </c>
      <c r="BC540" s="11">
        <f>0.95*BC544</f>
        <v>427.5</v>
      </c>
      <c r="BD540" s="231">
        <v>50</v>
      </c>
      <c r="BE540" s="232" t="s">
        <v>597</v>
      </c>
      <c r="CA540" s="18"/>
      <c r="DH540" s="22"/>
      <c r="DI540" s="22"/>
      <c r="DJ540" s="22"/>
      <c r="DK540" s="344"/>
      <c r="DL540" s="361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22"/>
      <c r="EG540" s="22"/>
      <c r="EH540" s="22"/>
      <c r="EI540" s="22"/>
      <c r="EJ540" s="22"/>
      <c r="EK540" s="22"/>
      <c r="EL540" s="22"/>
      <c r="EM540" s="22"/>
      <c r="EN540" s="344"/>
      <c r="EO540" s="344"/>
      <c r="EP540" s="22"/>
      <c r="EQ540" s="22"/>
      <c r="ER540" s="22"/>
      <c r="ES540" s="344"/>
      <c r="ET540" s="349"/>
      <c r="EU540" s="344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T540" s="27"/>
      <c r="FU540" s="27"/>
    </row>
    <row r="541" spans="24:177" s="9" customFormat="1" x14ac:dyDescent="0.2">
      <c r="X541" s="50"/>
      <c r="AC541" s="8"/>
      <c r="AD541" s="11"/>
      <c r="AE541" s="8"/>
      <c r="AF541" s="10"/>
      <c r="AW541" s="8"/>
      <c r="AX541" s="108"/>
      <c r="AY541" s="102"/>
      <c r="AZ541" s="109"/>
      <c r="BA541" s="11"/>
      <c r="BB541" s="9" t="s">
        <v>76</v>
      </c>
      <c r="BC541" s="11">
        <f>0.96*BC544</f>
        <v>432</v>
      </c>
      <c r="BD541" s="231">
        <v>50</v>
      </c>
      <c r="BE541" s="232" t="s">
        <v>598</v>
      </c>
      <c r="CA541" s="18"/>
      <c r="DH541" s="22"/>
      <c r="DI541" s="22"/>
      <c r="DJ541" s="22"/>
      <c r="DK541" s="344"/>
      <c r="DL541" s="361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22"/>
      <c r="EG541" s="22"/>
      <c r="EH541" s="22"/>
      <c r="EI541" s="22"/>
      <c r="EJ541" s="22"/>
      <c r="EK541" s="22"/>
      <c r="EL541" s="22"/>
      <c r="EM541" s="22"/>
      <c r="EN541" s="344"/>
      <c r="EO541" s="344"/>
      <c r="EP541" s="22"/>
      <c r="EQ541" s="22"/>
      <c r="ER541" s="22"/>
      <c r="ES541" s="344"/>
      <c r="ET541" s="349"/>
      <c r="EU541" s="344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T541" s="27"/>
      <c r="FU541" s="27"/>
    </row>
    <row r="542" spans="24:177" s="9" customFormat="1" x14ac:dyDescent="0.2">
      <c r="X542" s="50"/>
      <c r="AC542" s="8"/>
      <c r="AD542" s="11"/>
      <c r="AE542" s="8"/>
      <c r="AF542" s="10"/>
      <c r="AW542" s="8"/>
      <c r="AX542" s="108"/>
      <c r="AY542" s="102"/>
      <c r="AZ542" s="109"/>
      <c r="BA542" s="11"/>
      <c r="BB542" s="9" t="s">
        <v>76</v>
      </c>
      <c r="BC542" s="11">
        <f>0.97*BC544</f>
        <v>436.5</v>
      </c>
      <c r="BD542" s="231">
        <v>50</v>
      </c>
      <c r="BE542" s="232" t="s">
        <v>290</v>
      </c>
      <c r="CA542" s="18"/>
      <c r="DH542" s="22"/>
      <c r="DI542" s="22"/>
      <c r="DJ542" s="22"/>
      <c r="DK542" s="344"/>
      <c r="DL542" s="361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22"/>
      <c r="EG542" s="22"/>
      <c r="EH542" s="22"/>
      <c r="EI542" s="22"/>
      <c r="EJ542" s="22"/>
      <c r="EK542" s="22"/>
      <c r="EL542" s="22"/>
      <c r="EM542" s="22"/>
      <c r="EN542" s="344"/>
      <c r="EO542" s="344"/>
      <c r="EP542" s="22"/>
      <c r="EQ542" s="22"/>
      <c r="ER542" s="22"/>
      <c r="ES542" s="344"/>
      <c r="ET542" s="349"/>
      <c r="EU542" s="344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T542" s="27"/>
      <c r="FU542" s="27"/>
    </row>
    <row r="543" spans="24:177" s="9" customFormat="1" x14ac:dyDescent="0.2">
      <c r="X543" s="50"/>
      <c r="AC543" s="8"/>
      <c r="AD543" s="11"/>
      <c r="AE543" s="8"/>
      <c r="AF543" s="10"/>
      <c r="AW543" s="8"/>
      <c r="AX543" s="108"/>
      <c r="AY543" s="102"/>
      <c r="AZ543" s="109"/>
      <c r="BA543" s="11"/>
      <c r="BB543" s="9" t="s">
        <v>76</v>
      </c>
      <c r="BC543" s="11">
        <f>0.98*BC544</f>
        <v>441</v>
      </c>
      <c r="BD543" s="231">
        <v>50</v>
      </c>
      <c r="BE543" s="232" t="s">
        <v>287</v>
      </c>
      <c r="CA543" s="18"/>
      <c r="DH543" s="22"/>
      <c r="DI543" s="22"/>
      <c r="DJ543" s="22"/>
      <c r="DK543" s="344"/>
      <c r="DL543" s="361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22"/>
      <c r="EG543" s="22"/>
      <c r="EH543" s="22"/>
      <c r="EI543" s="22"/>
      <c r="EJ543" s="22"/>
      <c r="EK543" s="22"/>
      <c r="EL543" s="22"/>
      <c r="EM543" s="22"/>
      <c r="EN543" s="344"/>
      <c r="EO543" s="344"/>
      <c r="EP543" s="22"/>
      <c r="EQ543" s="22"/>
      <c r="ER543" s="22"/>
      <c r="ES543" s="344"/>
      <c r="ET543" s="349"/>
      <c r="EU543" s="344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T543" s="27"/>
      <c r="FU543" s="27"/>
    </row>
    <row r="544" spans="24:177" s="9" customFormat="1" x14ac:dyDescent="0.2">
      <c r="X544" s="50"/>
      <c r="AC544" s="8"/>
      <c r="AD544" s="11"/>
      <c r="AE544" s="8"/>
      <c r="AF544" s="10"/>
      <c r="AW544" s="8"/>
      <c r="AX544" s="108"/>
      <c r="AY544" s="102"/>
      <c r="AZ544" s="109"/>
      <c r="BA544" s="11"/>
      <c r="BB544" s="9" t="s">
        <v>76</v>
      </c>
      <c r="BC544" s="11">
        <v>450</v>
      </c>
      <c r="BD544" s="231">
        <v>50</v>
      </c>
      <c r="BE544" s="232" t="s">
        <v>291</v>
      </c>
      <c r="CA544" s="18"/>
      <c r="DH544" s="22"/>
      <c r="DI544" s="22"/>
      <c r="DJ544" s="22"/>
      <c r="DK544" s="344"/>
      <c r="DL544" s="361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22"/>
      <c r="EG544" s="22"/>
      <c r="EH544" s="22"/>
      <c r="EI544" s="22"/>
      <c r="EJ544" s="22"/>
      <c r="EK544" s="22"/>
      <c r="EL544" s="22"/>
      <c r="EM544" s="22"/>
      <c r="EN544" s="344"/>
      <c r="EO544" s="344"/>
      <c r="EP544" s="22"/>
      <c r="EQ544" s="22"/>
      <c r="ER544" s="22"/>
      <c r="ES544" s="344"/>
      <c r="ET544" s="349"/>
      <c r="EU544" s="344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T544" s="27"/>
      <c r="FU544" s="27"/>
    </row>
    <row r="545" spans="24:177" s="9" customFormat="1" x14ac:dyDescent="0.2">
      <c r="X545" s="50"/>
      <c r="AC545" s="8"/>
      <c r="AD545" s="11"/>
      <c r="AE545" s="8"/>
      <c r="AF545" s="10"/>
      <c r="AW545" s="8"/>
      <c r="AX545" s="108"/>
      <c r="AY545" s="102"/>
      <c r="AZ545" s="109"/>
      <c r="BA545" s="11"/>
      <c r="BB545" s="9" t="s">
        <v>76</v>
      </c>
      <c r="BC545" s="11">
        <f>0.92*BC552</f>
        <v>460</v>
      </c>
      <c r="BD545" s="231">
        <v>50</v>
      </c>
      <c r="BE545" s="232" t="s">
        <v>300</v>
      </c>
      <c r="CA545" s="18"/>
      <c r="DH545" s="22"/>
      <c r="DI545" s="22"/>
      <c r="DJ545" s="22"/>
      <c r="DK545" s="344"/>
      <c r="DL545" s="361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22"/>
      <c r="EG545" s="22"/>
      <c r="EH545" s="22"/>
      <c r="EI545" s="22"/>
      <c r="EJ545" s="22"/>
      <c r="EK545" s="22"/>
      <c r="EL545" s="22"/>
      <c r="EM545" s="22"/>
      <c r="EN545" s="344"/>
      <c r="EO545" s="344"/>
      <c r="EP545" s="22"/>
      <c r="EQ545" s="22"/>
      <c r="ER545" s="22"/>
      <c r="ES545" s="344"/>
      <c r="ET545" s="349"/>
      <c r="EU545" s="344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T545" s="27"/>
      <c r="FU545" s="27"/>
    </row>
    <row r="546" spans="24:177" s="9" customFormat="1" x14ac:dyDescent="0.2">
      <c r="X546" s="50"/>
      <c r="AC546" s="8"/>
      <c r="AD546" s="11"/>
      <c r="AE546" s="8"/>
      <c r="AF546" s="10"/>
      <c r="AW546" s="8"/>
      <c r="AX546" s="108"/>
      <c r="AY546" s="102"/>
      <c r="AZ546" s="109"/>
      <c r="BA546" s="11"/>
      <c r="BB546" s="9" t="s">
        <v>76</v>
      </c>
      <c r="BC546" s="11">
        <f>0.93*BC552</f>
        <v>465</v>
      </c>
      <c r="BD546" s="231">
        <v>50</v>
      </c>
      <c r="BE546" s="232" t="s">
        <v>292</v>
      </c>
      <c r="CA546" s="18"/>
      <c r="DH546" s="22"/>
      <c r="DI546" s="22"/>
      <c r="DJ546" s="22"/>
      <c r="DK546" s="344"/>
      <c r="DL546" s="361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22"/>
      <c r="EG546" s="22"/>
      <c r="EH546" s="22"/>
      <c r="EI546" s="22"/>
      <c r="EJ546" s="22"/>
      <c r="EK546" s="22"/>
      <c r="EL546" s="22"/>
      <c r="EM546" s="22"/>
      <c r="EN546" s="344"/>
      <c r="EO546" s="344"/>
      <c r="EP546" s="22"/>
      <c r="EQ546" s="22"/>
      <c r="ER546" s="22"/>
      <c r="ES546" s="344"/>
      <c r="ET546" s="349"/>
      <c r="EU546" s="344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T546" s="27"/>
      <c r="FU546" s="27"/>
    </row>
    <row r="547" spans="24:177" s="9" customFormat="1" x14ac:dyDescent="0.2">
      <c r="X547" s="50"/>
      <c r="AC547" s="8"/>
      <c r="AD547" s="11"/>
      <c r="AE547" s="8"/>
      <c r="AF547" s="10"/>
      <c r="AW547" s="8"/>
      <c r="AX547" s="108"/>
      <c r="AY547" s="102"/>
      <c r="AZ547" s="109"/>
      <c r="BA547" s="11"/>
      <c r="BB547" s="9" t="s">
        <v>76</v>
      </c>
      <c r="BC547" s="11">
        <f>0.94*BC552</f>
        <v>470</v>
      </c>
      <c r="BD547" s="231">
        <v>63</v>
      </c>
      <c r="BE547" s="233" t="s">
        <v>30</v>
      </c>
      <c r="CA547" s="18"/>
      <c r="DH547" s="22"/>
      <c r="DI547" s="22"/>
      <c r="DJ547" s="22"/>
      <c r="DK547" s="344"/>
      <c r="DL547" s="361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22"/>
      <c r="EG547" s="22"/>
      <c r="EH547" s="22"/>
      <c r="EI547" s="22"/>
      <c r="EJ547" s="22"/>
      <c r="EK547" s="22"/>
      <c r="EL547" s="22"/>
      <c r="EM547" s="22"/>
      <c r="EN547" s="344"/>
      <c r="EO547" s="344"/>
      <c r="EP547" s="22"/>
      <c r="EQ547" s="22"/>
      <c r="ER547" s="22"/>
      <c r="ES547" s="344"/>
      <c r="ET547" s="349"/>
      <c r="EU547" s="344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T547" s="27"/>
      <c r="FU547" s="27"/>
    </row>
    <row r="548" spans="24:177" s="9" customFormat="1" x14ac:dyDescent="0.2">
      <c r="X548" s="50"/>
      <c r="AC548" s="8"/>
      <c r="AD548" s="11"/>
      <c r="AE548" s="8"/>
      <c r="AF548" s="10"/>
      <c r="AW548" s="8"/>
      <c r="AX548" s="108"/>
      <c r="AY548" s="102"/>
      <c r="AZ548" s="109"/>
      <c r="BA548" s="11"/>
      <c r="BB548" s="9" t="s">
        <v>76</v>
      </c>
      <c r="BC548" s="11">
        <f>0.95*BC552</f>
        <v>475</v>
      </c>
      <c r="BD548" s="231">
        <v>63</v>
      </c>
      <c r="BE548" s="232" t="s">
        <v>595</v>
      </c>
      <c r="CA548" s="18"/>
      <c r="DH548" s="22"/>
      <c r="DI548" s="22"/>
      <c r="DJ548" s="22"/>
      <c r="DK548" s="344"/>
      <c r="DL548" s="361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22"/>
      <c r="EG548" s="22"/>
      <c r="EH548" s="22"/>
      <c r="EI548" s="22"/>
      <c r="EJ548" s="22"/>
      <c r="EK548" s="22"/>
      <c r="EL548" s="22"/>
      <c r="EM548" s="22"/>
      <c r="EN548" s="344"/>
      <c r="EO548" s="344"/>
      <c r="EP548" s="22"/>
      <c r="EQ548" s="22"/>
      <c r="ER548" s="22"/>
      <c r="ES548" s="344"/>
      <c r="ET548" s="349"/>
      <c r="EU548" s="344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T548" s="27"/>
      <c r="FU548" s="27"/>
    </row>
    <row r="549" spans="24:177" s="9" customFormat="1" x14ac:dyDescent="0.2">
      <c r="X549" s="50"/>
      <c r="AC549" s="8"/>
      <c r="AD549" s="11"/>
      <c r="AE549" s="8"/>
      <c r="AF549" s="10"/>
      <c r="AW549" s="8"/>
      <c r="AX549" s="108"/>
      <c r="AY549" s="102"/>
      <c r="AZ549" s="109"/>
      <c r="BA549" s="11"/>
      <c r="BB549" s="9" t="s">
        <v>76</v>
      </c>
      <c r="BC549" s="11">
        <f>0.96*BC552</f>
        <v>480</v>
      </c>
      <c r="BD549" s="231">
        <v>63</v>
      </c>
      <c r="BE549" s="232" t="s">
        <v>596</v>
      </c>
      <c r="CA549" s="18"/>
      <c r="DH549" s="22"/>
      <c r="DI549" s="22"/>
      <c r="DJ549" s="22"/>
      <c r="DK549" s="344"/>
      <c r="DL549" s="361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22"/>
      <c r="EG549" s="22"/>
      <c r="EH549" s="22"/>
      <c r="EI549" s="22"/>
      <c r="EJ549" s="22"/>
      <c r="EK549" s="22"/>
      <c r="EL549" s="22"/>
      <c r="EM549" s="22"/>
      <c r="EN549" s="344"/>
      <c r="EO549" s="344"/>
      <c r="EP549" s="22"/>
      <c r="EQ549" s="22"/>
      <c r="ER549" s="22"/>
      <c r="ES549" s="344"/>
      <c r="ET549" s="349"/>
      <c r="EU549" s="344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T549" s="27"/>
      <c r="FU549" s="27"/>
    </row>
    <row r="550" spans="24:177" s="9" customFormat="1" x14ac:dyDescent="0.2">
      <c r="X550" s="50"/>
      <c r="AC550" s="8"/>
      <c r="AD550" s="11"/>
      <c r="AE550" s="8"/>
      <c r="AF550" s="10"/>
      <c r="AW550" s="8"/>
      <c r="AX550" s="108"/>
      <c r="AY550" s="102"/>
      <c r="AZ550" s="109"/>
      <c r="BA550" s="11"/>
      <c r="BB550" s="9" t="s">
        <v>76</v>
      </c>
      <c r="BC550" s="11">
        <f>0.97*BC552</f>
        <v>485</v>
      </c>
      <c r="BD550" s="231">
        <v>63</v>
      </c>
      <c r="BE550" s="232" t="s">
        <v>597</v>
      </c>
      <c r="CA550" s="18"/>
      <c r="DH550" s="22"/>
      <c r="DI550" s="22"/>
      <c r="DJ550" s="22"/>
      <c r="DK550" s="344"/>
      <c r="DL550" s="361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22"/>
      <c r="EG550" s="22"/>
      <c r="EH550" s="22"/>
      <c r="EI550" s="22"/>
      <c r="EJ550" s="22"/>
      <c r="EK550" s="22"/>
      <c r="EL550" s="22"/>
      <c r="EM550" s="22"/>
      <c r="EN550" s="344"/>
      <c r="EO550" s="344"/>
      <c r="EP550" s="22"/>
      <c r="EQ550" s="22"/>
      <c r="ER550" s="22"/>
      <c r="ES550" s="344"/>
      <c r="ET550" s="349"/>
      <c r="EU550" s="344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T550" s="27"/>
      <c r="FU550" s="27"/>
    </row>
    <row r="551" spans="24:177" s="9" customFormat="1" x14ac:dyDescent="0.2">
      <c r="X551" s="50"/>
      <c r="AC551" s="8"/>
      <c r="AD551" s="11"/>
      <c r="AE551" s="8"/>
      <c r="AF551" s="10"/>
      <c r="AW551" s="8"/>
      <c r="AX551" s="108"/>
      <c r="AY551" s="102"/>
      <c r="AZ551" s="109"/>
      <c r="BA551" s="11"/>
      <c r="BB551" s="9" t="s">
        <v>76</v>
      </c>
      <c r="BC551" s="11">
        <f>0.98*BC552</f>
        <v>490</v>
      </c>
      <c r="BD551" s="231">
        <v>63</v>
      </c>
      <c r="BE551" s="232" t="s">
        <v>598</v>
      </c>
      <c r="CA551" s="18"/>
      <c r="DH551" s="22"/>
      <c r="DI551" s="22"/>
      <c r="DJ551" s="22"/>
      <c r="DK551" s="344"/>
      <c r="DL551" s="361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22"/>
      <c r="EG551" s="22"/>
      <c r="EH551" s="22"/>
      <c r="EI551" s="22"/>
      <c r="EJ551" s="22"/>
      <c r="EK551" s="22"/>
      <c r="EL551" s="22"/>
      <c r="EM551" s="22"/>
      <c r="EN551" s="344"/>
      <c r="EO551" s="344"/>
      <c r="EP551" s="22"/>
      <c r="EQ551" s="22"/>
      <c r="ER551" s="22"/>
      <c r="ES551" s="344"/>
      <c r="ET551" s="349"/>
      <c r="EU551" s="344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T551" s="27"/>
      <c r="FU551" s="27"/>
    </row>
    <row r="552" spans="24:177" s="9" customFormat="1" x14ac:dyDescent="0.2">
      <c r="X552" s="50"/>
      <c r="AC552" s="8"/>
      <c r="AD552" s="11"/>
      <c r="AE552" s="8"/>
      <c r="AF552" s="10"/>
      <c r="AW552" s="8"/>
      <c r="AX552" s="108"/>
      <c r="AY552" s="102"/>
      <c r="AZ552" s="109"/>
      <c r="BA552" s="11"/>
      <c r="BB552" s="9" t="s">
        <v>76</v>
      </c>
      <c r="BC552" s="11">
        <v>500</v>
      </c>
      <c r="BD552" s="231">
        <v>63</v>
      </c>
      <c r="BE552" s="232" t="s">
        <v>290</v>
      </c>
      <c r="CA552" s="18"/>
      <c r="DH552" s="22"/>
      <c r="DI552" s="22"/>
      <c r="DJ552" s="22"/>
      <c r="DK552" s="344"/>
      <c r="DL552" s="361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22"/>
      <c r="EG552" s="22"/>
      <c r="EH552" s="22"/>
      <c r="EI552" s="22"/>
      <c r="EJ552" s="22"/>
      <c r="EK552" s="22"/>
      <c r="EL552" s="22"/>
      <c r="EM552" s="22"/>
      <c r="EN552" s="344"/>
      <c r="EO552" s="344"/>
      <c r="EP552" s="22"/>
      <c r="EQ552" s="22"/>
      <c r="ER552" s="22"/>
      <c r="ES552" s="344"/>
      <c r="ET552" s="349"/>
      <c r="EU552" s="344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T552" s="27"/>
      <c r="FU552" s="27"/>
    </row>
    <row r="553" spans="24:177" s="9" customFormat="1" x14ac:dyDescent="0.2">
      <c r="X553" s="50"/>
      <c r="AC553" s="8"/>
      <c r="AD553" s="11"/>
      <c r="AE553" s="8"/>
      <c r="AF553" s="10"/>
      <c r="AW553" s="8"/>
      <c r="AX553" s="108"/>
      <c r="AY553" s="102"/>
      <c r="AZ553" s="109"/>
      <c r="BA553" s="11"/>
      <c r="BB553" s="9" t="s">
        <v>76</v>
      </c>
      <c r="BC553" s="11">
        <f>0.9*BC561</f>
        <v>513</v>
      </c>
      <c r="BD553" s="231">
        <v>63</v>
      </c>
      <c r="BE553" s="232" t="s">
        <v>287</v>
      </c>
      <c r="CA553" s="18"/>
      <c r="DH553" s="22"/>
      <c r="DI553" s="22"/>
      <c r="DJ553" s="22"/>
      <c r="DK553" s="344"/>
      <c r="DL553" s="361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22"/>
      <c r="EG553" s="22"/>
      <c r="EH553" s="22"/>
      <c r="EI553" s="22"/>
      <c r="EJ553" s="22"/>
      <c r="EK553" s="22"/>
      <c r="EL553" s="22"/>
      <c r="EM553" s="22"/>
      <c r="EN553" s="344"/>
      <c r="EO553" s="344"/>
      <c r="EP553" s="22"/>
      <c r="EQ553" s="22"/>
      <c r="ER553" s="22"/>
      <c r="ES553" s="344"/>
      <c r="ET553" s="349"/>
      <c r="EU553" s="344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T553" s="27"/>
      <c r="FU553" s="27"/>
    </row>
    <row r="554" spans="24:177" s="9" customFormat="1" x14ac:dyDescent="0.2">
      <c r="X554" s="50"/>
      <c r="AC554" s="8"/>
      <c r="AD554" s="11"/>
      <c r="AE554" s="8"/>
      <c r="AF554" s="10"/>
      <c r="AW554" s="8"/>
      <c r="AX554" s="108"/>
      <c r="AY554" s="102"/>
      <c r="AZ554" s="109"/>
      <c r="BA554" s="11"/>
      <c r="BB554" s="9" t="s">
        <v>76</v>
      </c>
      <c r="BC554" s="11">
        <f>0.92*BC561</f>
        <v>524.4</v>
      </c>
      <c r="BD554" s="231">
        <v>63</v>
      </c>
      <c r="BE554" s="232" t="s">
        <v>291</v>
      </c>
      <c r="CA554" s="18"/>
      <c r="DH554" s="22"/>
      <c r="DI554" s="22"/>
      <c r="DJ554" s="22"/>
      <c r="DK554" s="344"/>
      <c r="DL554" s="361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22"/>
      <c r="EG554" s="22"/>
      <c r="EH554" s="22"/>
      <c r="EI554" s="22"/>
      <c r="EJ554" s="22"/>
      <c r="EK554" s="22"/>
      <c r="EL554" s="22"/>
      <c r="EM554" s="22"/>
      <c r="EN554" s="344"/>
      <c r="EO554" s="344"/>
      <c r="EP554" s="22"/>
      <c r="EQ554" s="22"/>
      <c r="ER554" s="22"/>
      <c r="ES554" s="344"/>
      <c r="ET554" s="349"/>
      <c r="EU554" s="344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T554" s="27"/>
      <c r="FU554" s="27"/>
    </row>
    <row r="555" spans="24:177" s="9" customFormat="1" x14ac:dyDescent="0.2">
      <c r="X555" s="50"/>
      <c r="AC555" s="8"/>
      <c r="AD555" s="11"/>
      <c r="AE555" s="8"/>
      <c r="AF555" s="10"/>
      <c r="AW555" s="8"/>
      <c r="AX555" s="108"/>
      <c r="AY555" s="102"/>
      <c r="AZ555" s="109"/>
      <c r="BA555" s="11"/>
      <c r="BB555" s="9" t="s">
        <v>76</v>
      </c>
      <c r="BC555" s="11">
        <f>0.93*BC561</f>
        <v>530.1</v>
      </c>
      <c r="BD555" s="231">
        <v>63</v>
      </c>
      <c r="BE555" s="232" t="s">
        <v>300</v>
      </c>
      <c r="CA555" s="18"/>
      <c r="DH555" s="22"/>
      <c r="DI555" s="22"/>
      <c r="DJ555" s="22"/>
      <c r="DK555" s="344"/>
      <c r="DL555" s="361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22"/>
      <c r="EG555" s="22"/>
      <c r="EH555" s="22"/>
      <c r="EI555" s="22"/>
      <c r="EJ555" s="22"/>
      <c r="EK555" s="22"/>
      <c r="EL555" s="22"/>
      <c r="EM555" s="22"/>
      <c r="EN555" s="344"/>
      <c r="EO555" s="344"/>
      <c r="EP555" s="22"/>
      <c r="EQ555" s="22"/>
      <c r="ER555" s="22"/>
      <c r="ES555" s="344"/>
      <c r="ET555" s="349"/>
      <c r="EU555" s="344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T555" s="27"/>
      <c r="FU555" s="27"/>
    </row>
    <row r="556" spans="24:177" s="9" customFormat="1" ht="13.5" thickBot="1" x14ac:dyDescent="0.25">
      <c r="X556" s="50"/>
      <c r="AC556" s="8"/>
      <c r="AD556" s="11"/>
      <c r="AE556" s="8"/>
      <c r="AF556" s="10"/>
      <c r="AW556" s="8"/>
      <c r="AX556" s="108"/>
      <c r="AY556" s="102"/>
      <c r="AZ556" s="109"/>
      <c r="BA556" s="11"/>
      <c r="BB556" s="9" t="s">
        <v>76</v>
      </c>
      <c r="BC556" s="11">
        <f>0.94*BC561</f>
        <v>535.79999999999995</v>
      </c>
      <c r="BD556" s="231">
        <v>63</v>
      </c>
      <c r="BE556" s="232" t="s">
        <v>292</v>
      </c>
      <c r="CA556" s="18"/>
      <c r="DH556" s="22"/>
      <c r="DI556" s="22"/>
      <c r="DJ556" s="22"/>
      <c r="DK556" s="344"/>
      <c r="DL556" s="361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22"/>
      <c r="EG556" s="22"/>
      <c r="EH556" s="22"/>
      <c r="EI556" s="22"/>
      <c r="EJ556" s="22"/>
      <c r="EK556" s="22"/>
      <c r="EL556" s="22"/>
      <c r="EM556" s="22"/>
      <c r="EN556" s="344"/>
      <c r="EO556" s="344"/>
      <c r="EP556" s="22"/>
      <c r="EQ556" s="22"/>
      <c r="ER556" s="22"/>
      <c r="ES556" s="344"/>
      <c r="ET556" s="349"/>
      <c r="EU556" s="344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T556" s="27"/>
      <c r="FU556" s="27"/>
    </row>
    <row r="557" spans="24:177" s="9" customFormat="1" ht="13.5" thickTop="1" x14ac:dyDescent="0.2">
      <c r="X557" s="50"/>
      <c r="AC557" s="8"/>
      <c r="AD557" s="11"/>
      <c r="AE557" s="8"/>
      <c r="AF557" s="10"/>
      <c r="AW557" s="8"/>
      <c r="AX557" s="108"/>
      <c r="AY557" s="102"/>
      <c r="AZ557" s="109"/>
      <c r="BA557" s="11"/>
      <c r="BB557" s="9" t="s">
        <v>76</v>
      </c>
      <c r="BC557" s="11">
        <f>0.95*BC561</f>
        <v>541.5</v>
      </c>
      <c r="BD557" s="1463" t="s">
        <v>249</v>
      </c>
      <c r="BE557" s="1464"/>
      <c r="CA557" s="18"/>
      <c r="DH557" s="22"/>
      <c r="DI557" s="22"/>
      <c r="DJ557" s="22"/>
      <c r="DK557" s="344"/>
      <c r="DL557" s="361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22"/>
      <c r="EG557" s="22"/>
      <c r="EH557" s="22"/>
      <c r="EI557" s="22"/>
      <c r="EJ557" s="22"/>
      <c r="EK557" s="22"/>
      <c r="EL557" s="22"/>
      <c r="EM557" s="22"/>
      <c r="EN557" s="344"/>
      <c r="EO557" s="344"/>
      <c r="EP557" s="22"/>
      <c r="EQ557" s="22"/>
      <c r="ER557" s="22"/>
      <c r="ES557" s="344"/>
      <c r="ET557" s="349"/>
      <c r="EU557" s="344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T557" s="27"/>
      <c r="FU557" s="27"/>
    </row>
    <row r="558" spans="24:177" s="9" customFormat="1" x14ac:dyDescent="0.2">
      <c r="X558" s="50"/>
      <c r="AC558" s="8"/>
      <c r="AD558" s="11"/>
      <c r="AE558" s="8"/>
      <c r="AF558" s="10"/>
      <c r="AW558" s="8"/>
      <c r="AX558" s="108"/>
      <c r="AY558" s="102"/>
      <c r="AZ558" s="109"/>
      <c r="BA558" s="11"/>
      <c r="BB558" s="9" t="s">
        <v>76</v>
      </c>
      <c r="BC558" s="11">
        <f>0.96*BC561</f>
        <v>547.19999999999993</v>
      </c>
      <c r="BD558" s="231">
        <v>100</v>
      </c>
      <c r="BE558" s="232" t="s">
        <v>30</v>
      </c>
      <c r="CA558" s="18"/>
      <c r="DH558" s="22"/>
      <c r="DI558" s="22"/>
      <c r="DJ558" s="22"/>
      <c r="DK558" s="344"/>
      <c r="DL558" s="361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22"/>
      <c r="EG558" s="22"/>
      <c r="EH558" s="22"/>
      <c r="EI558" s="22"/>
      <c r="EJ558" s="22"/>
      <c r="EK558" s="22"/>
      <c r="EL558" s="22"/>
      <c r="EM558" s="22"/>
      <c r="EN558" s="344"/>
      <c r="EO558" s="344"/>
      <c r="EP558" s="22"/>
      <c r="EQ558" s="22"/>
      <c r="ER558" s="22"/>
      <c r="ES558" s="344"/>
      <c r="ET558" s="349"/>
      <c r="EU558" s="344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T558" s="27"/>
      <c r="FU558" s="27"/>
    </row>
    <row r="559" spans="24:177" s="9" customFormat="1" x14ac:dyDescent="0.2">
      <c r="X559" s="50"/>
      <c r="AC559" s="8"/>
      <c r="AD559" s="11"/>
      <c r="AE559" s="8"/>
      <c r="AF559" s="10"/>
      <c r="AW559" s="8"/>
      <c r="AX559" s="108"/>
      <c r="AY559" s="102"/>
      <c r="AZ559" s="109"/>
      <c r="BA559" s="11"/>
      <c r="BB559" s="9" t="s">
        <v>76</v>
      </c>
      <c r="BC559" s="11">
        <f>0.97*BC561</f>
        <v>552.9</v>
      </c>
      <c r="BD559" s="231">
        <v>100</v>
      </c>
      <c r="BE559" s="232" t="s">
        <v>294</v>
      </c>
      <c r="CA559" s="18"/>
      <c r="DH559" s="22"/>
      <c r="DI559" s="22"/>
      <c r="DJ559" s="22"/>
      <c r="DK559" s="344"/>
      <c r="DL559" s="361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22"/>
      <c r="EG559" s="22"/>
      <c r="EH559" s="22"/>
      <c r="EI559" s="22"/>
      <c r="EJ559" s="22"/>
      <c r="EK559" s="22"/>
      <c r="EL559" s="22"/>
      <c r="EM559" s="22"/>
      <c r="EN559" s="344"/>
      <c r="EO559" s="344"/>
      <c r="EP559" s="22"/>
      <c r="EQ559" s="22"/>
      <c r="ER559" s="22"/>
      <c r="ES559" s="344"/>
      <c r="ET559" s="349"/>
      <c r="EU559" s="344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T559" s="27"/>
      <c r="FU559" s="27"/>
    </row>
    <row r="560" spans="24:177" s="9" customFormat="1" x14ac:dyDescent="0.2">
      <c r="X560" s="50"/>
      <c r="AC560" s="8"/>
      <c r="AD560" s="11"/>
      <c r="AE560" s="8"/>
      <c r="AF560" s="10"/>
      <c r="AW560" s="8"/>
      <c r="AX560" s="108"/>
      <c r="AY560" s="102"/>
      <c r="AZ560" s="109"/>
      <c r="BA560" s="11"/>
      <c r="BB560" s="9" t="s">
        <v>76</v>
      </c>
      <c r="BC560" s="11">
        <f>0.98*BC561</f>
        <v>558.6</v>
      </c>
      <c r="BD560" s="231">
        <v>100</v>
      </c>
      <c r="BE560" s="232" t="s">
        <v>250</v>
      </c>
      <c r="CA560" s="18"/>
      <c r="DH560" s="22"/>
      <c r="DI560" s="22"/>
      <c r="DJ560" s="22"/>
      <c r="DK560" s="344"/>
      <c r="DL560" s="361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22"/>
      <c r="EG560" s="22"/>
      <c r="EH560" s="22"/>
      <c r="EI560" s="22"/>
      <c r="EJ560" s="22"/>
      <c r="EK560" s="22"/>
      <c r="EL560" s="22"/>
      <c r="EM560" s="22"/>
      <c r="EN560" s="344"/>
      <c r="EO560" s="344"/>
      <c r="EP560" s="22"/>
      <c r="EQ560" s="22"/>
      <c r="ER560" s="22"/>
      <c r="ES560" s="344"/>
      <c r="ET560" s="349"/>
      <c r="EU560" s="344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T560" s="27"/>
      <c r="FU560" s="27"/>
    </row>
    <row r="561" spans="24:177" s="9" customFormat="1" x14ac:dyDescent="0.2">
      <c r="X561" s="50"/>
      <c r="AC561" s="8"/>
      <c r="AD561" s="11"/>
      <c r="AE561" s="8"/>
      <c r="AF561" s="10"/>
      <c r="AW561" s="8"/>
      <c r="AX561" s="108"/>
      <c r="AY561" s="102"/>
      <c r="AZ561" s="109"/>
      <c r="BA561" s="11"/>
      <c r="BB561" s="9" t="s">
        <v>76</v>
      </c>
      <c r="BC561" s="11">
        <v>570</v>
      </c>
      <c r="BD561" s="231">
        <v>100</v>
      </c>
      <c r="BE561" s="232" t="s">
        <v>295</v>
      </c>
      <c r="CA561" s="18"/>
      <c r="DH561" s="22"/>
      <c r="DI561" s="22"/>
      <c r="DJ561" s="22"/>
      <c r="DK561" s="344"/>
      <c r="DL561" s="361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22"/>
      <c r="EG561" s="22"/>
      <c r="EH561" s="22"/>
      <c r="EI561" s="22"/>
      <c r="EJ561" s="22"/>
      <c r="EK561" s="22"/>
      <c r="EL561" s="22"/>
      <c r="EM561" s="22"/>
      <c r="EN561" s="344"/>
      <c r="EO561" s="344"/>
      <c r="EP561" s="22"/>
      <c r="EQ561" s="22"/>
      <c r="ER561" s="22"/>
      <c r="ES561" s="344"/>
      <c r="ET561" s="349"/>
      <c r="EU561" s="344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T561" s="27"/>
      <c r="FU561" s="27"/>
    </row>
    <row r="562" spans="24:177" s="9" customFormat="1" x14ac:dyDescent="0.2">
      <c r="X562" s="50"/>
      <c r="AC562" s="8"/>
      <c r="AD562" s="11"/>
      <c r="AE562" s="8"/>
      <c r="AF562" s="10"/>
      <c r="AW562" s="8"/>
      <c r="AX562" s="108"/>
      <c r="AY562" s="102"/>
      <c r="AZ562" s="109"/>
      <c r="BA562" s="11"/>
      <c r="BB562" s="9" t="s">
        <v>76</v>
      </c>
      <c r="BC562" s="11">
        <f>0.9*BC570</f>
        <v>567</v>
      </c>
      <c r="BD562" s="231">
        <v>100</v>
      </c>
      <c r="BE562" s="232" t="s">
        <v>296</v>
      </c>
      <c r="CA562" s="18"/>
      <c r="DH562" s="22"/>
      <c r="DI562" s="22"/>
      <c r="DJ562" s="22"/>
      <c r="DK562" s="344"/>
      <c r="DL562" s="361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22"/>
      <c r="EG562" s="22"/>
      <c r="EH562" s="22"/>
      <c r="EI562" s="22"/>
      <c r="EJ562" s="22"/>
      <c r="EK562" s="22"/>
      <c r="EL562" s="22"/>
      <c r="EM562" s="22"/>
      <c r="EN562" s="344"/>
      <c r="EO562" s="344"/>
      <c r="EP562" s="22"/>
      <c r="EQ562" s="22"/>
      <c r="ER562" s="22"/>
      <c r="ES562" s="344"/>
      <c r="ET562" s="349"/>
      <c r="EU562" s="344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T562" s="27"/>
      <c r="FU562" s="27"/>
    </row>
    <row r="563" spans="24:177" s="9" customFormat="1" x14ac:dyDescent="0.2">
      <c r="X563" s="50"/>
      <c r="AC563" s="8"/>
      <c r="AD563" s="11"/>
      <c r="AE563" s="8"/>
      <c r="AF563" s="10"/>
      <c r="AW563" s="8"/>
      <c r="AX563" s="108"/>
      <c r="AY563" s="102"/>
      <c r="AZ563" s="109"/>
      <c r="BA563" s="11"/>
      <c r="BB563" s="9" t="s">
        <v>76</v>
      </c>
      <c r="BC563" s="11">
        <f>0.92*BC570</f>
        <v>579.6</v>
      </c>
      <c r="BD563" s="231">
        <v>100</v>
      </c>
      <c r="BE563" s="232" t="s">
        <v>288</v>
      </c>
      <c r="CA563" s="18"/>
      <c r="DH563" s="22"/>
      <c r="DI563" s="22"/>
      <c r="DJ563" s="22"/>
      <c r="DK563" s="344"/>
      <c r="DL563" s="361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22"/>
      <c r="EG563" s="22"/>
      <c r="EH563" s="22"/>
      <c r="EI563" s="22"/>
      <c r="EJ563" s="22"/>
      <c r="EK563" s="22"/>
      <c r="EL563" s="22"/>
      <c r="EM563" s="22"/>
      <c r="EN563" s="344"/>
      <c r="EO563" s="344"/>
      <c r="EP563" s="22"/>
      <c r="EQ563" s="22"/>
      <c r="ER563" s="22"/>
      <c r="ES563" s="344"/>
      <c r="ET563" s="349"/>
      <c r="EU563" s="344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T563" s="27"/>
      <c r="FU563" s="27"/>
    </row>
    <row r="564" spans="24:177" s="9" customFormat="1" x14ac:dyDescent="0.2">
      <c r="X564" s="50"/>
      <c r="AC564" s="8"/>
      <c r="AD564" s="11"/>
      <c r="AE564" s="8"/>
      <c r="AF564" s="10"/>
      <c r="AW564" s="8"/>
      <c r="AX564" s="108"/>
      <c r="AY564" s="102"/>
      <c r="AZ564" s="109"/>
      <c r="BA564" s="11"/>
      <c r="BB564" s="9" t="s">
        <v>76</v>
      </c>
      <c r="BC564" s="11">
        <f>0.93*BC570</f>
        <v>585.9</v>
      </c>
      <c r="BD564" s="231">
        <v>100</v>
      </c>
      <c r="BE564" s="232" t="s">
        <v>297</v>
      </c>
      <c r="CA564" s="18"/>
      <c r="DH564" s="22"/>
      <c r="DI564" s="22"/>
      <c r="DJ564" s="22"/>
      <c r="DK564" s="344"/>
      <c r="DL564" s="361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22"/>
      <c r="EG564" s="22"/>
      <c r="EH564" s="22"/>
      <c r="EI564" s="22"/>
      <c r="EJ564" s="22"/>
      <c r="EK564" s="22"/>
      <c r="EL564" s="22"/>
      <c r="EM564" s="22"/>
      <c r="EN564" s="344"/>
      <c r="EO564" s="344"/>
      <c r="EP564" s="22"/>
      <c r="EQ564" s="22"/>
      <c r="ER564" s="22"/>
      <c r="ES564" s="344"/>
      <c r="ET564" s="349"/>
      <c r="EU564" s="344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T564" s="27"/>
      <c r="FU564" s="27"/>
    </row>
    <row r="565" spans="24:177" s="9" customFormat="1" x14ac:dyDescent="0.2">
      <c r="X565" s="50"/>
      <c r="AC565" s="8"/>
      <c r="AD565" s="11"/>
      <c r="AE565" s="8"/>
      <c r="AF565" s="10"/>
      <c r="AW565" s="8"/>
      <c r="AX565" s="108"/>
      <c r="AY565" s="102"/>
      <c r="AZ565" s="109"/>
      <c r="BA565" s="11"/>
      <c r="BB565" s="9" t="s">
        <v>76</v>
      </c>
      <c r="BC565" s="11">
        <f>0.94*BC570</f>
        <v>592.19999999999993</v>
      </c>
      <c r="BD565" s="231">
        <v>100</v>
      </c>
      <c r="BE565" s="232" t="s">
        <v>289</v>
      </c>
      <c r="CA565" s="18"/>
      <c r="DH565" s="22"/>
      <c r="DI565" s="22"/>
      <c r="DJ565" s="22"/>
      <c r="DK565" s="344"/>
      <c r="DL565" s="361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22"/>
      <c r="EG565" s="22"/>
      <c r="EH565" s="22"/>
      <c r="EI565" s="22"/>
      <c r="EJ565" s="22"/>
      <c r="EK565" s="22"/>
      <c r="EL565" s="22"/>
      <c r="EM565" s="22"/>
      <c r="EN565" s="344"/>
      <c r="EO565" s="344"/>
      <c r="EP565" s="22"/>
      <c r="EQ565" s="22"/>
      <c r="ER565" s="22"/>
      <c r="ES565" s="344"/>
      <c r="ET565" s="349"/>
      <c r="EU565" s="344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T565" s="27"/>
      <c r="FU565" s="27"/>
    </row>
    <row r="566" spans="24:177" s="9" customFormat="1" x14ac:dyDescent="0.2">
      <c r="X566" s="50"/>
      <c r="AC566" s="8"/>
      <c r="AD566" s="11"/>
      <c r="AE566" s="8"/>
      <c r="AF566" s="10"/>
      <c r="AW566" s="8"/>
      <c r="AX566" s="108"/>
      <c r="AY566" s="102"/>
      <c r="AZ566" s="109"/>
      <c r="BA566" s="11"/>
      <c r="BB566" s="9" t="s">
        <v>76</v>
      </c>
      <c r="BC566" s="11">
        <f>0.95*BC570</f>
        <v>598.5</v>
      </c>
      <c r="BD566" s="231">
        <v>160</v>
      </c>
      <c r="BE566" s="232" t="s">
        <v>30</v>
      </c>
      <c r="CA566" s="18"/>
      <c r="DH566" s="22"/>
      <c r="DI566" s="22"/>
      <c r="DJ566" s="22"/>
      <c r="DK566" s="344"/>
      <c r="DL566" s="361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22"/>
      <c r="EG566" s="22"/>
      <c r="EH566" s="22"/>
      <c r="EI566" s="22"/>
      <c r="EJ566" s="22"/>
      <c r="EK566" s="22"/>
      <c r="EL566" s="22"/>
      <c r="EM566" s="22"/>
      <c r="EN566" s="344"/>
      <c r="EO566" s="344"/>
      <c r="EP566" s="22"/>
      <c r="EQ566" s="22"/>
      <c r="ER566" s="22"/>
      <c r="ES566" s="344"/>
      <c r="ET566" s="349"/>
      <c r="EU566" s="344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T566" s="27"/>
      <c r="FU566" s="27"/>
    </row>
    <row r="567" spans="24:177" s="9" customFormat="1" x14ac:dyDescent="0.2">
      <c r="X567" s="50"/>
      <c r="AC567" s="8"/>
      <c r="AD567" s="11"/>
      <c r="AE567" s="8"/>
      <c r="AF567" s="10"/>
      <c r="AW567" s="8"/>
      <c r="AX567" s="108"/>
      <c r="AY567" s="102"/>
      <c r="AZ567" s="109"/>
      <c r="BA567" s="11"/>
      <c r="BB567" s="9" t="s">
        <v>76</v>
      </c>
      <c r="BC567" s="11">
        <f>0.96*BC570</f>
        <v>604.79999999999995</v>
      </c>
      <c r="BD567" s="231">
        <v>160</v>
      </c>
      <c r="BE567" s="232" t="s">
        <v>294</v>
      </c>
      <c r="CA567" s="18"/>
      <c r="DH567" s="22"/>
      <c r="DI567" s="22"/>
      <c r="DJ567" s="22"/>
      <c r="DK567" s="344"/>
      <c r="DL567" s="361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22"/>
      <c r="EG567" s="22"/>
      <c r="EH567" s="22"/>
      <c r="EI567" s="22"/>
      <c r="EJ567" s="22"/>
      <c r="EK567" s="22"/>
      <c r="EL567" s="22"/>
      <c r="EM567" s="22"/>
      <c r="EN567" s="344"/>
      <c r="EO567" s="344"/>
      <c r="EP567" s="22"/>
      <c r="EQ567" s="22"/>
      <c r="ER567" s="22"/>
      <c r="ES567" s="344"/>
      <c r="ET567" s="349"/>
      <c r="EU567" s="344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T567" s="27"/>
      <c r="FU567" s="27"/>
    </row>
    <row r="568" spans="24:177" s="9" customFormat="1" x14ac:dyDescent="0.2">
      <c r="X568" s="50"/>
      <c r="AC568" s="8"/>
      <c r="AD568" s="11"/>
      <c r="AE568" s="8"/>
      <c r="AF568" s="10"/>
      <c r="AW568" s="8"/>
      <c r="AX568" s="108"/>
      <c r="AY568" s="102"/>
      <c r="AZ568" s="109"/>
      <c r="BA568" s="11"/>
      <c r="BB568" s="9" t="s">
        <v>76</v>
      </c>
      <c r="BC568" s="11">
        <f>0.97*BC570</f>
        <v>611.1</v>
      </c>
      <c r="BD568" s="231">
        <v>160</v>
      </c>
      <c r="BE568" s="232" t="s">
        <v>250</v>
      </c>
      <c r="CA568" s="18"/>
      <c r="DH568" s="22"/>
      <c r="DI568" s="22"/>
      <c r="DJ568" s="22"/>
      <c r="DK568" s="344"/>
      <c r="DL568" s="361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22"/>
      <c r="EG568" s="22"/>
      <c r="EH568" s="22"/>
      <c r="EI568" s="22"/>
      <c r="EJ568" s="22"/>
      <c r="EK568" s="22"/>
      <c r="EL568" s="22"/>
      <c r="EM568" s="22"/>
      <c r="EN568" s="344"/>
      <c r="EO568" s="344"/>
      <c r="EP568" s="22"/>
      <c r="EQ568" s="22"/>
      <c r="ER568" s="22"/>
      <c r="ES568" s="344"/>
      <c r="ET568" s="349"/>
      <c r="EU568" s="344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T568" s="27"/>
      <c r="FU568" s="27"/>
    </row>
    <row r="569" spans="24:177" s="9" customFormat="1" x14ac:dyDescent="0.2">
      <c r="X569" s="50"/>
      <c r="AC569" s="8"/>
      <c r="AD569" s="11"/>
      <c r="AE569" s="8"/>
      <c r="AF569" s="10"/>
      <c r="AW569" s="8"/>
      <c r="AX569" s="108"/>
      <c r="AY569" s="102"/>
      <c r="AZ569" s="109"/>
      <c r="BA569" s="11"/>
      <c r="BB569" s="9" t="s">
        <v>76</v>
      </c>
      <c r="BC569" s="11">
        <f>0.98*BC570</f>
        <v>617.4</v>
      </c>
      <c r="BD569" s="231">
        <v>160</v>
      </c>
      <c r="BE569" s="232" t="s">
        <v>295</v>
      </c>
      <c r="CA569" s="18"/>
      <c r="DH569" s="22"/>
      <c r="DI569" s="22"/>
      <c r="DJ569" s="22"/>
      <c r="DK569" s="344"/>
      <c r="DL569" s="361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22"/>
      <c r="EG569" s="22"/>
      <c r="EH569" s="22"/>
      <c r="EI569" s="22"/>
      <c r="EJ569" s="22"/>
      <c r="EK569" s="22"/>
      <c r="EL569" s="22"/>
      <c r="EM569" s="22"/>
      <c r="EN569" s="344"/>
      <c r="EO569" s="344"/>
      <c r="EP569" s="22"/>
      <c r="EQ569" s="22"/>
      <c r="ER569" s="22"/>
      <c r="ES569" s="344"/>
      <c r="ET569" s="349"/>
      <c r="EU569" s="344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T569" s="27"/>
      <c r="FU569" s="27"/>
    </row>
    <row r="570" spans="24:177" s="9" customFormat="1" x14ac:dyDescent="0.2">
      <c r="X570" s="50"/>
      <c r="AC570" s="8"/>
      <c r="AD570" s="11"/>
      <c r="AE570" s="8"/>
      <c r="AF570" s="10"/>
      <c r="AW570" s="8"/>
      <c r="AX570" s="108"/>
      <c r="AY570" s="102"/>
      <c r="AZ570" s="109"/>
      <c r="BA570" s="11"/>
      <c r="BB570" s="9" t="s">
        <v>76</v>
      </c>
      <c r="BC570" s="11">
        <v>630</v>
      </c>
      <c r="BD570" s="231">
        <v>160</v>
      </c>
      <c r="BE570" s="232" t="s">
        <v>296</v>
      </c>
      <c r="CA570" s="18"/>
      <c r="DH570" s="22"/>
      <c r="DI570" s="22"/>
      <c r="DJ570" s="22"/>
      <c r="DK570" s="344"/>
      <c r="DL570" s="361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22"/>
      <c r="EG570" s="22"/>
      <c r="EH570" s="22"/>
      <c r="EI570" s="22"/>
      <c r="EJ570" s="22"/>
      <c r="EK570" s="22"/>
      <c r="EL570" s="22"/>
      <c r="EM570" s="22"/>
      <c r="EN570" s="344"/>
      <c r="EO570" s="344"/>
      <c r="EP570" s="22"/>
      <c r="EQ570" s="22"/>
      <c r="ER570" s="22"/>
      <c r="ES570" s="344"/>
      <c r="ET570" s="349"/>
      <c r="EU570" s="344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T570" s="27"/>
      <c r="FU570" s="27"/>
    </row>
    <row r="571" spans="24:177" s="9" customFormat="1" x14ac:dyDescent="0.2">
      <c r="X571" s="50"/>
      <c r="AC571" s="8"/>
      <c r="AD571" s="11"/>
      <c r="AE571" s="8"/>
      <c r="AF571" s="10"/>
      <c r="AW571" s="8"/>
      <c r="AX571" s="108"/>
      <c r="AY571" s="102"/>
      <c r="AZ571" s="109"/>
      <c r="BA571" s="11"/>
      <c r="BB571" s="9" t="s">
        <v>553</v>
      </c>
      <c r="BC571" s="11">
        <v>18</v>
      </c>
      <c r="BD571" s="231">
        <v>160</v>
      </c>
      <c r="BE571" s="232" t="s">
        <v>288</v>
      </c>
      <c r="CA571" s="18"/>
      <c r="DH571" s="22"/>
      <c r="DI571" s="22"/>
      <c r="DJ571" s="22"/>
      <c r="DK571" s="344"/>
      <c r="DL571" s="361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22"/>
      <c r="EG571" s="22"/>
      <c r="EH571" s="22"/>
      <c r="EI571" s="22"/>
      <c r="EJ571" s="22"/>
      <c r="EK571" s="22"/>
      <c r="EL571" s="22"/>
      <c r="EM571" s="22"/>
      <c r="EN571" s="344"/>
      <c r="EO571" s="344"/>
      <c r="EP571" s="22"/>
      <c r="EQ571" s="22"/>
      <c r="ER571" s="22"/>
      <c r="ES571" s="344"/>
      <c r="ET571" s="349"/>
      <c r="EU571" s="344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T571" s="27"/>
      <c r="FU571" s="27"/>
    </row>
    <row r="572" spans="24:177" s="9" customFormat="1" x14ac:dyDescent="0.2">
      <c r="X572" s="50"/>
      <c r="AC572" s="8"/>
      <c r="AD572" s="11"/>
      <c r="AE572" s="8"/>
      <c r="AF572" s="10"/>
      <c r="AW572" s="8"/>
      <c r="AX572" s="108"/>
      <c r="AY572" s="102"/>
      <c r="AZ572" s="109"/>
      <c r="BA572" s="11"/>
      <c r="BB572" s="9" t="s">
        <v>553</v>
      </c>
      <c r="BC572" s="22">
        <v>19</v>
      </c>
      <c r="BD572" s="231">
        <v>160</v>
      </c>
      <c r="BE572" s="232" t="s">
        <v>297</v>
      </c>
      <c r="CA572" s="18"/>
      <c r="DH572" s="22"/>
      <c r="DI572" s="22"/>
      <c r="DJ572" s="22"/>
      <c r="DK572" s="344"/>
      <c r="DL572" s="361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22"/>
      <c r="EG572" s="22"/>
      <c r="EH572" s="22"/>
      <c r="EI572" s="22"/>
      <c r="EJ572" s="22"/>
      <c r="EK572" s="22"/>
      <c r="EL572" s="22"/>
      <c r="EM572" s="22"/>
      <c r="EN572" s="344"/>
      <c r="EO572" s="344"/>
      <c r="EP572" s="22"/>
      <c r="EQ572" s="22"/>
      <c r="ER572" s="22"/>
      <c r="ES572" s="344"/>
      <c r="ET572" s="349"/>
      <c r="EU572" s="344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T572" s="27"/>
      <c r="FU572" s="27"/>
    </row>
    <row r="573" spans="24:177" s="9" customFormat="1" x14ac:dyDescent="0.2">
      <c r="X573" s="50"/>
      <c r="AC573" s="8"/>
      <c r="AD573" s="11"/>
      <c r="AE573" s="8"/>
      <c r="AF573" s="10"/>
      <c r="AW573" s="8"/>
      <c r="AX573" s="108"/>
      <c r="AY573" s="102"/>
      <c r="AZ573" s="109"/>
      <c r="BA573" s="11"/>
      <c r="BB573" s="9" t="s">
        <v>553</v>
      </c>
      <c r="BC573" s="11">
        <v>20</v>
      </c>
      <c r="BD573" s="231">
        <v>160</v>
      </c>
      <c r="BE573" s="232" t="s">
        <v>289</v>
      </c>
      <c r="CA573" s="18"/>
      <c r="DH573" s="22"/>
      <c r="DI573" s="22"/>
      <c r="DJ573" s="22"/>
      <c r="DK573" s="344"/>
      <c r="DL573" s="361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22"/>
      <c r="EG573" s="22"/>
      <c r="EH573" s="22"/>
      <c r="EI573" s="22"/>
      <c r="EJ573" s="22"/>
      <c r="EK573" s="22"/>
      <c r="EL573" s="22"/>
      <c r="EM573" s="22"/>
      <c r="EN573" s="344"/>
      <c r="EO573" s="344"/>
      <c r="EP573" s="22"/>
      <c r="EQ573" s="22"/>
      <c r="ER573" s="22"/>
      <c r="ES573" s="344"/>
      <c r="ET573" s="349"/>
      <c r="EU573" s="344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T573" s="27"/>
      <c r="FU573" s="27"/>
    </row>
    <row r="574" spans="24:177" s="9" customFormat="1" x14ac:dyDescent="0.2">
      <c r="X574" s="50"/>
      <c r="AC574" s="8"/>
      <c r="AD574" s="11"/>
      <c r="AE574" s="8"/>
      <c r="AF574" s="10"/>
      <c r="AW574" s="8"/>
      <c r="AX574" s="108"/>
      <c r="AY574" s="102"/>
      <c r="AZ574" s="109"/>
      <c r="BA574" s="11"/>
      <c r="BB574" s="9" t="s">
        <v>553</v>
      </c>
      <c r="BC574" s="22">
        <v>21</v>
      </c>
      <c r="BD574" s="231">
        <v>250</v>
      </c>
      <c r="BE574" s="232" t="s">
        <v>30</v>
      </c>
      <c r="CA574" s="18"/>
      <c r="DH574" s="22"/>
      <c r="DI574" s="22"/>
      <c r="DJ574" s="22"/>
      <c r="DK574" s="344"/>
      <c r="DL574" s="361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22"/>
      <c r="EG574" s="22"/>
      <c r="EH574" s="22"/>
      <c r="EI574" s="22"/>
      <c r="EJ574" s="22"/>
      <c r="EK574" s="22"/>
      <c r="EL574" s="22"/>
      <c r="EM574" s="22"/>
      <c r="EN574" s="344"/>
      <c r="EO574" s="344"/>
      <c r="EP574" s="22"/>
      <c r="EQ574" s="22"/>
      <c r="ER574" s="22"/>
      <c r="ES574" s="344"/>
      <c r="ET574" s="349"/>
      <c r="EU574" s="344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T574" s="27"/>
      <c r="FU574" s="27"/>
    </row>
    <row r="575" spans="24:177" s="9" customFormat="1" x14ac:dyDescent="0.2">
      <c r="X575" s="50"/>
      <c r="AC575" s="8"/>
      <c r="AD575" s="11"/>
      <c r="AE575" s="8"/>
      <c r="AF575" s="10"/>
      <c r="AW575" s="8"/>
      <c r="AX575" s="108"/>
      <c r="AY575" s="102"/>
      <c r="AZ575" s="109"/>
      <c r="BA575" s="11"/>
      <c r="BB575" s="9" t="s">
        <v>553</v>
      </c>
      <c r="BC575" s="11">
        <v>22</v>
      </c>
      <c r="BD575" s="231">
        <v>250</v>
      </c>
      <c r="BE575" s="232" t="s">
        <v>250</v>
      </c>
      <c r="CA575" s="18"/>
      <c r="DH575" s="22"/>
      <c r="DI575" s="22"/>
      <c r="DJ575" s="22"/>
      <c r="DK575" s="344"/>
      <c r="DL575" s="361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22"/>
      <c r="EG575" s="22"/>
      <c r="EH575" s="22"/>
      <c r="EI575" s="22"/>
      <c r="EJ575" s="22"/>
      <c r="EK575" s="22"/>
      <c r="EL575" s="22"/>
      <c r="EM575" s="22"/>
      <c r="EN575" s="344"/>
      <c r="EO575" s="344"/>
      <c r="EP575" s="22"/>
      <c r="EQ575" s="22"/>
      <c r="ER575" s="22"/>
      <c r="ES575" s="344"/>
      <c r="ET575" s="349"/>
      <c r="EU575" s="344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T575" s="27"/>
      <c r="FU575" s="27"/>
    </row>
    <row r="576" spans="24:177" s="9" customFormat="1" x14ac:dyDescent="0.2">
      <c r="X576" s="50"/>
      <c r="AC576" s="8"/>
      <c r="AD576" s="11"/>
      <c r="AE576" s="8"/>
      <c r="AF576" s="10"/>
      <c r="AW576" s="8"/>
      <c r="AX576" s="108"/>
      <c r="AY576" s="102"/>
      <c r="AZ576" s="109"/>
      <c r="BA576" s="11"/>
      <c r="BB576" s="9" t="s">
        <v>553</v>
      </c>
      <c r="BC576" s="22">
        <v>23</v>
      </c>
      <c r="BD576" s="231">
        <v>250</v>
      </c>
      <c r="BE576" s="232" t="s">
        <v>295</v>
      </c>
      <c r="CA576" s="18"/>
      <c r="DH576" s="22"/>
      <c r="DI576" s="22"/>
      <c r="DJ576" s="22"/>
      <c r="DK576" s="344"/>
      <c r="DL576" s="361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22"/>
      <c r="EG576" s="22"/>
      <c r="EH576" s="22"/>
      <c r="EI576" s="22"/>
      <c r="EJ576" s="22"/>
      <c r="EK576" s="22"/>
      <c r="EL576" s="22"/>
      <c r="EM576" s="22"/>
      <c r="EN576" s="344"/>
      <c r="EO576" s="344"/>
      <c r="EP576" s="22"/>
      <c r="EQ576" s="22"/>
      <c r="ER576" s="22"/>
      <c r="ES576" s="344"/>
      <c r="ET576" s="349"/>
      <c r="EU576" s="344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T576" s="27"/>
      <c r="FU576" s="27"/>
    </row>
    <row r="577" spans="24:177" s="9" customFormat="1" x14ac:dyDescent="0.2">
      <c r="X577" s="50"/>
      <c r="AC577" s="8"/>
      <c r="AD577" s="11"/>
      <c r="AE577" s="8"/>
      <c r="AF577" s="10"/>
      <c r="AW577" s="8"/>
      <c r="AX577" s="108"/>
      <c r="AY577" s="102"/>
      <c r="AZ577" s="109"/>
      <c r="BA577" s="11"/>
      <c r="BB577" s="9" t="s">
        <v>553</v>
      </c>
      <c r="BC577" s="11">
        <v>24</v>
      </c>
      <c r="BD577" s="231">
        <v>250</v>
      </c>
      <c r="BE577" s="232" t="s">
        <v>296</v>
      </c>
      <c r="CA577" s="18"/>
      <c r="DH577" s="22"/>
      <c r="DI577" s="22"/>
      <c r="DJ577" s="22"/>
      <c r="DK577" s="344"/>
      <c r="DL577" s="361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22"/>
      <c r="EG577" s="22"/>
      <c r="EH577" s="22"/>
      <c r="EI577" s="22"/>
      <c r="EJ577" s="22"/>
      <c r="EK577" s="22"/>
      <c r="EL577" s="22"/>
      <c r="EM577" s="22"/>
      <c r="EN577" s="344"/>
      <c r="EO577" s="344"/>
      <c r="EP577" s="22"/>
      <c r="EQ577" s="22"/>
      <c r="ER577" s="22"/>
      <c r="ES577" s="344"/>
      <c r="ET577" s="349"/>
      <c r="EU577" s="344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T577" s="27"/>
      <c r="FU577" s="27"/>
    </row>
    <row r="578" spans="24:177" s="9" customFormat="1" x14ac:dyDescent="0.2">
      <c r="X578" s="50"/>
      <c r="AC578" s="8"/>
      <c r="AD578" s="11"/>
      <c r="AE578" s="8"/>
      <c r="AF578" s="10"/>
      <c r="AW578" s="8"/>
      <c r="AX578" s="108"/>
      <c r="AY578" s="102"/>
      <c r="AZ578" s="109"/>
      <c r="BA578" s="11"/>
      <c r="BB578" s="9" t="s">
        <v>553</v>
      </c>
      <c r="BC578" s="22">
        <v>25</v>
      </c>
      <c r="BD578" s="231">
        <v>250</v>
      </c>
      <c r="BE578" s="232" t="s">
        <v>288</v>
      </c>
      <c r="CA578" s="18"/>
      <c r="DH578" s="22"/>
      <c r="DI578" s="22"/>
      <c r="DJ578" s="22"/>
      <c r="DK578" s="344"/>
      <c r="DL578" s="361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22"/>
      <c r="EG578" s="22"/>
      <c r="EH578" s="22"/>
      <c r="EI578" s="22"/>
      <c r="EJ578" s="22"/>
      <c r="EK578" s="22"/>
      <c r="EL578" s="22"/>
      <c r="EM578" s="22"/>
      <c r="EN578" s="344"/>
      <c r="EO578" s="344"/>
      <c r="EP578" s="22"/>
      <c r="EQ578" s="22"/>
      <c r="ER578" s="22"/>
      <c r="ES578" s="344"/>
      <c r="ET578" s="349"/>
      <c r="EU578" s="344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T578" s="27"/>
      <c r="FU578" s="27"/>
    </row>
    <row r="579" spans="24:177" s="9" customFormat="1" x14ac:dyDescent="0.2">
      <c r="X579" s="50"/>
      <c r="AC579" s="8"/>
      <c r="AD579" s="11"/>
      <c r="AE579" s="8"/>
      <c r="AF579" s="10"/>
      <c r="AW579" s="8"/>
      <c r="AX579" s="108"/>
      <c r="AY579" s="102"/>
      <c r="AZ579" s="109"/>
      <c r="BA579" s="11"/>
      <c r="BB579" s="9" t="s">
        <v>553</v>
      </c>
      <c r="BC579" s="11">
        <v>26</v>
      </c>
      <c r="BD579" s="231">
        <v>250</v>
      </c>
      <c r="BE579" s="232" t="s">
        <v>297</v>
      </c>
      <c r="CA579" s="18"/>
      <c r="DH579" s="22"/>
      <c r="DI579" s="22"/>
      <c r="DJ579" s="22"/>
      <c r="DK579" s="344"/>
      <c r="DL579" s="361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22"/>
      <c r="EG579" s="22"/>
      <c r="EH579" s="22"/>
      <c r="EI579" s="22"/>
      <c r="EJ579" s="22"/>
      <c r="EK579" s="22"/>
      <c r="EL579" s="22"/>
      <c r="EM579" s="22"/>
      <c r="EN579" s="344"/>
      <c r="EO579" s="344"/>
      <c r="EP579" s="22"/>
      <c r="EQ579" s="22"/>
      <c r="ER579" s="22"/>
      <c r="ES579" s="344"/>
      <c r="ET579" s="349"/>
      <c r="EU579" s="344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T579" s="27"/>
      <c r="FU579" s="27"/>
    </row>
    <row r="580" spans="24:177" s="9" customFormat="1" x14ac:dyDescent="0.2">
      <c r="X580" s="50"/>
      <c r="AC580" s="8"/>
      <c r="AD580" s="11"/>
      <c r="AE580" s="8"/>
      <c r="AF580" s="10"/>
      <c r="AW580" s="8"/>
      <c r="AX580" s="108"/>
      <c r="AY580" s="102"/>
      <c r="AZ580" s="109"/>
      <c r="BA580" s="11"/>
      <c r="BB580" s="9" t="s">
        <v>553</v>
      </c>
      <c r="BC580" s="22">
        <v>27</v>
      </c>
      <c r="BD580" s="231">
        <v>250</v>
      </c>
      <c r="BE580" s="232" t="s">
        <v>289</v>
      </c>
      <c r="CA580" s="18"/>
      <c r="DH580" s="22"/>
      <c r="DI580" s="22"/>
      <c r="DJ580" s="22"/>
      <c r="DK580" s="344"/>
      <c r="DL580" s="361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22"/>
      <c r="EG580" s="22"/>
      <c r="EH580" s="22"/>
      <c r="EI580" s="22"/>
      <c r="EJ580" s="22"/>
      <c r="EK580" s="22"/>
      <c r="EL580" s="22"/>
      <c r="EM580" s="22"/>
      <c r="EN580" s="344"/>
      <c r="EO580" s="344"/>
      <c r="EP580" s="22"/>
      <c r="EQ580" s="22"/>
      <c r="ER580" s="22"/>
      <c r="ES580" s="344"/>
      <c r="ET580" s="349"/>
      <c r="EU580" s="344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T580" s="27"/>
      <c r="FU580" s="27"/>
    </row>
    <row r="581" spans="24:177" s="9" customFormat="1" x14ac:dyDescent="0.2">
      <c r="X581" s="50"/>
      <c r="AC581" s="8"/>
      <c r="AD581" s="11"/>
      <c r="AE581" s="8"/>
      <c r="AF581" s="10"/>
      <c r="AW581" s="8"/>
      <c r="AX581" s="108"/>
      <c r="AY581" s="102"/>
      <c r="AZ581" s="109"/>
      <c r="BA581" s="11"/>
      <c r="BB581" s="9" t="s">
        <v>553</v>
      </c>
      <c r="BC581" s="11">
        <v>28</v>
      </c>
      <c r="BD581" s="231">
        <v>400</v>
      </c>
      <c r="BE581" s="232" t="s">
        <v>30</v>
      </c>
      <c r="CA581" s="18"/>
      <c r="DH581" s="22"/>
      <c r="DI581" s="22"/>
      <c r="DJ581" s="22"/>
      <c r="DK581" s="344"/>
      <c r="DL581" s="361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22"/>
      <c r="EG581" s="22"/>
      <c r="EH581" s="22"/>
      <c r="EI581" s="22"/>
      <c r="EJ581" s="22"/>
      <c r="EK581" s="22"/>
      <c r="EL581" s="22"/>
      <c r="EM581" s="22"/>
      <c r="EN581" s="344"/>
      <c r="EO581" s="344"/>
      <c r="EP581" s="22"/>
      <c r="EQ581" s="22"/>
      <c r="ER581" s="22"/>
      <c r="ES581" s="344"/>
      <c r="ET581" s="349"/>
      <c r="EU581" s="344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T581" s="27"/>
      <c r="FU581" s="27"/>
    </row>
    <row r="582" spans="24:177" s="9" customFormat="1" x14ac:dyDescent="0.2">
      <c r="X582" s="50"/>
      <c r="AC582" s="8"/>
      <c r="AD582" s="11"/>
      <c r="AE582" s="8"/>
      <c r="AF582" s="10"/>
      <c r="AW582" s="8"/>
      <c r="AX582" s="108"/>
      <c r="AY582" s="102"/>
      <c r="AZ582" s="109"/>
      <c r="BA582" s="11"/>
      <c r="BB582" s="9" t="s">
        <v>553</v>
      </c>
      <c r="BC582" s="22">
        <v>29</v>
      </c>
      <c r="BD582" s="231">
        <v>400</v>
      </c>
      <c r="BE582" s="232" t="s">
        <v>251</v>
      </c>
      <c r="CA582" s="18"/>
      <c r="DH582" s="22"/>
      <c r="DI582" s="22"/>
      <c r="DJ582" s="22"/>
      <c r="DK582" s="344"/>
      <c r="DL582" s="361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22"/>
      <c r="EG582" s="22"/>
      <c r="EH582" s="22"/>
      <c r="EI582" s="22"/>
      <c r="EJ582" s="22"/>
      <c r="EK582" s="22"/>
      <c r="EL582" s="22"/>
      <c r="EM582" s="22"/>
      <c r="EN582" s="344"/>
      <c r="EO582" s="344"/>
      <c r="EP582" s="22"/>
      <c r="EQ582" s="22"/>
      <c r="ER582" s="22"/>
      <c r="ES582" s="344"/>
      <c r="ET582" s="349"/>
      <c r="EU582" s="344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T582" s="27"/>
      <c r="FU582" s="27"/>
    </row>
    <row r="583" spans="24:177" s="9" customFormat="1" x14ac:dyDescent="0.2">
      <c r="X583" s="50"/>
      <c r="AC583" s="8"/>
      <c r="AD583" s="11"/>
      <c r="AE583" s="8"/>
      <c r="AF583" s="10"/>
      <c r="AW583" s="8"/>
      <c r="AX583" s="108"/>
      <c r="AY583" s="102"/>
      <c r="AZ583" s="109"/>
      <c r="BA583" s="11"/>
      <c r="BB583" s="9" t="s">
        <v>553</v>
      </c>
      <c r="BC583" s="11">
        <v>30</v>
      </c>
      <c r="BD583" s="231">
        <v>400</v>
      </c>
      <c r="BE583" s="232" t="s">
        <v>298</v>
      </c>
      <c r="CA583" s="18"/>
      <c r="DH583" s="22"/>
      <c r="DI583" s="22"/>
      <c r="DJ583" s="22"/>
      <c r="DK583" s="344"/>
      <c r="DL583" s="361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22"/>
      <c r="EG583" s="22"/>
      <c r="EH583" s="22"/>
      <c r="EI583" s="22"/>
      <c r="EJ583" s="22"/>
      <c r="EK583" s="22"/>
      <c r="EL583" s="22"/>
      <c r="EM583" s="22"/>
      <c r="EN583" s="344"/>
      <c r="EO583" s="344"/>
      <c r="EP583" s="22"/>
      <c r="EQ583" s="22"/>
      <c r="ER583" s="22"/>
      <c r="ES583" s="344"/>
      <c r="ET583" s="349"/>
      <c r="EU583" s="344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T583" s="27"/>
      <c r="FU583" s="27"/>
    </row>
    <row r="584" spans="24:177" s="9" customFormat="1" x14ac:dyDescent="0.2">
      <c r="X584" s="50"/>
      <c r="AC584" s="8"/>
      <c r="AD584" s="11"/>
      <c r="AE584" s="8"/>
      <c r="AF584" s="10"/>
      <c r="AW584" s="8"/>
      <c r="AX584" s="108"/>
      <c r="AY584" s="102"/>
      <c r="AZ584" s="109"/>
      <c r="BA584" s="11"/>
      <c r="BB584" s="9" t="s">
        <v>553</v>
      </c>
      <c r="BC584" s="22">
        <v>31</v>
      </c>
      <c r="BD584" s="231">
        <v>400</v>
      </c>
      <c r="BE584" s="232" t="s">
        <v>288</v>
      </c>
      <c r="CA584" s="18"/>
      <c r="DH584" s="22"/>
      <c r="DI584" s="22"/>
      <c r="DJ584" s="22"/>
      <c r="DK584" s="344"/>
      <c r="DL584" s="361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22"/>
      <c r="EG584" s="22"/>
      <c r="EH584" s="22"/>
      <c r="EI584" s="22"/>
      <c r="EJ584" s="22"/>
      <c r="EK584" s="22"/>
      <c r="EL584" s="22"/>
      <c r="EM584" s="22"/>
      <c r="EN584" s="344"/>
      <c r="EO584" s="344"/>
      <c r="EP584" s="22"/>
      <c r="EQ584" s="22"/>
      <c r="ER584" s="22"/>
      <c r="ES584" s="344"/>
      <c r="ET584" s="349"/>
      <c r="EU584" s="344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T584" s="27"/>
      <c r="FU584" s="27"/>
    </row>
    <row r="585" spans="24:177" s="9" customFormat="1" x14ac:dyDescent="0.2">
      <c r="X585" s="50"/>
      <c r="AC585" s="8"/>
      <c r="AD585" s="11"/>
      <c r="AE585" s="8"/>
      <c r="AF585" s="10"/>
      <c r="AW585" s="8"/>
      <c r="AX585" s="108"/>
      <c r="AY585" s="102"/>
      <c r="AZ585" s="109"/>
      <c r="BA585" s="11"/>
      <c r="BB585" s="9" t="s">
        <v>553</v>
      </c>
      <c r="BC585" s="11">
        <v>32</v>
      </c>
      <c r="BD585" s="231">
        <v>400</v>
      </c>
      <c r="BE585" s="232" t="s">
        <v>297</v>
      </c>
      <c r="CA585" s="18"/>
      <c r="DH585" s="22"/>
      <c r="DI585" s="22"/>
      <c r="DJ585" s="22"/>
      <c r="DK585" s="344"/>
      <c r="DL585" s="361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22"/>
      <c r="EG585" s="22"/>
      <c r="EH585" s="22"/>
      <c r="EI585" s="22"/>
      <c r="EJ585" s="22"/>
      <c r="EK585" s="22"/>
      <c r="EL585" s="22"/>
      <c r="EM585" s="22"/>
      <c r="EN585" s="344"/>
      <c r="EO585" s="344"/>
      <c r="EP585" s="22"/>
      <c r="EQ585" s="22"/>
      <c r="ER585" s="22"/>
      <c r="ES585" s="344"/>
      <c r="ET585" s="349"/>
      <c r="EU585" s="344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T585" s="27"/>
      <c r="FU585" s="27"/>
    </row>
    <row r="586" spans="24:177" s="9" customFormat="1" x14ac:dyDescent="0.2">
      <c r="X586" s="50"/>
      <c r="AC586" s="8"/>
      <c r="AD586" s="11"/>
      <c r="AE586" s="8"/>
      <c r="AF586" s="10"/>
      <c r="AW586" s="8"/>
      <c r="AX586" s="108"/>
      <c r="AY586" s="102"/>
      <c r="AZ586" s="109"/>
      <c r="BA586" s="11"/>
      <c r="BB586" s="9" t="s">
        <v>553</v>
      </c>
      <c r="BC586" s="22">
        <v>33</v>
      </c>
      <c r="BD586" s="231">
        <v>400</v>
      </c>
      <c r="BE586" s="232" t="s">
        <v>289</v>
      </c>
      <c r="CA586" s="18"/>
      <c r="DH586" s="22"/>
      <c r="DI586" s="22"/>
      <c r="DJ586" s="22"/>
      <c r="DK586" s="344"/>
      <c r="DL586" s="361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22"/>
      <c r="EG586" s="22"/>
      <c r="EH586" s="22"/>
      <c r="EI586" s="22"/>
      <c r="EJ586" s="22"/>
      <c r="EK586" s="22"/>
      <c r="EL586" s="22"/>
      <c r="EM586" s="22"/>
      <c r="EN586" s="344"/>
      <c r="EO586" s="344"/>
      <c r="EP586" s="22"/>
      <c r="EQ586" s="22"/>
      <c r="ER586" s="22"/>
      <c r="ES586" s="344"/>
      <c r="ET586" s="349"/>
      <c r="EU586" s="344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T586" s="27"/>
      <c r="FU586" s="27"/>
    </row>
    <row r="587" spans="24:177" s="9" customFormat="1" x14ac:dyDescent="0.2">
      <c r="X587" s="50"/>
      <c r="AC587" s="8"/>
      <c r="AD587" s="11"/>
      <c r="AE587" s="8"/>
      <c r="AF587" s="10"/>
      <c r="AW587" s="8"/>
      <c r="AX587" s="108"/>
      <c r="AY587" s="102"/>
      <c r="AZ587" s="109"/>
      <c r="BA587" s="11"/>
      <c r="BB587" s="9" t="s">
        <v>553</v>
      </c>
      <c r="BC587" s="11">
        <v>34</v>
      </c>
      <c r="BD587" s="231">
        <v>400</v>
      </c>
      <c r="BE587" s="232" t="s">
        <v>299</v>
      </c>
      <c r="CA587" s="18"/>
      <c r="DH587" s="22"/>
      <c r="DI587" s="22"/>
      <c r="DJ587" s="22"/>
      <c r="DK587" s="344"/>
      <c r="DL587" s="361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22"/>
      <c r="EG587" s="22"/>
      <c r="EH587" s="22"/>
      <c r="EI587" s="22"/>
      <c r="EJ587" s="22"/>
      <c r="EK587" s="22"/>
      <c r="EL587" s="22"/>
      <c r="EM587" s="22"/>
      <c r="EN587" s="344"/>
      <c r="EO587" s="344"/>
      <c r="EP587" s="22"/>
      <c r="EQ587" s="22"/>
      <c r="ER587" s="22"/>
      <c r="ES587" s="344"/>
      <c r="ET587" s="349"/>
      <c r="EU587" s="344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T587" s="27"/>
      <c r="FU587" s="27"/>
    </row>
    <row r="588" spans="24:177" s="9" customFormat="1" x14ac:dyDescent="0.2">
      <c r="X588" s="50"/>
      <c r="AC588" s="8"/>
      <c r="AD588" s="11"/>
      <c r="AE588" s="8"/>
      <c r="AF588" s="10"/>
      <c r="AW588" s="8"/>
      <c r="AX588" s="108"/>
      <c r="AY588" s="102"/>
      <c r="AZ588" s="109"/>
      <c r="BA588" s="11"/>
      <c r="BB588" s="9" t="s">
        <v>553</v>
      </c>
      <c r="BC588" s="22">
        <v>35</v>
      </c>
      <c r="BD588" s="231">
        <v>630</v>
      </c>
      <c r="BE588" s="232" t="s">
        <v>30</v>
      </c>
      <c r="CA588" s="18"/>
      <c r="DH588" s="22"/>
      <c r="DI588" s="22"/>
      <c r="DJ588" s="22"/>
      <c r="DK588" s="344"/>
      <c r="DL588" s="361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22"/>
      <c r="EG588" s="22"/>
      <c r="EH588" s="22"/>
      <c r="EI588" s="22"/>
      <c r="EJ588" s="22"/>
      <c r="EK588" s="22"/>
      <c r="EL588" s="22"/>
      <c r="EM588" s="22"/>
      <c r="EN588" s="344"/>
      <c r="EO588" s="344"/>
      <c r="EP588" s="22"/>
      <c r="EQ588" s="22"/>
      <c r="ER588" s="22"/>
      <c r="ES588" s="344"/>
      <c r="ET588" s="349"/>
      <c r="EU588" s="344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T588" s="27"/>
      <c r="FU588" s="27"/>
    </row>
    <row r="589" spans="24:177" s="9" customFormat="1" x14ac:dyDescent="0.2">
      <c r="X589" s="50"/>
      <c r="AC589" s="8"/>
      <c r="AD589" s="11"/>
      <c r="AE589" s="8"/>
      <c r="AF589" s="10"/>
      <c r="AW589" s="8"/>
      <c r="AX589" s="108"/>
      <c r="AY589" s="102"/>
      <c r="AZ589" s="109"/>
      <c r="BA589" s="11"/>
      <c r="BB589" s="9" t="s">
        <v>553</v>
      </c>
      <c r="BC589" s="11">
        <v>36</v>
      </c>
      <c r="BD589" s="231">
        <v>630</v>
      </c>
      <c r="BE589" s="232" t="s">
        <v>251</v>
      </c>
      <c r="CA589" s="18"/>
      <c r="DH589" s="22"/>
      <c r="DI589" s="22"/>
      <c r="DJ589" s="22"/>
      <c r="DK589" s="344"/>
      <c r="DL589" s="361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22"/>
      <c r="EG589" s="22"/>
      <c r="EH589" s="22"/>
      <c r="EI589" s="22"/>
      <c r="EJ589" s="22"/>
      <c r="EK589" s="22"/>
      <c r="EL589" s="22"/>
      <c r="EM589" s="22"/>
      <c r="EN589" s="344"/>
      <c r="EO589" s="344"/>
      <c r="EP589" s="22"/>
      <c r="EQ589" s="22"/>
      <c r="ER589" s="22"/>
      <c r="ES589" s="344"/>
      <c r="ET589" s="349"/>
      <c r="EU589" s="344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T589" s="27"/>
      <c r="FU589" s="27"/>
    </row>
    <row r="590" spans="24:177" s="9" customFormat="1" x14ac:dyDescent="0.2">
      <c r="X590" s="50"/>
      <c r="AC590" s="8"/>
      <c r="AD590" s="11"/>
      <c r="AE590" s="8"/>
      <c r="AF590" s="10"/>
      <c r="AW590" s="8"/>
      <c r="AX590" s="108"/>
      <c r="AY590" s="102"/>
      <c r="AZ590" s="109"/>
      <c r="BA590" s="11"/>
      <c r="BB590" s="9" t="s">
        <v>553</v>
      </c>
      <c r="BC590" s="22">
        <v>37</v>
      </c>
      <c r="BD590" s="231">
        <v>630</v>
      </c>
      <c r="BE590" s="232" t="s">
        <v>298</v>
      </c>
      <c r="CA590" s="18"/>
      <c r="DH590" s="22"/>
      <c r="DI590" s="22"/>
      <c r="DJ590" s="22"/>
      <c r="DK590" s="344"/>
      <c r="DL590" s="361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22"/>
      <c r="EG590" s="22"/>
      <c r="EH590" s="22"/>
      <c r="EI590" s="22"/>
      <c r="EJ590" s="22"/>
      <c r="EK590" s="22"/>
      <c r="EL590" s="22"/>
      <c r="EM590" s="22"/>
      <c r="EN590" s="344"/>
      <c r="EO590" s="344"/>
      <c r="EP590" s="22"/>
      <c r="EQ590" s="22"/>
      <c r="ER590" s="22"/>
      <c r="ES590" s="344"/>
      <c r="ET590" s="349"/>
      <c r="EU590" s="344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T590" s="27"/>
      <c r="FU590" s="27"/>
    </row>
    <row r="591" spans="24:177" s="9" customFormat="1" x14ac:dyDescent="0.2">
      <c r="X591" s="50"/>
      <c r="AC591" s="8"/>
      <c r="AD591" s="11"/>
      <c r="AE591" s="8"/>
      <c r="AF591" s="10"/>
      <c r="AW591" s="8"/>
      <c r="AX591" s="108"/>
      <c r="AY591" s="102"/>
      <c r="AZ591" s="109"/>
      <c r="BA591" s="11"/>
      <c r="BB591" s="9" t="s">
        <v>553</v>
      </c>
      <c r="BC591" s="11">
        <v>38</v>
      </c>
      <c r="BD591" s="231">
        <v>630</v>
      </c>
      <c r="BE591" s="232" t="s">
        <v>288</v>
      </c>
      <c r="CA591" s="18"/>
      <c r="DH591" s="22"/>
      <c r="DI591" s="22"/>
      <c r="DJ591" s="22"/>
      <c r="DK591" s="344"/>
      <c r="DL591" s="361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22"/>
      <c r="EG591" s="22"/>
      <c r="EH591" s="22"/>
      <c r="EI591" s="22"/>
      <c r="EJ591" s="22"/>
      <c r="EK591" s="22"/>
      <c r="EL591" s="22"/>
      <c r="EM591" s="22"/>
      <c r="EN591" s="344"/>
      <c r="EO591" s="344"/>
      <c r="EP591" s="22"/>
      <c r="EQ591" s="22"/>
      <c r="ER591" s="22"/>
      <c r="ES591" s="344"/>
      <c r="ET591" s="349"/>
      <c r="EU591" s="344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T591" s="27"/>
      <c r="FU591" s="27"/>
    </row>
    <row r="592" spans="24:177" s="9" customFormat="1" x14ac:dyDescent="0.2">
      <c r="X592" s="50"/>
      <c r="AC592" s="8"/>
      <c r="AD592" s="11"/>
      <c r="AE592" s="8"/>
      <c r="AF592" s="10"/>
      <c r="AW592" s="8"/>
      <c r="AX592" s="108"/>
      <c r="AY592" s="102"/>
      <c r="AZ592" s="109"/>
      <c r="BA592" s="11"/>
      <c r="BB592" s="9" t="s">
        <v>553</v>
      </c>
      <c r="BC592" s="22">
        <v>39</v>
      </c>
      <c r="BD592" s="231">
        <v>630</v>
      </c>
      <c r="BE592" s="232" t="s">
        <v>297</v>
      </c>
      <c r="CA592" s="18"/>
      <c r="DH592" s="22"/>
      <c r="DI592" s="22"/>
      <c r="DJ592" s="22"/>
      <c r="DK592" s="344"/>
      <c r="DL592" s="361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22"/>
      <c r="EG592" s="22"/>
      <c r="EH592" s="22"/>
      <c r="EI592" s="22"/>
      <c r="EJ592" s="22"/>
      <c r="EK592" s="22"/>
      <c r="EL592" s="22"/>
      <c r="EM592" s="22"/>
      <c r="EN592" s="344"/>
      <c r="EO592" s="344"/>
      <c r="EP592" s="22"/>
      <c r="EQ592" s="22"/>
      <c r="ER592" s="22"/>
      <c r="ES592" s="344"/>
      <c r="ET592" s="349"/>
      <c r="EU592" s="344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T592" s="27"/>
      <c r="FU592" s="27"/>
    </row>
    <row r="593" spans="24:177" s="9" customFormat="1" x14ac:dyDescent="0.2">
      <c r="X593" s="50"/>
      <c r="AC593" s="8"/>
      <c r="AD593" s="11"/>
      <c r="AE593" s="8"/>
      <c r="AF593" s="10"/>
      <c r="AW593" s="8"/>
      <c r="AX593" s="108"/>
      <c r="AY593" s="102"/>
      <c r="AZ593" s="109"/>
      <c r="BA593" s="11"/>
      <c r="BB593" s="9" t="s">
        <v>553</v>
      </c>
      <c r="BC593" s="11">
        <v>40</v>
      </c>
      <c r="BD593" s="231">
        <v>630</v>
      </c>
      <c r="BE593" s="232" t="s">
        <v>289</v>
      </c>
      <c r="CA593" s="18"/>
      <c r="DH593" s="22"/>
      <c r="DI593" s="22"/>
      <c r="DJ593" s="22"/>
      <c r="DK593" s="344"/>
      <c r="DL593" s="361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22"/>
      <c r="EG593" s="22"/>
      <c r="EH593" s="22"/>
      <c r="EI593" s="22"/>
      <c r="EJ593" s="22"/>
      <c r="EK593" s="22"/>
      <c r="EL593" s="22"/>
      <c r="EM593" s="22"/>
      <c r="EN593" s="344"/>
      <c r="EO593" s="344"/>
      <c r="EP593" s="22"/>
      <c r="EQ593" s="22"/>
      <c r="ER593" s="22"/>
      <c r="ES593" s="344"/>
      <c r="ET593" s="349"/>
      <c r="EU593" s="344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T593" s="27"/>
      <c r="FU593" s="27"/>
    </row>
    <row r="594" spans="24:177" s="9" customFormat="1" ht="13.5" thickBot="1" x14ac:dyDescent="0.25">
      <c r="X594" s="50"/>
      <c r="AC594" s="8"/>
      <c r="AD594" s="11"/>
      <c r="AE594" s="8"/>
      <c r="AF594" s="10"/>
      <c r="AW594" s="8"/>
      <c r="AX594" s="108"/>
      <c r="AY594" s="102"/>
      <c r="AZ594" s="109"/>
      <c r="BA594" s="11"/>
      <c r="BB594" s="9" t="s">
        <v>554</v>
      </c>
      <c r="BC594" s="22">
        <v>40</v>
      </c>
      <c r="BD594" s="231">
        <v>630</v>
      </c>
      <c r="BE594" s="232" t="s">
        <v>299</v>
      </c>
      <c r="CA594" s="18"/>
      <c r="DH594" s="22"/>
      <c r="DI594" s="22"/>
      <c r="DJ594" s="22"/>
      <c r="DK594" s="344"/>
      <c r="DL594" s="361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22"/>
      <c r="EG594" s="22"/>
      <c r="EH594" s="22"/>
      <c r="EI594" s="22"/>
      <c r="EJ594" s="22"/>
      <c r="EK594" s="22"/>
      <c r="EL594" s="22"/>
      <c r="EM594" s="22"/>
      <c r="EN594" s="344"/>
      <c r="EO594" s="344"/>
      <c r="EP594" s="22"/>
      <c r="EQ594" s="22"/>
      <c r="ER594" s="22"/>
      <c r="ES594" s="344"/>
      <c r="ET594" s="349"/>
      <c r="EU594" s="344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T594" s="27"/>
      <c r="FU594" s="27"/>
    </row>
    <row r="595" spans="24:177" s="9" customFormat="1" ht="13.5" thickTop="1" x14ac:dyDescent="0.2">
      <c r="X595" s="50"/>
      <c r="AC595" s="8"/>
      <c r="AD595" s="11"/>
      <c r="AE595" s="8"/>
      <c r="AF595" s="10"/>
      <c r="AW595" s="8"/>
      <c r="AX595" s="108"/>
      <c r="AY595" s="102"/>
      <c r="AZ595" s="109"/>
      <c r="BA595" s="11"/>
      <c r="BB595" s="9" t="s">
        <v>554</v>
      </c>
      <c r="BC595" s="22">
        <v>41</v>
      </c>
      <c r="BD595" s="1463" t="s">
        <v>362</v>
      </c>
      <c r="BE595" s="1464"/>
      <c r="CA595" s="18"/>
      <c r="DH595" s="22"/>
      <c r="DI595" s="22"/>
      <c r="DJ595" s="22"/>
      <c r="DK595" s="344"/>
      <c r="DL595" s="361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22"/>
      <c r="EG595" s="22"/>
      <c r="EH595" s="22"/>
      <c r="EI595" s="22"/>
      <c r="EJ595" s="22"/>
      <c r="EK595" s="22"/>
      <c r="EL595" s="22"/>
      <c r="EM595" s="22"/>
      <c r="EN595" s="344"/>
      <c r="EO595" s="344"/>
      <c r="EP595" s="22"/>
      <c r="EQ595" s="22"/>
      <c r="ER595" s="22"/>
      <c r="ES595" s="344"/>
      <c r="ET595" s="349"/>
      <c r="EU595" s="344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T595" s="27"/>
      <c r="FU595" s="27"/>
    </row>
    <row r="596" spans="24:177" s="9" customFormat="1" x14ac:dyDescent="0.2">
      <c r="X596" s="50"/>
      <c r="AC596" s="8"/>
      <c r="AD596" s="11"/>
      <c r="AE596" s="8"/>
      <c r="AF596" s="10"/>
      <c r="AW596" s="8"/>
      <c r="AX596" s="108"/>
      <c r="AY596" s="102"/>
      <c r="AZ596" s="109"/>
      <c r="BA596" s="11"/>
      <c r="BB596" s="9" t="s">
        <v>554</v>
      </c>
      <c r="BC596" s="22">
        <v>42</v>
      </c>
      <c r="BD596" s="1456" t="s">
        <v>363</v>
      </c>
      <c r="BE596" s="1457"/>
      <c r="CA596" s="18"/>
      <c r="DH596" s="22"/>
      <c r="DI596" s="22"/>
      <c r="DJ596" s="22"/>
      <c r="DK596" s="344"/>
      <c r="DL596" s="361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22"/>
      <c r="EG596" s="22"/>
      <c r="EH596" s="22"/>
      <c r="EI596" s="22"/>
      <c r="EJ596" s="22"/>
      <c r="EK596" s="22"/>
      <c r="EL596" s="22"/>
      <c r="EM596" s="22"/>
      <c r="EN596" s="344"/>
      <c r="EO596" s="344"/>
      <c r="EP596" s="22"/>
      <c r="EQ596" s="22"/>
      <c r="ER596" s="22"/>
      <c r="ES596" s="344"/>
      <c r="ET596" s="349"/>
      <c r="EU596" s="344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T596" s="27"/>
      <c r="FU596" s="27"/>
    </row>
    <row r="597" spans="24:177" s="9" customFormat="1" x14ac:dyDescent="0.2">
      <c r="X597" s="50"/>
      <c r="AC597" s="8"/>
      <c r="AD597" s="11"/>
      <c r="AE597" s="8"/>
      <c r="AF597" s="10"/>
      <c r="AW597" s="8"/>
      <c r="AX597" s="108"/>
      <c r="AY597" s="102"/>
      <c r="AZ597" s="109"/>
      <c r="BA597" s="11"/>
      <c r="BB597" s="9" t="s">
        <v>554</v>
      </c>
      <c r="BC597" s="22">
        <v>43</v>
      </c>
      <c r="BD597" s="231">
        <v>4</v>
      </c>
      <c r="BE597" s="232" t="s">
        <v>595</v>
      </c>
      <c r="CA597" s="18"/>
      <c r="DH597" s="22"/>
      <c r="DI597" s="22"/>
      <c r="DJ597" s="22"/>
      <c r="DK597" s="344"/>
      <c r="DL597" s="361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22"/>
      <c r="EG597" s="22"/>
      <c r="EH597" s="22"/>
      <c r="EI597" s="22"/>
      <c r="EJ597" s="22"/>
      <c r="EK597" s="22"/>
      <c r="EL597" s="22"/>
      <c r="EM597" s="22"/>
      <c r="EN597" s="344"/>
      <c r="EO597" s="344"/>
      <c r="EP597" s="22"/>
      <c r="EQ597" s="22"/>
      <c r="ER597" s="22"/>
      <c r="ES597" s="344"/>
      <c r="ET597" s="349"/>
      <c r="EU597" s="344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T597" s="27"/>
      <c r="FU597" s="27"/>
    </row>
    <row r="598" spans="24:177" s="9" customFormat="1" x14ac:dyDescent="0.2">
      <c r="X598" s="50"/>
      <c r="AC598" s="8"/>
      <c r="AD598" s="11"/>
      <c r="AE598" s="8"/>
      <c r="AF598" s="10"/>
      <c r="AW598" s="8"/>
      <c r="AX598" s="108"/>
      <c r="AY598" s="102"/>
      <c r="AZ598" s="109"/>
      <c r="BA598" s="11"/>
      <c r="BB598" s="9" t="s">
        <v>554</v>
      </c>
      <c r="BC598" s="22">
        <v>44</v>
      </c>
      <c r="BD598" s="231">
        <v>6</v>
      </c>
      <c r="BE598" s="232" t="s">
        <v>595</v>
      </c>
      <c r="CA598" s="18"/>
      <c r="DH598" s="22"/>
      <c r="DI598" s="22"/>
      <c r="DJ598" s="22"/>
      <c r="DK598" s="344"/>
      <c r="DL598" s="361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22"/>
      <c r="EG598" s="22"/>
      <c r="EH598" s="22"/>
      <c r="EI598" s="22"/>
      <c r="EJ598" s="22"/>
      <c r="EK598" s="22"/>
      <c r="EL598" s="22"/>
      <c r="EM598" s="22"/>
      <c r="EN598" s="344"/>
      <c r="EO598" s="344"/>
      <c r="EP598" s="22"/>
      <c r="EQ598" s="22"/>
      <c r="ER598" s="22"/>
      <c r="ES598" s="344"/>
      <c r="ET598" s="349"/>
      <c r="EU598" s="344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T598" s="27"/>
      <c r="FU598" s="27"/>
    </row>
    <row r="599" spans="24:177" s="9" customFormat="1" x14ac:dyDescent="0.2">
      <c r="X599" s="50"/>
      <c r="AC599" s="8"/>
      <c r="AD599" s="11"/>
      <c r="AE599" s="8"/>
      <c r="AF599" s="10"/>
      <c r="AW599" s="8"/>
      <c r="AX599" s="108"/>
      <c r="AY599" s="102"/>
      <c r="AZ599" s="109"/>
      <c r="BA599" s="11"/>
      <c r="BB599" s="9" t="s">
        <v>554</v>
      </c>
      <c r="BC599" s="22">
        <v>45</v>
      </c>
      <c r="BD599" s="231">
        <v>6</v>
      </c>
      <c r="BE599" s="232" t="s">
        <v>597</v>
      </c>
      <c r="CA599" s="18"/>
      <c r="DH599" s="22"/>
      <c r="DI599" s="22"/>
      <c r="DJ599" s="22"/>
      <c r="DK599" s="344"/>
      <c r="DL599" s="361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22"/>
      <c r="EG599" s="22"/>
      <c r="EH599" s="22"/>
      <c r="EI599" s="22"/>
      <c r="EJ599" s="22"/>
      <c r="EK599" s="22"/>
      <c r="EL599" s="22"/>
      <c r="EM599" s="22"/>
      <c r="EN599" s="344"/>
      <c r="EO599" s="344"/>
      <c r="EP599" s="22"/>
      <c r="EQ599" s="22"/>
      <c r="ER599" s="22"/>
      <c r="ES599" s="344"/>
      <c r="ET599" s="349"/>
      <c r="EU599" s="344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T599" s="27"/>
      <c r="FU599" s="27"/>
    </row>
    <row r="600" spans="24:177" s="9" customFormat="1" x14ac:dyDescent="0.2">
      <c r="X600" s="50"/>
      <c r="AC600" s="8"/>
      <c r="AD600" s="11"/>
      <c r="AE600" s="8"/>
      <c r="AF600" s="10"/>
      <c r="AW600" s="8"/>
      <c r="AX600" s="108"/>
      <c r="AY600" s="102"/>
      <c r="AZ600" s="109"/>
      <c r="BA600" s="11"/>
      <c r="BB600" s="9" t="s">
        <v>554</v>
      </c>
      <c r="BC600" s="22">
        <v>46</v>
      </c>
      <c r="BD600" s="231">
        <v>10</v>
      </c>
      <c r="BE600" s="232" t="s">
        <v>595</v>
      </c>
      <c r="CA600" s="18"/>
      <c r="DH600" s="22"/>
      <c r="DI600" s="22"/>
      <c r="DJ600" s="22"/>
      <c r="DK600" s="344"/>
      <c r="DL600" s="361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22"/>
      <c r="EG600" s="22"/>
      <c r="EH600" s="22"/>
      <c r="EI600" s="22"/>
      <c r="EJ600" s="22"/>
      <c r="EK600" s="22"/>
      <c r="EL600" s="22"/>
      <c r="EM600" s="22"/>
      <c r="EN600" s="344"/>
      <c r="EO600" s="344"/>
      <c r="EP600" s="22"/>
      <c r="EQ600" s="22"/>
      <c r="ER600" s="22"/>
      <c r="ES600" s="344"/>
      <c r="ET600" s="349"/>
      <c r="EU600" s="344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T600" s="27"/>
      <c r="FU600" s="27"/>
    </row>
    <row r="601" spans="24:177" s="9" customFormat="1" x14ac:dyDescent="0.2">
      <c r="X601" s="50"/>
      <c r="AC601" s="8"/>
      <c r="AD601" s="11"/>
      <c r="AE601" s="8"/>
      <c r="AF601" s="10"/>
      <c r="AW601" s="8"/>
      <c r="AX601" s="108"/>
      <c r="AY601" s="102"/>
      <c r="AZ601" s="109"/>
      <c r="BA601" s="11"/>
      <c r="BB601" s="9" t="s">
        <v>554</v>
      </c>
      <c r="BC601" s="22">
        <v>47</v>
      </c>
      <c r="BD601" s="231">
        <v>10</v>
      </c>
      <c r="BE601" s="232" t="s">
        <v>597</v>
      </c>
      <c r="CA601" s="18"/>
      <c r="DH601" s="22"/>
      <c r="DI601" s="22"/>
      <c r="DJ601" s="22"/>
      <c r="DK601" s="344"/>
      <c r="DL601" s="361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22"/>
      <c r="EG601" s="22"/>
      <c r="EH601" s="22"/>
      <c r="EI601" s="22"/>
      <c r="EJ601" s="22"/>
      <c r="EK601" s="22"/>
      <c r="EL601" s="22"/>
      <c r="EM601" s="22"/>
      <c r="EN601" s="344"/>
      <c r="EO601" s="344"/>
      <c r="EP601" s="22"/>
      <c r="EQ601" s="22"/>
      <c r="ER601" s="22"/>
      <c r="ES601" s="344"/>
      <c r="ET601" s="349"/>
      <c r="EU601" s="344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T601" s="27"/>
      <c r="FU601" s="27"/>
    </row>
    <row r="602" spans="24:177" s="9" customFormat="1" x14ac:dyDescent="0.2">
      <c r="X602" s="50"/>
      <c r="AC602" s="8"/>
      <c r="AD602" s="11"/>
      <c r="AE602" s="8"/>
      <c r="AF602" s="10"/>
      <c r="AW602" s="8"/>
      <c r="AX602" s="108"/>
      <c r="AY602" s="102"/>
      <c r="AZ602" s="109"/>
      <c r="BA602" s="11"/>
      <c r="BB602" s="9" t="s">
        <v>554</v>
      </c>
      <c r="BC602" s="22">
        <v>48</v>
      </c>
      <c r="BD602" s="231">
        <v>16</v>
      </c>
      <c r="BE602" s="232" t="s">
        <v>595</v>
      </c>
      <c r="CA602" s="18"/>
      <c r="DH602" s="22"/>
      <c r="DI602" s="22"/>
      <c r="DJ602" s="22"/>
      <c r="DK602" s="344"/>
      <c r="DL602" s="361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22"/>
      <c r="EG602" s="22"/>
      <c r="EH602" s="22"/>
      <c r="EI602" s="22"/>
      <c r="EJ602" s="22"/>
      <c r="EK602" s="22"/>
      <c r="EL602" s="22"/>
      <c r="EM602" s="22"/>
      <c r="EN602" s="344"/>
      <c r="EO602" s="344"/>
      <c r="EP602" s="22"/>
      <c r="EQ602" s="22"/>
      <c r="ER602" s="22"/>
      <c r="ES602" s="344"/>
      <c r="ET602" s="349"/>
      <c r="EU602" s="344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T602" s="27"/>
      <c r="FU602" s="27"/>
    </row>
    <row r="603" spans="24:177" s="9" customFormat="1" x14ac:dyDescent="0.2">
      <c r="X603" s="50"/>
      <c r="AC603" s="8"/>
      <c r="AD603" s="11"/>
      <c r="AE603" s="8"/>
      <c r="AF603" s="10"/>
      <c r="AW603" s="8"/>
      <c r="AX603" s="108"/>
      <c r="AY603" s="102"/>
      <c r="AZ603" s="109"/>
      <c r="BA603" s="11"/>
      <c r="BB603" s="9" t="s">
        <v>554</v>
      </c>
      <c r="BC603" s="22">
        <v>49</v>
      </c>
      <c r="BD603" s="231">
        <v>16</v>
      </c>
      <c r="BE603" s="232" t="s">
        <v>597</v>
      </c>
      <c r="CA603" s="18"/>
      <c r="DH603" s="22"/>
      <c r="DI603" s="22"/>
      <c r="DJ603" s="22"/>
      <c r="DK603" s="344"/>
      <c r="DL603" s="361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22"/>
      <c r="EG603" s="22"/>
      <c r="EH603" s="22"/>
      <c r="EI603" s="22"/>
      <c r="EJ603" s="22"/>
      <c r="EK603" s="22"/>
      <c r="EL603" s="22"/>
      <c r="EM603" s="22"/>
      <c r="EN603" s="344"/>
      <c r="EO603" s="344"/>
      <c r="EP603" s="22"/>
      <c r="EQ603" s="22"/>
      <c r="ER603" s="22"/>
      <c r="ES603" s="344"/>
      <c r="ET603" s="349"/>
      <c r="EU603" s="344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T603" s="27"/>
      <c r="FU603" s="27"/>
    </row>
    <row r="604" spans="24:177" s="9" customFormat="1" x14ac:dyDescent="0.2">
      <c r="X604" s="50"/>
      <c r="AC604" s="8"/>
      <c r="AD604" s="11"/>
      <c r="AE604" s="8"/>
      <c r="AF604" s="10"/>
      <c r="AW604" s="8"/>
      <c r="AX604" s="108"/>
      <c r="AY604" s="102"/>
      <c r="AZ604" s="109"/>
      <c r="BA604" s="11"/>
      <c r="BB604" s="9" t="s">
        <v>554</v>
      </c>
      <c r="BC604" s="22">
        <v>50</v>
      </c>
      <c r="BD604" s="231">
        <v>20</v>
      </c>
      <c r="BE604" s="232" t="s">
        <v>595</v>
      </c>
      <c r="CA604" s="18"/>
      <c r="DH604" s="22"/>
      <c r="DI604" s="22"/>
      <c r="DJ604" s="22"/>
      <c r="DK604" s="344"/>
      <c r="DL604" s="361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22"/>
      <c r="EG604" s="22"/>
      <c r="EH604" s="22"/>
      <c r="EI604" s="22"/>
      <c r="EJ604" s="22"/>
      <c r="EK604" s="22"/>
      <c r="EL604" s="22"/>
      <c r="EM604" s="22"/>
      <c r="EN604" s="344"/>
      <c r="EO604" s="344"/>
      <c r="EP604" s="22"/>
      <c r="EQ604" s="22"/>
      <c r="ER604" s="22"/>
      <c r="ES604" s="344"/>
      <c r="ET604" s="349"/>
      <c r="EU604" s="344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T604" s="27"/>
      <c r="FU604" s="27"/>
    </row>
    <row r="605" spans="24:177" s="9" customFormat="1" x14ac:dyDescent="0.2">
      <c r="X605" s="50"/>
      <c r="AC605" s="8"/>
      <c r="AD605" s="11"/>
      <c r="AE605" s="8"/>
      <c r="AF605" s="10"/>
      <c r="AW605" s="8"/>
      <c r="AX605" s="108"/>
      <c r="AY605" s="102"/>
      <c r="AZ605" s="109"/>
      <c r="BA605" s="11"/>
      <c r="BB605" s="9" t="s">
        <v>554</v>
      </c>
      <c r="BC605" s="22">
        <v>51</v>
      </c>
      <c r="BD605" s="231">
        <v>20</v>
      </c>
      <c r="BE605" s="232" t="s">
        <v>597</v>
      </c>
      <c r="CA605" s="18"/>
      <c r="DH605" s="22"/>
      <c r="DI605" s="22"/>
      <c r="DJ605" s="22"/>
      <c r="DK605" s="344"/>
      <c r="DL605" s="361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22"/>
      <c r="EG605" s="22"/>
      <c r="EH605" s="22"/>
      <c r="EI605" s="22"/>
      <c r="EJ605" s="22"/>
      <c r="EK605" s="22"/>
      <c r="EL605" s="22"/>
      <c r="EM605" s="22"/>
      <c r="EN605" s="344"/>
      <c r="EO605" s="344"/>
      <c r="EP605" s="22"/>
      <c r="EQ605" s="22"/>
      <c r="ER605" s="22"/>
      <c r="ES605" s="344"/>
      <c r="ET605" s="349"/>
      <c r="EU605" s="344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T605" s="27"/>
      <c r="FU605" s="27"/>
    </row>
    <row r="606" spans="24:177" s="9" customFormat="1" x14ac:dyDescent="0.2">
      <c r="X606" s="50"/>
      <c r="AC606" s="8"/>
      <c r="AD606" s="11"/>
      <c r="AE606" s="8"/>
      <c r="AF606" s="10"/>
      <c r="AW606" s="8"/>
      <c r="AX606" s="108"/>
      <c r="AY606" s="102"/>
      <c r="AZ606" s="109"/>
      <c r="BA606" s="11"/>
      <c r="BB606" s="9" t="s">
        <v>554</v>
      </c>
      <c r="BC606" s="22">
        <v>52</v>
      </c>
      <c r="BD606" s="231">
        <v>25</v>
      </c>
      <c r="BE606" s="232" t="s">
        <v>595</v>
      </c>
      <c r="CA606" s="18"/>
      <c r="DH606" s="22"/>
      <c r="DI606" s="22"/>
      <c r="DJ606" s="22"/>
      <c r="DK606" s="344"/>
      <c r="DL606" s="361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22"/>
      <c r="EG606" s="22"/>
      <c r="EH606" s="22"/>
      <c r="EI606" s="22"/>
      <c r="EJ606" s="22"/>
      <c r="EK606" s="22"/>
      <c r="EL606" s="22"/>
      <c r="EM606" s="22"/>
      <c r="EN606" s="344"/>
      <c r="EO606" s="344"/>
      <c r="EP606" s="22"/>
      <c r="EQ606" s="22"/>
      <c r="ER606" s="22"/>
      <c r="ES606" s="344"/>
      <c r="ET606" s="349"/>
      <c r="EU606" s="344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T606" s="27"/>
      <c r="FU606" s="27"/>
    </row>
    <row r="607" spans="24:177" s="9" customFormat="1" x14ac:dyDescent="0.2">
      <c r="X607" s="50"/>
      <c r="AC607" s="8"/>
      <c r="AD607" s="11"/>
      <c r="AE607" s="8"/>
      <c r="AF607" s="10"/>
      <c r="AW607" s="8"/>
      <c r="AX607" s="108"/>
      <c r="AY607" s="102"/>
      <c r="AZ607" s="109"/>
      <c r="BA607" s="11"/>
      <c r="BB607" s="9" t="s">
        <v>554</v>
      </c>
      <c r="BC607" s="22">
        <v>53</v>
      </c>
      <c r="BD607" s="231">
        <v>25</v>
      </c>
      <c r="BE607" s="232" t="s">
        <v>597</v>
      </c>
      <c r="CA607" s="18"/>
      <c r="DH607" s="22"/>
      <c r="DI607" s="22"/>
      <c r="DJ607" s="22"/>
      <c r="DK607" s="344"/>
      <c r="DL607" s="361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22"/>
      <c r="EG607" s="22"/>
      <c r="EH607" s="22"/>
      <c r="EI607" s="22"/>
      <c r="EJ607" s="22"/>
      <c r="EK607" s="22"/>
      <c r="EL607" s="22"/>
      <c r="EM607" s="22"/>
      <c r="EN607" s="344"/>
      <c r="EO607" s="344"/>
      <c r="EP607" s="22"/>
      <c r="EQ607" s="22"/>
      <c r="ER607" s="22"/>
      <c r="ES607" s="344"/>
      <c r="ET607" s="349"/>
      <c r="EU607" s="344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T607" s="27"/>
      <c r="FU607" s="27"/>
    </row>
    <row r="608" spans="24:177" s="9" customFormat="1" x14ac:dyDescent="0.2">
      <c r="X608" s="50"/>
      <c r="AC608" s="8"/>
      <c r="AD608" s="11"/>
      <c r="AE608" s="8"/>
      <c r="AF608" s="10"/>
      <c r="AW608" s="8"/>
      <c r="AX608" s="108"/>
      <c r="AY608" s="102"/>
      <c r="AZ608" s="109"/>
      <c r="BA608" s="11"/>
      <c r="BB608" s="9" t="s">
        <v>554</v>
      </c>
      <c r="BC608" s="22">
        <v>54</v>
      </c>
      <c r="BD608" s="231">
        <v>32</v>
      </c>
      <c r="BE608" s="232" t="s">
        <v>595</v>
      </c>
      <c r="CA608" s="18"/>
      <c r="DH608" s="22"/>
      <c r="DI608" s="22"/>
      <c r="DJ608" s="22"/>
      <c r="DK608" s="344"/>
      <c r="DL608" s="361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22"/>
      <c r="EG608" s="22"/>
      <c r="EH608" s="22"/>
      <c r="EI608" s="22"/>
      <c r="EJ608" s="22"/>
      <c r="EK608" s="22"/>
      <c r="EL608" s="22"/>
      <c r="EM608" s="22"/>
      <c r="EN608" s="344"/>
      <c r="EO608" s="344"/>
      <c r="EP608" s="22"/>
      <c r="EQ608" s="22"/>
      <c r="ER608" s="22"/>
      <c r="ES608" s="344"/>
      <c r="ET608" s="349"/>
      <c r="EU608" s="344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T608" s="27"/>
      <c r="FU608" s="27"/>
    </row>
    <row r="609" spans="24:177" s="9" customFormat="1" x14ac:dyDescent="0.2">
      <c r="X609" s="50"/>
      <c r="AC609" s="8"/>
      <c r="AD609" s="11"/>
      <c r="AE609" s="8"/>
      <c r="AF609" s="10"/>
      <c r="AW609" s="8"/>
      <c r="AX609" s="108"/>
      <c r="AY609" s="102"/>
      <c r="AZ609" s="109"/>
      <c r="BA609" s="11"/>
      <c r="BB609" s="9" t="s">
        <v>554</v>
      </c>
      <c r="BC609" s="22">
        <v>55</v>
      </c>
      <c r="BD609" s="231">
        <v>32</v>
      </c>
      <c r="BE609" s="232" t="s">
        <v>597</v>
      </c>
      <c r="CA609" s="18"/>
      <c r="DH609" s="22"/>
      <c r="DI609" s="22"/>
      <c r="DJ609" s="22"/>
      <c r="DK609" s="344"/>
      <c r="DL609" s="361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22"/>
      <c r="EG609" s="22"/>
      <c r="EH609" s="22"/>
      <c r="EI609" s="22"/>
      <c r="EJ609" s="22"/>
      <c r="EK609" s="22"/>
      <c r="EL609" s="22"/>
      <c r="EM609" s="22"/>
      <c r="EN609" s="344"/>
      <c r="EO609" s="344"/>
      <c r="EP609" s="22"/>
      <c r="EQ609" s="22"/>
      <c r="ER609" s="22"/>
      <c r="ES609" s="344"/>
      <c r="ET609" s="349"/>
      <c r="EU609" s="344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T609" s="27"/>
      <c r="FU609" s="27"/>
    </row>
    <row r="610" spans="24:177" s="9" customFormat="1" x14ac:dyDescent="0.2">
      <c r="X610" s="50"/>
      <c r="AD610" s="22"/>
      <c r="AE610" s="8"/>
      <c r="AF610" s="10"/>
      <c r="AW610" s="8"/>
      <c r="AX610" s="108"/>
      <c r="AY610" s="102"/>
      <c r="AZ610" s="109"/>
      <c r="BA610" s="11"/>
      <c r="BB610" s="9" t="s">
        <v>554</v>
      </c>
      <c r="BC610" s="22">
        <v>56</v>
      </c>
      <c r="BD610" s="231">
        <v>40</v>
      </c>
      <c r="BE610" s="232" t="s">
        <v>595</v>
      </c>
      <c r="CA610" s="18"/>
      <c r="DH610" s="22"/>
      <c r="DI610" s="22"/>
      <c r="DJ610" s="22"/>
      <c r="DK610" s="344"/>
      <c r="DL610" s="361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22"/>
      <c r="EG610" s="22"/>
      <c r="EH610" s="22"/>
      <c r="EI610" s="22"/>
      <c r="EJ610" s="22"/>
      <c r="EK610" s="22"/>
      <c r="EL610" s="22"/>
      <c r="EM610" s="22"/>
      <c r="EN610" s="344"/>
      <c r="EO610" s="344"/>
      <c r="EP610" s="22"/>
      <c r="EQ610" s="22"/>
      <c r="ER610" s="22"/>
      <c r="ES610" s="344"/>
      <c r="ET610" s="349"/>
      <c r="EU610" s="344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T610" s="27"/>
      <c r="FU610" s="27"/>
    </row>
    <row r="611" spans="24:177" s="9" customFormat="1" x14ac:dyDescent="0.2">
      <c r="X611" s="50"/>
      <c r="AD611" s="22"/>
      <c r="AE611" s="8"/>
      <c r="AF611" s="10"/>
      <c r="AW611" s="8"/>
      <c r="AX611" s="108"/>
      <c r="AY611" s="102"/>
      <c r="AZ611" s="109"/>
      <c r="BA611" s="11"/>
      <c r="BB611" s="9" t="s">
        <v>554</v>
      </c>
      <c r="BC611" s="22">
        <v>57</v>
      </c>
      <c r="BD611" s="231">
        <v>40</v>
      </c>
      <c r="BE611" s="232" t="s">
        <v>597</v>
      </c>
      <c r="CA611" s="18"/>
      <c r="DH611" s="22"/>
      <c r="DI611" s="22"/>
      <c r="DJ611" s="22"/>
      <c r="DK611" s="344"/>
      <c r="DL611" s="361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22"/>
      <c r="EG611" s="22"/>
      <c r="EH611" s="22"/>
      <c r="EI611" s="22"/>
      <c r="EJ611" s="22"/>
      <c r="EK611" s="22"/>
      <c r="EL611" s="22"/>
      <c r="EM611" s="22"/>
      <c r="EN611" s="344"/>
      <c r="EO611" s="344"/>
      <c r="EP611" s="22"/>
      <c r="EQ611" s="22"/>
      <c r="ER611" s="22"/>
      <c r="ES611" s="344"/>
      <c r="ET611" s="349"/>
      <c r="EU611" s="344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T611" s="27"/>
      <c r="FU611" s="27"/>
    </row>
    <row r="612" spans="24:177" s="9" customFormat="1" x14ac:dyDescent="0.2">
      <c r="X612" s="50"/>
      <c r="AD612" s="22"/>
      <c r="AE612" s="8"/>
      <c r="AF612" s="10"/>
      <c r="AW612" s="8"/>
      <c r="AX612" s="108"/>
      <c r="AY612" s="102"/>
      <c r="AZ612" s="109"/>
      <c r="BA612" s="11"/>
      <c r="BB612" s="9" t="s">
        <v>554</v>
      </c>
      <c r="BC612" s="22">
        <v>58</v>
      </c>
      <c r="BD612" s="1456" t="s">
        <v>364</v>
      </c>
      <c r="BE612" s="1457"/>
      <c r="CA612" s="18"/>
      <c r="DH612" s="22"/>
      <c r="DI612" s="22"/>
      <c r="DJ612" s="22"/>
      <c r="DK612" s="344"/>
      <c r="DL612" s="361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22"/>
      <c r="EG612" s="22"/>
      <c r="EH612" s="22"/>
      <c r="EI612" s="22"/>
      <c r="EJ612" s="22"/>
      <c r="EK612" s="22"/>
      <c r="EL612" s="22"/>
      <c r="EM612" s="22"/>
      <c r="EN612" s="344"/>
      <c r="EO612" s="344"/>
      <c r="EP612" s="22"/>
      <c r="EQ612" s="22"/>
      <c r="ER612" s="22"/>
      <c r="ES612" s="344"/>
      <c r="ET612" s="349"/>
      <c r="EU612" s="344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T612" s="27"/>
      <c r="FU612" s="27"/>
    </row>
    <row r="613" spans="24:177" s="9" customFormat="1" x14ac:dyDescent="0.2">
      <c r="X613" s="50"/>
      <c r="AD613" s="22"/>
      <c r="AE613" s="8"/>
      <c r="AF613" s="10"/>
      <c r="AW613" s="8"/>
      <c r="AX613" s="108"/>
      <c r="AY613" s="102"/>
      <c r="AZ613" s="109"/>
      <c r="BA613" s="11"/>
      <c r="BB613" s="9" t="s">
        <v>554</v>
      </c>
      <c r="BC613" s="22">
        <v>59</v>
      </c>
      <c r="BD613" s="231">
        <v>6</v>
      </c>
      <c r="BE613" s="232" t="s">
        <v>595</v>
      </c>
      <c r="CA613" s="18"/>
      <c r="DH613" s="22"/>
      <c r="DI613" s="22"/>
      <c r="DJ613" s="22"/>
      <c r="DK613" s="344"/>
      <c r="DL613" s="361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22"/>
      <c r="EG613" s="22"/>
      <c r="EH613" s="22"/>
      <c r="EI613" s="22"/>
      <c r="EJ613" s="22"/>
      <c r="EK613" s="22"/>
      <c r="EL613" s="22"/>
      <c r="EM613" s="22"/>
      <c r="EN613" s="344"/>
      <c r="EO613" s="344"/>
      <c r="EP613" s="22"/>
      <c r="EQ613" s="22"/>
      <c r="ER613" s="22"/>
      <c r="ES613" s="344"/>
      <c r="ET613" s="349"/>
      <c r="EU613" s="344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T613" s="27"/>
      <c r="FU613" s="27"/>
    </row>
    <row r="614" spans="24:177" s="9" customFormat="1" x14ac:dyDescent="0.2">
      <c r="X614" s="50"/>
      <c r="AD614" s="22"/>
      <c r="AE614" s="8"/>
      <c r="AF614" s="10"/>
      <c r="AW614" s="8"/>
      <c r="AX614" s="108"/>
      <c r="AY614" s="102"/>
      <c r="AZ614" s="109"/>
      <c r="BA614" s="11"/>
      <c r="BB614" s="9" t="s">
        <v>554</v>
      </c>
      <c r="BC614" s="22">
        <v>60</v>
      </c>
      <c r="BD614" s="231">
        <v>6</v>
      </c>
      <c r="BE614" s="232" t="s">
        <v>597</v>
      </c>
      <c r="CA614" s="18"/>
      <c r="DH614" s="22"/>
      <c r="DI614" s="22"/>
      <c r="DJ614" s="22"/>
      <c r="DK614" s="344"/>
      <c r="DL614" s="361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22"/>
      <c r="EG614" s="22"/>
      <c r="EH614" s="22"/>
      <c r="EI614" s="22"/>
      <c r="EJ614" s="22"/>
      <c r="EK614" s="22"/>
      <c r="EL614" s="22"/>
      <c r="EM614" s="22"/>
      <c r="EN614" s="344"/>
      <c r="EO614" s="344"/>
      <c r="EP614" s="22"/>
      <c r="EQ614" s="22"/>
      <c r="ER614" s="22"/>
      <c r="ES614" s="344"/>
      <c r="ET614" s="349"/>
      <c r="EU614" s="344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T614" s="27"/>
      <c r="FU614" s="27"/>
    </row>
    <row r="615" spans="24:177" s="9" customFormat="1" x14ac:dyDescent="0.2">
      <c r="X615" s="50"/>
      <c r="AD615" s="22"/>
      <c r="AE615" s="8"/>
      <c r="AF615" s="10"/>
      <c r="AW615" s="8"/>
      <c r="AX615" s="108"/>
      <c r="AY615" s="102"/>
      <c r="AZ615" s="109"/>
      <c r="BA615" s="11"/>
      <c r="BB615" s="9" t="s">
        <v>554</v>
      </c>
      <c r="BC615" s="22">
        <v>61</v>
      </c>
      <c r="BD615" s="231">
        <v>6</v>
      </c>
      <c r="BE615" s="232" t="s">
        <v>292</v>
      </c>
      <c r="CA615" s="18"/>
      <c r="DH615" s="22"/>
      <c r="DI615" s="22"/>
      <c r="DJ615" s="22"/>
      <c r="DK615" s="344"/>
      <c r="DL615" s="361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22"/>
      <c r="EG615" s="22"/>
      <c r="EH615" s="22"/>
      <c r="EI615" s="22"/>
      <c r="EJ615" s="22"/>
      <c r="EK615" s="22"/>
      <c r="EL615" s="22"/>
      <c r="EM615" s="22"/>
      <c r="EN615" s="344"/>
      <c r="EO615" s="344"/>
      <c r="EP615" s="22"/>
      <c r="EQ615" s="22"/>
      <c r="ER615" s="22"/>
      <c r="ES615" s="344"/>
      <c r="ET615" s="349"/>
      <c r="EU615" s="344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T615" s="27"/>
      <c r="FU615" s="27"/>
    </row>
    <row r="616" spans="24:177" s="9" customFormat="1" x14ac:dyDescent="0.2">
      <c r="X616" s="50"/>
      <c r="AD616" s="22"/>
      <c r="AE616" s="8"/>
      <c r="AF616" s="10"/>
      <c r="AW616" s="8"/>
      <c r="AX616" s="108"/>
      <c r="AY616" s="102"/>
      <c r="AZ616" s="109"/>
      <c r="BA616" s="11"/>
      <c r="BB616" s="9" t="s">
        <v>554</v>
      </c>
      <c r="BC616" s="22">
        <v>62</v>
      </c>
      <c r="BD616" s="231">
        <v>6</v>
      </c>
      <c r="BE616" s="232" t="s">
        <v>293</v>
      </c>
      <c r="CA616" s="18"/>
      <c r="DH616" s="22"/>
      <c r="DI616" s="22"/>
      <c r="DJ616" s="22"/>
      <c r="DK616" s="344"/>
      <c r="DL616" s="361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22"/>
      <c r="EG616" s="22"/>
      <c r="EH616" s="22"/>
      <c r="EI616" s="22"/>
      <c r="EJ616" s="22"/>
      <c r="EK616" s="22"/>
      <c r="EL616" s="22"/>
      <c r="EM616" s="22"/>
      <c r="EN616" s="344"/>
      <c r="EO616" s="344"/>
      <c r="EP616" s="22"/>
      <c r="EQ616" s="22"/>
      <c r="ER616" s="22"/>
      <c r="ES616" s="344"/>
      <c r="ET616" s="349"/>
      <c r="EU616" s="344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T616" s="27"/>
      <c r="FU616" s="27"/>
    </row>
    <row r="617" spans="24:177" s="9" customFormat="1" x14ac:dyDescent="0.2">
      <c r="X617" s="50"/>
      <c r="AD617" s="22"/>
      <c r="AE617" s="8"/>
      <c r="AF617" s="10"/>
      <c r="AW617" s="8"/>
      <c r="AX617" s="108"/>
      <c r="AY617" s="102"/>
      <c r="AZ617" s="109"/>
      <c r="BA617" s="11"/>
      <c r="BB617" s="9" t="s">
        <v>554</v>
      </c>
      <c r="BC617" s="22">
        <v>63</v>
      </c>
      <c r="BD617" s="231">
        <v>10</v>
      </c>
      <c r="BE617" s="232" t="s">
        <v>595</v>
      </c>
      <c r="CA617" s="18"/>
      <c r="DH617" s="22"/>
      <c r="DI617" s="22"/>
      <c r="DJ617" s="22"/>
      <c r="DK617" s="344"/>
      <c r="DL617" s="361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22"/>
      <c r="EG617" s="22"/>
      <c r="EH617" s="22"/>
      <c r="EI617" s="22"/>
      <c r="EJ617" s="22"/>
      <c r="EK617" s="22"/>
      <c r="EL617" s="22"/>
      <c r="EM617" s="22"/>
      <c r="EN617" s="344"/>
      <c r="EO617" s="344"/>
      <c r="EP617" s="22"/>
      <c r="EQ617" s="22"/>
      <c r="ER617" s="22"/>
      <c r="ES617" s="344"/>
      <c r="ET617" s="349"/>
      <c r="EU617" s="344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T617" s="27"/>
      <c r="FU617" s="27"/>
    </row>
    <row r="618" spans="24:177" s="9" customFormat="1" x14ac:dyDescent="0.2">
      <c r="X618" s="50"/>
      <c r="AD618" s="22"/>
      <c r="AW618" s="8"/>
      <c r="AX618" s="108"/>
      <c r="AY618" s="102"/>
      <c r="AZ618" s="109"/>
      <c r="BA618" s="11"/>
      <c r="BB618" s="9" t="s">
        <v>554</v>
      </c>
      <c r="BC618" s="22">
        <v>64</v>
      </c>
      <c r="BD618" s="231">
        <v>10</v>
      </c>
      <c r="BE618" s="232" t="s">
        <v>597</v>
      </c>
      <c r="CA618" s="18"/>
      <c r="DH618" s="22"/>
      <c r="DI618" s="22"/>
      <c r="DJ618" s="22"/>
      <c r="DK618" s="344"/>
      <c r="DL618" s="361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22"/>
      <c r="EG618" s="22"/>
      <c r="EH618" s="22"/>
      <c r="EI618" s="22"/>
      <c r="EJ618" s="22"/>
      <c r="EK618" s="22"/>
      <c r="EL618" s="22"/>
      <c r="EM618" s="22"/>
      <c r="EN618" s="344"/>
      <c r="EO618" s="344"/>
      <c r="EP618" s="22"/>
      <c r="EQ618" s="22"/>
      <c r="ER618" s="22"/>
      <c r="ES618" s="344"/>
      <c r="ET618" s="349"/>
      <c r="EU618" s="344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T618" s="27"/>
      <c r="FU618" s="27"/>
    </row>
    <row r="619" spans="24:177" s="9" customFormat="1" x14ac:dyDescent="0.2">
      <c r="X619" s="50"/>
      <c r="AD619" s="22"/>
      <c r="AW619" s="8"/>
      <c r="AX619" s="108"/>
      <c r="AY619" s="102"/>
      <c r="AZ619" s="109"/>
      <c r="BA619" s="11"/>
      <c r="BB619" s="9" t="s">
        <v>554</v>
      </c>
      <c r="BC619" s="22">
        <v>65</v>
      </c>
      <c r="BD619" s="231">
        <v>10</v>
      </c>
      <c r="BE619" s="232" t="s">
        <v>292</v>
      </c>
      <c r="CA619" s="18"/>
      <c r="DH619" s="22"/>
      <c r="DI619" s="22"/>
      <c r="DJ619" s="22"/>
      <c r="DK619" s="344"/>
      <c r="DL619" s="361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22"/>
      <c r="EG619" s="22"/>
      <c r="EH619" s="22"/>
      <c r="EI619" s="22"/>
      <c r="EJ619" s="22"/>
      <c r="EK619" s="22"/>
      <c r="EL619" s="22"/>
      <c r="EM619" s="22"/>
      <c r="EN619" s="344"/>
      <c r="EO619" s="344"/>
      <c r="EP619" s="22"/>
      <c r="EQ619" s="22"/>
      <c r="ER619" s="22"/>
      <c r="ES619" s="344"/>
      <c r="ET619" s="349"/>
      <c r="EU619" s="344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T619" s="27"/>
      <c r="FU619" s="27"/>
    </row>
    <row r="620" spans="24:177" s="9" customFormat="1" x14ac:dyDescent="0.2">
      <c r="X620" s="50"/>
      <c r="AD620" s="22"/>
      <c r="AW620" s="8"/>
      <c r="AX620" s="108"/>
      <c r="AY620" s="102"/>
      <c r="AZ620" s="109"/>
      <c r="BA620" s="11"/>
      <c r="BB620" s="9" t="s">
        <v>554</v>
      </c>
      <c r="BC620" s="22">
        <v>66</v>
      </c>
      <c r="BD620" s="231">
        <v>10</v>
      </c>
      <c r="BE620" s="232" t="s">
        <v>293</v>
      </c>
      <c r="CA620" s="18"/>
      <c r="DH620" s="22"/>
      <c r="DI620" s="22"/>
      <c r="DJ620" s="22"/>
      <c r="DK620" s="344"/>
      <c r="DL620" s="361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22"/>
      <c r="EG620" s="22"/>
      <c r="EH620" s="22"/>
      <c r="EI620" s="22"/>
      <c r="EJ620" s="22"/>
      <c r="EK620" s="22"/>
      <c r="EL620" s="22"/>
      <c r="EM620" s="22"/>
      <c r="EN620" s="344"/>
      <c r="EO620" s="344"/>
      <c r="EP620" s="22"/>
      <c r="EQ620" s="22"/>
      <c r="ER620" s="22"/>
      <c r="ES620" s="344"/>
      <c r="ET620" s="349"/>
      <c r="EU620" s="344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T620" s="27"/>
      <c r="FU620" s="27"/>
    </row>
    <row r="621" spans="24:177" s="9" customFormat="1" x14ac:dyDescent="0.2">
      <c r="X621" s="50"/>
      <c r="AD621" s="22"/>
      <c r="AW621" s="8"/>
      <c r="AX621" s="108"/>
      <c r="AY621" s="102"/>
      <c r="AZ621" s="109"/>
      <c r="BA621" s="11"/>
      <c r="BB621" s="9" t="s">
        <v>554</v>
      </c>
      <c r="BC621" s="22">
        <v>67</v>
      </c>
      <c r="BD621" s="231">
        <v>13</v>
      </c>
      <c r="BE621" s="232" t="s">
        <v>292</v>
      </c>
      <c r="CA621" s="18"/>
      <c r="DH621" s="22"/>
      <c r="DI621" s="22"/>
      <c r="DJ621" s="22"/>
      <c r="DK621" s="344"/>
      <c r="DL621" s="361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22"/>
      <c r="EG621" s="22"/>
      <c r="EH621" s="22"/>
      <c r="EI621" s="22"/>
      <c r="EJ621" s="22"/>
      <c r="EK621" s="22"/>
      <c r="EL621" s="22"/>
      <c r="EM621" s="22"/>
      <c r="EN621" s="344"/>
      <c r="EO621" s="344"/>
      <c r="EP621" s="22"/>
      <c r="EQ621" s="22"/>
      <c r="ER621" s="22"/>
      <c r="ES621" s="344"/>
      <c r="ET621" s="349"/>
      <c r="EU621" s="344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T621" s="27"/>
      <c r="FU621" s="27"/>
    </row>
    <row r="622" spans="24:177" s="9" customFormat="1" x14ac:dyDescent="0.2">
      <c r="X622" s="50"/>
      <c r="AD622" s="22"/>
      <c r="AW622" s="8"/>
      <c r="AX622" s="108"/>
      <c r="AY622" s="102"/>
      <c r="AZ622" s="109"/>
      <c r="BA622" s="11"/>
      <c r="BB622" s="9" t="s">
        <v>554</v>
      </c>
      <c r="BC622" s="22">
        <v>68</v>
      </c>
      <c r="BD622" s="231">
        <v>13</v>
      </c>
      <c r="BE622" s="232" t="s">
        <v>293</v>
      </c>
      <c r="CA622" s="18"/>
      <c r="DH622" s="22"/>
      <c r="DI622" s="22"/>
      <c r="DJ622" s="22"/>
      <c r="DK622" s="344"/>
      <c r="DL622" s="361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22"/>
      <c r="EG622" s="22"/>
      <c r="EH622" s="22"/>
      <c r="EI622" s="22"/>
      <c r="EJ622" s="22"/>
      <c r="EK622" s="22"/>
      <c r="EL622" s="22"/>
      <c r="EM622" s="22"/>
      <c r="EN622" s="344"/>
      <c r="EO622" s="344"/>
      <c r="EP622" s="22"/>
      <c r="EQ622" s="22"/>
      <c r="ER622" s="22"/>
      <c r="ES622" s="344"/>
      <c r="ET622" s="349"/>
      <c r="EU622" s="344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T622" s="27"/>
      <c r="FU622" s="27"/>
    </row>
    <row r="623" spans="24:177" s="9" customFormat="1" x14ac:dyDescent="0.2">
      <c r="X623" s="50"/>
      <c r="AD623" s="22"/>
      <c r="AW623" s="8"/>
      <c r="AX623" s="108"/>
      <c r="AY623" s="102"/>
      <c r="AZ623" s="109"/>
      <c r="BA623" s="11"/>
      <c r="BB623" s="9" t="s">
        <v>554</v>
      </c>
      <c r="BC623" s="22">
        <v>69</v>
      </c>
      <c r="BD623" s="231">
        <v>16</v>
      </c>
      <c r="BE623" s="232" t="s">
        <v>595</v>
      </c>
      <c r="CA623" s="18"/>
      <c r="DH623" s="22"/>
      <c r="DI623" s="22"/>
      <c r="DJ623" s="22"/>
      <c r="DK623" s="344"/>
      <c r="DL623" s="361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22"/>
      <c r="EG623" s="22"/>
      <c r="EH623" s="22"/>
      <c r="EI623" s="22"/>
      <c r="EJ623" s="22"/>
      <c r="EK623" s="22"/>
      <c r="EL623" s="22"/>
      <c r="EM623" s="22"/>
      <c r="EN623" s="344"/>
      <c r="EO623" s="344"/>
      <c r="EP623" s="22"/>
      <c r="EQ623" s="22"/>
      <c r="ER623" s="22"/>
      <c r="ES623" s="344"/>
      <c r="ET623" s="349"/>
      <c r="EU623" s="344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T623" s="27"/>
      <c r="FU623" s="27"/>
    </row>
    <row r="624" spans="24:177" s="9" customFormat="1" x14ac:dyDescent="0.2">
      <c r="X624" s="50"/>
      <c r="AD624" s="22"/>
      <c r="AW624" s="8"/>
      <c r="AX624" s="108"/>
      <c r="AY624" s="102"/>
      <c r="AZ624" s="109"/>
      <c r="BA624" s="11"/>
      <c r="BB624" s="9" t="s">
        <v>554</v>
      </c>
      <c r="BC624" s="22">
        <v>70</v>
      </c>
      <c r="BD624" s="231">
        <v>16</v>
      </c>
      <c r="BE624" s="232" t="s">
        <v>597</v>
      </c>
      <c r="CA624" s="18"/>
      <c r="DH624" s="22"/>
      <c r="DI624" s="22"/>
      <c r="DJ624" s="22"/>
      <c r="DK624" s="344"/>
      <c r="DL624" s="361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22"/>
      <c r="EG624" s="22"/>
      <c r="EH624" s="22"/>
      <c r="EI624" s="22"/>
      <c r="EJ624" s="22"/>
      <c r="EK624" s="22"/>
      <c r="EL624" s="22"/>
      <c r="EM624" s="22"/>
      <c r="EN624" s="344"/>
      <c r="EO624" s="344"/>
      <c r="EP624" s="22"/>
      <c r="EQ624" s="22"/>
      <c r="ER624" s="22"/>
      <c r="ES624" s="344"/>
      <c r="ET624" s="349"/>
      <c r="EU624" s="344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T624" s="27"/>
      <c r="FU624" s="27"/>
    </row>
    <row r="625" spans="24:177" s="9" customFormat="1" x14ac:dyDescent="0.2">
      <c r="X625" s="50"/>
      <c r="AD625" s="22"/>
      <c r="AW625" s="8"/>
      <c r="AX625" s="108"/>
      <c r="AY625" s="102"/>
      <c r="AZ625" s="109"/>
      <c r="BA625" s="11"/>
      <c r="BB625" s="9" t="s">
        <v>554</v>
      </c>
      <c r="BC625" s="22">
        <v>71</v>
      </c>
      <c r="BD625" s="231">
        <v>16</v>
      </c>
      <c r="BE625" s="232" t="s">
        <v>292</v>
      </c>
      <c r="CA625" s="18"/>
      <c r="DH625" s="22"/>
      <c r="DI625" s="22"/>
      <c r="DJ625" s="22"/>
      <c r="DK625" s="344"/>
      <c r="DL625" s="361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22"/>
      <c r="EG625" s="22"/>
      <c r="EH625" s="22"/>
      <c r="EI625" s="22"/>
      <c r="EJ625" s="22"/>
      <c r="EK625" s="22"/>
      <c r="EL625" s="22"/>
      <c r="EM625" s="22"/>
      <c r="EN625" s="344"/>
      <c r="EO625" s="344"/>
      <c r="EP625" s="22"/>
      <c r="EQ625" s="22"/>
      <c r="ER625" s="22"/>
      <c r="ES625" s="344"/>
      <c r="ET625" s="349"/>
      <c r="EU625" s="344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T625" s="27"/>
      <c r="FU625" s="27"/>
    </row>
    <row r="626" spans="24:177" s="9" customFormat="1" x14ac:dyDescent="0.2">
      <c r="X626" s="50"/>
      <c r="AD626" s="22"/>
      <c r="AW626" s="8"/>
      <c r="AX626" s="108"/>
      <c r="AY626" s="102"/>
      <c r="AZ626" s="109"/>
      <c r="BA626" s="11"/>
      <c r="BB626" s="9" t="s">
        <v>554</v>
      </c>
      <c r="BC626" s="22">
        <v>72</v>
      </c>
      <c r="BD626" s="231">
        <v>16</v>
      </c>
      <c r="BE626" s="232" t="s">
        <v>293</v>
      </c>
      <c r="CA626" s="18"/>
      <c r="DH626" s="22"/>
      <c r="DI626" s="22"/>
      <c r="DJ626" s="22"/>
      <c r="DK626" s="344"/>
      <c r="DL626" s="361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22"/>
      <c r="EG626" s="22"/>
      <c r="EH626" s="22"/>
      <c r="EI626" s="22"/>
      <c r="EJ626" s="22"/>
      <c r="EK626" s="22"/>
      <c r="EL626" s="22"/>
      <c r="EM626" s="22"/>
      <c r="EN626" s="344"/>
      <c r="EO626" s="344"/>
      <c r="EP626" s="22"/>
      <c r="EQ626" s="22"/>
      <c r="ER626" s="22"/>
      <c r="ES626" s="344"/>
      <c r="ET626" s="349"/>
      <c r="EU626" s="344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T626" s="27"/>
      <c r="FU626" s="27"/>
    </row>
    <row r="627" spans="24:177" s="9" customFormat="1" x14ac:dyDescent="0.2">
      <c r="X627" s="50"/>
      <c r="AD627" s="22"/>
      <c r="AW627" s="8"/>
      <c r="AX627" s="108"/>
      <c r="AY627" s="102"/>
      <c r="AZ627" s="109"/>
      <c r="BA627" s="11"/>
      <c r="BB627" s="9" t="s">
        <v>554</v>
      </c>
      <c r="BC627" s="22">
        <v>73</v>
      </c>
      <c r="BD627" s="231">
        <v>20</v>
      </c>
      <c r="BE627" s="232" t="s">
        <v>595</v>
      </c>
      <c r="CA627" s="18"/>
      <c r="DH627" s="22"/>
      <c r="DI627" s="22"/>
      <c r="DJ627" s="22"/>
      <c r="DK627" s="344"/>
      <c r="DL627" s="361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22"/>
      <c r="EG627" s="22"/>
      <c r="EH627" s="22"/>
      <c r="EI627" s="22"/>
      <c r="EJ627" s="22"/>
      <c r="EK627" s="22"/>
      <c r="EL627" s="22"/>
      <c r="EM627" s="22"/>
      <c r="EN627" s="344"/>
      <c r="EO627" s="344"/>
      <c r="EP627" s="22"/>
      <c r="EQ627" s="22"/>
      <c r="ER627" s="22"/>
      <c r="ES627" s="344"/>
      <c r="ET627" s="349"/>
      <c r="EU627" s="344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T627" s="27"/>
      <c r="FU627" s="27"/>
    </row>
    <row r="628" spans="24:177" s="9" customFormat="1" x14ac:dyDescent="0.2">
      <c r="X628" s="50"/>
      <c r="AD628" s="22"/>
      <c r="AW628" s="8"/>
      <c r="AX628" s="108"/>
      <c r="AY628" s="102"/>
      <c r="AZ628" s="109"/>
      <c r="BA628" s="11"/>
      <c r="BB628" s="9" t="s">
        <v>554</v>
      </c>
      <c r="BC628" s="22">
        <v>74</v>
      </c>
      <c r="BD628" s="231">
        <v>20</v>
      </c>
      <c r="BE628" s="232" t="s">
        <v>597</v>
      </c>
      <c r="CA628" s="18"/>
      <c r="DH628" s="22"/>
      <c r="DI628" s="22"/>
      <c r="DJ628" s="22"/>
      <c r="DK628" s="344"/>
      <c r="DL628" s="361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22"/>
      <c r="EG628" s="22"/>
      <c r="EH628" s="22"/>
      <c r="EI628" s="22"/>
      <c r="EJ628" s="22"/>
      <c r="EK628" s="22"/>
      <c r="EL628" s="22"/>
      <c r="EM628" s="22"/>
      <c r="EN628" s="344"/>
      <c r="EO628" s="344"/>
      <c r="EP628" s="22"/>
      <c r="EQ628" s="22"/>
      <c r="ER628" s="22"/>
      <c r="ES628" s="344"/>
      <c r="ET628" s="349"/>
      <c r="EU628" s="344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T628" s="27"/>
      <c r="FU628" s="27"/>
    </row>
    <row r="629" spans="24:177" s="9" customFormat="1" x14ac:dyDescent="0.2">
      <c r="X629" s="50"/>
      <c r="AD629" s="22"/>
      <c r="AW629" s="8"/>
      <c r="AX629" s="108"/>
      <c r="AY629" s="102"/>
      <c r="AZ629" s="109"/>
      <c r="BA629" s="11"/>
      <c r="BB629" s="9" t="s">
        <v>554</v>
      </c>
      <c r="BC629" s="22">
        <v>75</v>
      </c>
      <c r="BD629" s="231">
        <v>20</v>
      </c>
      <c r="BE629" s="232" t="s">
        <v>292</v>
      </c>
      <c r="CA629" s="18"/>
      <c r="DH629" s="22"/>
      <c r="DI629" s="22"/>
      <c r="DJ629" s="22"/>
      <c r="DK629" s="344"/>
      <c r="DL629" s="361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22"/>
      <c r="EG629" s="22"/>
      <c r="EH629" s="22"/>
      <c r="EI629" s="22"/>
      <c r="EJ629" s="22"/>
      <c r="EK629" s="22"/>
      <c r="EL629" s="22"/>
      <c r="EM629" s="22"/>
      <c r="EN629" s="344"/>
      <c r="EO629" s="344"/>
      <c r="EP629" s="22"/>
      <c r="EQ629" s="22"/>
      <c r="ER629" s="22"/>
      <c r="ES629" s="344"/>
      <c r="ET629" s="349"/>
      <c r="EU629" s="344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T629" s="27"/>
      <c r="FU629" s="27"/>
    </row>
    <row r="630" spans="24:177" s="9" customFormat="1" x14ac:dyDescent="0.2">
      <c r="X630" s="50"/>
      <c r="AD630" s="22"/>
      <c r="AW630" s="8"/>
      <c r="AX630" s="108"/>
      <c r="AY630" s="102"/>
      <c r="AZ630" s="109"/>
      <c r="BA630" s="11"/>
      <c r="BB630" s="9" t="s">
        <v>554</v>
      </c>
      <c r="BC630" s="22">
        <v>76</v>
      </c>
      <c r="BD630" s="231">
        <v>20</v>
      </c>
      <c r="BE630" s="232" t="s">
        <v>293</v>
      </c>
      <c r="CA630" s="18"/>
      <c r="DH630" s="22"/>
      <c r="DI630" s="22"/>
      <c r="DJ630" s="22"/>
      <c r="DK630" s="344"/>
      <c r="DL630" s="361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22"/>
      <c r="EG630" s="22"/>
      <c r="EH630" s="22"/>
      <c r="EI630" s="22"/>
      <c r="EJ630" s="22"/>
      <c r="EK630" s="22"/>
      <c r="EL630" s="22"/>
      <c r="EM630" s="22"/>
      <c r="EN630" s="344"/>
      <c r="EO630" s="344"/>
      <c r="EP630" s="22"/>
      <c r="EQ630" s="22"/>
      <c r="ER630" s="22"/>
      <c r="ES630" s="344"/>
      <c r="ET630" s="349"/>
      <c r="EU630" s="344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T630" s="27"/>
      <c r="FU630" s="27"/>
    </row>
    <row r="631" spans="24:177" s="9" customFormat="1" x14ac:dyDescent="0.2">
      <c r="X631" s="50"/>
      <c r="AD631" s="22"/>
      <c r="AW631" s="8"/>
      <c r="AX631" s="108"/>
      <c r="AY631" s="102"/>
      <c r="AZ631" s="109"/>
      <c r="BA631" s="11"/>
      <c r="BB631" s="9" t="s">
        <v>554</v>
      </c>
      <c r="BC631" s="22">
        <v>77</v>
      </c>
      <c r="BD631" s="231">
        <v>25</v>
      </c>
      <c r="BE631" s="232" t="s">
        <v>595</v>
      </c>
      <c r="CA631" s="18"/>
      <c r="DH631" s="22"/>
      <c r="DI631" s="22"/>
      <c r="DJ631" s="22"/>
      <c r="DK631" s="344"/>
      <c r="DL631" s="361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22"/>
      <c r="EG631" s="22"/>
      <c r="EH631" s="22"/>
      <c r="EI631" s="22"/>
      <c r="EJ631" s="22"/>
      <c r="EK631" s="22"/>
      <c r="EL631" s="22"/>
      <c r="EM631" s="22"/>
      <c r="EN631" s="344"/>
      <c r="EO631" s="344"/>
      <c r="EP631" s="22"/>
      <c r="EQ631" s="22"/>
      <c r="ER631" s="22"/>
      <c r="ES631" s="344"/>
      <c r="ET631" s="349"/>
      <c r="EU631" s="344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T631" s="27"/>
      <c r="FU631" s="27"/>
    </row>
    <row r="632" spans="24:177" s="9" customFormat="1" x14ac:dyDescent="0.2">
      <c r="X632" s="50"/>
      <c r="AD632" s="22"/>
      <c r="AW632" s="8"/>
      <c r="AX632" s="108"/>
      <c r="AY632" s="102"/>
      <c r="AZ632" s="109"/>
      <c r="BA632" s="11"/>
      <c r="BB632" s="9" t="s">
        <v>554</v>
      </c>
      <c r="BC632" s="22">
        <v>78</v>
      </c>
      <c r="BD632" s="231">
        <v>25</v>
      </c>
      <c r="BE632" s="232" t="s">
        <v>597</v>
      </c>
      <c r="CA632" s="18"/>
      <c r="DH632" s="22"/>
      <c r="DI632" s="22"/>
      <c r="DJ632" s="22"/>
      <c r="DK632" s="344"/>
      <c r="DL632" s="361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22"/>
      <c r="EG632" s="22"/>
      <c r="EH632" s="22"/>
      <c r="EI632" s="22"/>
      <c r="EJ632" s="22"/>
      <c r="EK632" s="22"/>
      <c r="EL632" s="22"/>
      <c r="EM632" s="22"/>
      <c r="EN632" s="344"/>
      <c r="EO632" s="344"/>
      <c r="EP632" s="22"/>
      <c r="EQ632" s="22"/>
      <c r="ER632" s="22"/>
      <c r="ES632" s="344"/>
      <c r="ET632" s="349"/>
      <c r="EU632" s="344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T632" s="27"/>
      <c r="FU632" s="27"/>
    </row>
    <row r="633" spans="24:177" s="9" customFormat="1" x14ac:dyDescent="0.2">
      <c r="X633" s="50"/>
      <c r="AD633" s="22"/>
      <c r="AW633" s="8"/>
      <c r="AX633" s="108"/>
      <c r="AY633" s="102"/>
      <c r="AZ633" s="109"/>
      <c r="BA633" s="11"/>
      <c r="BB633" s="9" t="s">
        <v>554</v>
      </c>
      <c r="BC633" s="22">
        <v>79</v>
      </c>
      <c r="BD633" s="231">
        <v>25</v>
      </c>
      <c r="BE633" s="232" t="s">
        <v>292</v>
      </c>
      <c r="CA633" s="18"/>
      <c r="DH633" s="22"/>
      <c r="DI633" s="22"/>
      <c r="DJ633" s="22"/>
      <c r="DK633" s="344"/>
      <c r="DL633" s="361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22"/>
      <c r="EG633" s="22"/>
      <c r="EH633" s="22"/>
      <c r="EI633" s="22"/>
      <c r="EJ633" s="22"/>
      <c r="EK633" s="22"/>
      <c r="EL633" s="22"/>
      <c r="EM633" s="22"/>
      <c r="EN633" s="344"/>
      <c r="EO633" s="344"/>
      <c r="EP633" s="22"/>
      <c r="EQ633" s="22"/>
      <c r="ER633" s="22"/>
      <c r="ES633" s="344"/>
      <c r="ET633" s="349"/>
      <c r="EU633" s="344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T633" s="27"/>
      <c r="FU633" s="27"/>
    </row>
    <row r="634" spans="24:177" s="9" customFormat="1" x14ac:dyDescent="0.2">
      <c r="X634" s="50"/>
      <c r="AD634" s="22"/>
      <c r="AW634" s="8"/>
      <c r="AX634" s="108"/>
      <c r="AY634" s="102"/>
      <c r="AZ634" s="109"/>
      <c r="BA634" s="11"/>
      <c r="BB634" s="9" t="s">
        <v>554</v>
      </c>
      <c r="BC634" s="22">
        <v>80</v>
      </c>
      <c r="BD634" s="231">
        <v>25</v>
      </c>
      <c r="BE634" s="232" t="s">
        <v>293</v>
      </c>
      <c r="CA634" s="18"/>
      <c r="DH634" s="22"/>
      <c r="DI634" s="22"/>
      <c r="DJ634" s="22"/>
      <c r="DK634" s="344"/>
      <c r="DL634" s="361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22"/>
      <c r="EG634" s="22"/>
      <c r="EH634" s="22"/>
      <c r="EI634" s="22"/>
      <c r="EJ634" s="22"/>
      <c r="EK634" s="22"/>
      <c r="EL634" s="22"/>
      <c r="EM634" s="22"/>
      <c r="EN634" s="344"/>
      <c r="EO634" s="344"/>
      <c r="EP634" s="22"/>
      <c r="EQ634" s="22"/>
      <c r="ER634" s="22"/>
      <c r="ES634" s="344"/>
      <c r="ET634" s="349"/>
      <c r="EU634" s="344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T634" s="27"/>
      <c r="FU634" s="27"/>
    </row>
    <row r="635" spans="24:177" s="9" customFormat="1" x14ac:dyDescent="0.2">
      <c r="X635" s="50"/>
      <c r="AD635" s="22"/>
      <c r="AW635" s="8"/>
      <c r="AX635" s="108"/>
      <c r="AY635" s="102"/>
      <c r="AZ635" s="109"/>
      <c r="BA635" s="11"/>
      <c r="BB635" s="9" t="s">
        <v>554</v>
      </c>
      <c r="BC635" s="22">
        <v>81</v>
      </c>
      <c r="BD635" s="231">
        <v>32</v>
      </c>
      <c r="BE635" s="232" t="s">
        <v>595</v>
      </c>
      <c r="CA635" s="18"/>
      <c r="DH635" s="22"/>
      <c r="DI635" s="22"/>
      <c r="DJ635" s="22"/>
      <c r="DK635" s="344"/>
      <c r="DL635" s="361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22"/>
      <c r="EG635" s="22"/>
      <c r="EH635" s="22"/>
      <c r="EI635" s="22"/>
      <c r="EJ635" s="22"/>
      <c r="EK635" s="22"/>
      <c r="EL635" s="22"/>
      <c r="EM635" s="22"/>
      <c r="EN635" s="344"/>
      <c r="EO635" s="344"/>
      <c r="EP635" s="22"/>
      <c r="EQ635" s="22"/>
      <c r="ER635" s="22"/>
      <c r="ES635" s="344"/>
      <c r="ET635" s="349"/>
      <c r="EU635" s="344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T635" s="27"/>
      <c r="FU635" s="27"/>
    </row>
    <row r="636" spans="24:177" s="9" customFormat="1" x14ac:dyDescent="0.2">
      <c r="X636" s="50"/>
      <c r="AD636" s="22"/>
      <c r="AW636" s="8"/>
      <c r="AX636" s="108"/>
      <c r="AY636" s="102"/>
      <c r="AZ636" s="109"/>
      <c r="BA636" s="11"/>
      <c r="BB636" s="9" t="s">
        <v>554</v>
      </c>
      <c r="BC636" s="22">
        <v>82</v>
      </c>
      <c r="BD636" s="231">
        <v>32</v>
      </c>
      <c r="BE636" s="232" t="s">
        <v>597</v>
      </c>
      <c r="CA636" s="18"/>
      <c r="DH636" s="22"/>
      <c r="DI636" s="22"/>
      <c r="DJ636" s="22"/>
      <c r="DK636" s="344"/>
      <c r="DL636" s="361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22"/>
      <c r="EG636" s="22"/>
      <c r="EH636" s="22"/>
      <c r="EI636" s="22"/>
      <c r="EJ636" s="22"/>
      <c r="EK636" s="22"/>
      <c r="EL636" s="22"/>
      <c r="EM636" s="22"/>
      <c r="EN636" s="344"/>
      <c r="EO636" s="344"/>
      <c r="EP636" s="22"/>
      <c r="EQ636" s="22"/>
      <c r="ER636" s="22"/>
      <c r="ES636" s="344"/>
      <c r="ET636" s="349"/>
      <c r="EU636" s="344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T636" s="27"/>
      <c r="FU636" s="27"/>
    </row>
    <row r="637" spans="24:177" s="9" customFormat="1" x14ac:dyDescent="0.2">
      <c r="X637" s="50"/>
      <c r="AD637" s="22"/>
      <c r="AW637" s="8"/>
      <c r="AX637" s="108"/>
      <c r="AY637" s="102"/>
      <c r="AZ637" s="109"/>
      <c r="BA637" s="11"/>
      <c r="BB637" s="9" t="s">
        <v>554</v>
      </c>
      <c r="BC637" s="22">
        <v>83</v>
      </c>
      <c r="BD637" s="231">
        <v>32</v>
      </c>
      <c r="BE637" s="232" t="s">
        <v>292</v>
      </c>
      <c r="CA637" s="18"/>
      <c r="DH637" s="22"/>
      <c r="DI637" s="22"/>
      <c r="DJ637" s="22"/>
      <c r="DK637" s="344"/>
      <c r="DL637" s="361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22"/>
      <c r="EG637" s="22"/>
      <c r="EH637" s="22"/>
      <c r="EI637" s="22"/>
      <c r="EJ637" s="22"/>
      <c r="EK637" s="22"/>
      <c r="EL637" s="22"/>
      <c r="EM637" s="22"/>
      <c r="EN637" s="344"/>
      <c r="EO637" s="344"/>
      <c r="EP637" s="22"/>
      <c r="EQ637" s="22"/>
      <c r="ER637" s="22"/>
      <c r="ES637" s="344"/>
      <c r="ET637" s="349"/>
      <c r="EU637" s="344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T637" s="27"/>
      <c r="FU637" s="27"/>
    </row>
    <row r="638" spans="24:177" s="9" customFormat="1" x14ac:dyDescent="0.2">
      <c r="X638" s="50"/>
      <c r="AD638" s="22"/>
      <c r="AW638" s="8"/>
      <c r="AX638" s="108"/>
      <c r="AY638" s="102"/>
      <c r="AZ638" s="109"/>
      <c r="BA638" s="11"/>
      <c r="BB638" s="9" t="s">
        <v>554</v>
      </c>
      <c r="BC638" s="22">
        <v>84</v>
      </c>
      <c r="BD638" s="231">
        <v>32</v>
      </c>
      <c r="BE638" s="232" t="s">
        <v>293</v>
      </c>
      <c r="CA638" s="18"/>
      <c r="DH638" s="22"/>
      <c r="DI638" s="22"/>
      <c r="DJ638" s="22"/>
      <c r="DK638" s="344"/>
      <c r="DL638" s="361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22"/>
      <c r="EG638" s="22"/>
      <c r="EH638" s="22"/>
      <c r="EI638" s="22"/>
      <c r="EJ638" s="22"/>
      <c r="EK638" s="22"/>
      <c r="EL638" s="22"/>
      <c r="EM638" s="22"/>
      <c r="EN638" s="344"/>
      <c r="EO638" s="344"/>
      <c r="EP638" s="22"/>
      <c r="EQ638" s="22"/>
      <c r="ER638" s="22"/>
      <c r="ES638" s="344"/>
      <c r="ET638" s="349"/>
      <c r="EU638" s="344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T638" s="27"/>
      <c r="FU638" s="27"/>
    </row>
    <row r="639" spans="24:177" s="9" customFormat="1" x14ac:dyDescent="0.2">
      <c r="X639" s="50"/>
      <c r="AD639" s="22"/>
      <c r="AW639" s="8"/>
      <c r="AX639" s="108"/>
      <c r="AY639" s="102"/>
      <c r="AZ639" s="109"/>
      <c r="BA639" s="11"/>
      <c r="BB639" s="9" t="s">
        <v>554</v>
      </c>
      <c r="BC639" s="22">
        <v>85</v>
      </c>
      <c r="BD639" s="231">
        <v>40</v>
      </c>
      <c r="BE639" s="232" t="s">
        <v>595</v>
      </c>
      <c r="CA639" s="18"/>
      <c r="DH639" s="22"/>
      <c r="DI639" s="22"/>
      <c r="DJ639" s="22"/>
      <c r="DK639" s="344"/>
      <c r="DL639" s="361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22"/>
      <c r="EG639" s="22"/>
      <c r="EH639" s="22"/>
      <c r="EI639" s="22"/>
      <c r="EJ639" s="22"/>
      <c r="EK639" s="22"/>
      <c r="EL639" s="22"/>
      <c r="EM639" s="22"/>
      <c r="EN639" s="344"/>
      <c r="EO639" s="344"/>
      <c r="EP639" s="22"/>
      <c r="EQ639" s="22"/>
      <c r="ER639" s="22"/>
      <c r="ES639" s="344"/>
      <c r="ET639" s="349"/>
      <c r="EU639" s="344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T639" s="27"/>
      <c r="FU639" s="27"/>
    </row>
    <row r="640" spans="24:177" s="9" customFormat="1" x14ac:dyDescent="0.2">
      <c r="X640" s="50"/>
      <c r="AD640" s="22"/>
      <c r="AW640" s="8"/>
      <c r="AX640" s="108"/>
      <c r="AY640" s="102"/>
      <c r="AZ640" s="109"/>
      <c r="BA640" s="11"/>
      <c r="BB640" s="9" t="s">
        <v>554</v>
      </c>
      <c r="BC640" s="22">
        <v>86</v>
      </c>
      <c r="BD640" s="231">
        <v>40</v>
      </c>
      <c r="BE640" s="232" t="s">
        <v>597</v>
      </c>
      <c r="CA640" s="18"/>
      <c r="DH640" s="22"/>
      <c r="DI640" s="22"/>
      <c r="DJ640" s="22"/>
      <c r="DK640" s="344"/>
      <c r="DL640" s="361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22"/>
      <c r="EG640" s="22"/>
      <c r="EH640" s="22"/>
      <c r="EI640" s="22"/>
      <c r="EJ640" s="22"/>
      <c r="EK640" s="22"/>
      <c r="EL640" s="22"/>
      <c r="EM640" s="22"/>
      <c r="EN640" s="344"/>
      <c r="EO640" s="344"/>
      <c r="EP640" s="22"/>
      <c r="EQ640" s="22"/>
      <c r="ER640" s="22"/>
      <c r="ES640" s="344"/>
      <c r="ET640" s="349"/>
      <c r="EU640" s="344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T640" s="27"/>
      <c r="FU640" s="27"/>
    </row>
    <row r="641" spans="24:177" s="9" customFormat="1" x14ac:dyDescent="0.2">
      <c r="X641" s="50"/>
      <c r="AD641" s="22"/>
      <c r="AW641" s="8"/>
      <c r="AX641" s="108"/>
      <c r="AY641" s="102"/>
      <c r="AZ641" s="109"/>
      <c r="BA641" s="11"/>
      <c r="BB641" s="9" t="s">
        <v>554</v>
      </c>
      <c r="BC641" s="22">
        <v>87</v>
      </c>
      <c r="BD641" s="231">
        <v>40</v>
      </c>
      <c r="BE641" s="232" t="s">
        <v>292</v>
      </c>
      <c r="CA641" s="18"/>
      <c r="DH641" s="22"/>
      <c r="DI641" s="22"/>
      <c r="DJ641" s="22"/>
      <c r="DK641" s="344"/>
      <c r="DL641" s="361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22"/>
      <c r="EG641" s="22"/>
      <c r="EH641" s="22"/>
      <c r="EI641" s="22"/>
      <c r="EJ641" s="22"/>
      <c r="EK641" s="22"/>
      <c r="EL641" s="22"/>
      <c r="EM641" s="22"/>
      <c r="EN641" s="344"/>
      <c r="EO641" s="344"/>
      <c r="EP641" s="22"/>
      <c r="EQ641" s="22"/>
      <c r="ER641" s="22"/>
      <c r="ES641" s="344"/>
      <c r="ET641" s="349"/>
      <c r="EU641" s="344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T641" s="27"/>
      <c r="FU641" s="27"/>
    </row>
    <row r="642" spans="24:177" s="9" customFormat="1" x14ac:dyDescent="0.2">
      <c r="X642" s="50"/>
      <c r="AD642" s="22"/>
      <c r="AW642" s="8"/>
      <c r="AX642" s="108"/>
      <c r="AY642" s="102"/>
      <c r="AZ642" s="109"/>
      <c r="BA642" s="11"/>
      <c r="BB642" s="9" t="s">
        <v>554</v>
      </c>
      <c r="BC642" s="22">
        <v>88</v>
      </c>
      <c r="BD642" s="231">
        <v>40</v>
      </c>
      <c r="BE642" s="232" t="s">
        <v>293</v>
      </c>
      <c r="CA642" s="18"/>
      <c r="DH642" s="22"/>
      <c r="DI642" s="22"/>
      <c r="DJ642" s="22"/>
      <c r="DK642" s="344"/>
      <c r="DL642" s="361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22"/>
      <c r="EG642" s="22"/>
      <c r="EH642" s="22"/>
      <c r="EI642" s="22"/>
      <c r="EJ642" s="22"/>
      <c r="EK642" s="22"/>
      <c r="EL642" s="22"/>
      <c r="EM642" s="22"/>
      <c r="EN642" s="344"/>
      <c r="EO642" s="344"/>
      <c r="EP642" s="22"/>
      <c r="EQ642" s="22"/>
      <c r="ER642" s="22"/>
      <c r="ES642" s="344"/>
      <c r="ET642" s="349"/>
      <c r="EU642" s="344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T642" s="27"/>
      <c r="FU642" s="27"/>
    </row>
    <row r="643" spans="24:177" s="9" customFormat="1" x14ac:dyDescent="0.2">
      <c r="X643" s="50"/>
      <c r="AD643" s="22"/>
      <c r="AW643" s="8"/>
      <c r="AX643" s="108"/>
      <c r="AY643" s="102"/>
      <c r="AZ643" s="109"/>
      <c r="BA643" s="11"/>
      <c r="BB643" s="9" t="s">
        <v>554</v>
      </c>
      <c r="BC643" s="22">
        <v>89</v>
      </c>
      <c r="BD643" s="1456" t="s">
        <v>365</v>
      </c>
      <c r="BE643" s="1457"/>
      <c r="CA643" s="18"/>
      <c r="DH643" s="22"/>
      <c r="DI643" s="22"/>
      <c r="DJ643" s="22"/>
      <c r="DK643" s="344"/>
      <c r="DL643" s="361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22"/>
      <c r="EG643" s="22"/>
      <c r="EH643" s="22"/>
      <c r="EI643" s="22"/>
      <c r="EJ643" s="22"/>
      <c r="EK643" s="22"/>
      <c r="EL643" s="22"/>
      <c r="EM643" s="22"/>
      <c r="EN643" s="344"/>
      <c r="EO643" s="344"/>
      <c r="EP643" s="22"/>
      <c r="EQ643" s="22"/>
      <c r="ER643" s="22"/>
      <c r="ES643" s="344"/>
      <c r="ET643" s="349"/>
      <c r="EU643" s="344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T643" s="27"/>
      <c r="FU643" s="27"/>
    </row>
    <row r="644" spans="24:177" s="9" customFormat="1" x14ac:dyDescent="0.2">
      <c r="X644" s="50"/>
      <c r="AD644" s="22"/>
      <c r="AW644" s="8"/>
      <c r="AX644" s="108"/>
      <c r="AY644" s="102"/>
      <c r="AZ644" s="109"/>
      <c r="BA644" s="11"/>
      <c r="BB644" s="9" t="s">
        <v>554</v>
      </c>
      <c r="BC644" s="22">
        <v>90</v>
      </c>
      <c r="BD644" s="231">
        <v>6</v>
      </c>
      <c r="BE644" s="232" t="s">
        <v>595</v>
      </c>
      <c r="BG644" s="210"/>
      <c r="BH644" s="210"/>
      <c r="BI644" s="210"/>
      <c r="BJ644" s="210"/>
      <c r="BK644" s="210"/>
      <c r="BL644" s="210"/>
      <c r="BM644" s="210"/>
      <c r="BN644" s="210"/>
      <c r="BO644" s="210"/>
      <c r="BP644" s="210"/>
      <c r="BQ644" s="210"/>
      <c r="BR644" s="210"/>
      <c r="BS644" s="210"/>
      <c r="BT644" s="210"/>
      <c r="BU644" s="210"/>
      <c r="BV644" s="210"/>
      <c r="BW644" s="210"/>
      <c r="BX644" s="210"/>
      <c r="BY644" s="210"/>
      <c r="BZ644" s="210"/>
      <c r="CA644" s="776"/>
      <c r="CH644" s="210"/>
      <c r="CI644" s="210"/>
      <c r="DH644" s="22"/>
      <c r="DI644" s="22"/>
      <c r="DJ644" s="22"/>
      <c r="DK644" s="344"/>
      <c r="DL644" s="361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22"/>
      <c r="EG644" s="22"/>
      <c r="EH644" s="22"/>
      <c r="EI644" s="22"/>
      <c r="EJ644" s="22"/>
      <c r="EK644" s="22"/>
      <c r="EL644" s="22"/>
      <c r="EM644" s="22"/>
      <c r="EN644" s="344"/>
      <c r="EO644" s="344"/>
      <c r="EP644" s="22"/>
      <c r="EQ644" s="22"/>
      <c r="ER644" s="22"/>
      <c r="ES644" s="344"/>
      <c r="ET644" s="349"/>
      <c r="EU644" s="344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T644" s="27"/>
      <c r="FU644" s="27"/>
    </row>
    <row r="645" spans="24:177" s="9" customFormat="1" x14ac:dyDescent="0.2">
      <c r="X645" s="50"/>
      <c r="AD645" s="22"/>
      <c r="AW645" s="8"/>
      <c r="AX645" s="108"/>
      <c r="AY645" s="102"/>
      <c r="AZ645" s="109"/>
      <c r="BA645" s="11"/>
      <c r="BB645" s="9" t="s">
        <v>554</v>
      </c>
      <c r="BC645" s="22">
        <v>91</v>
      </c>
      <c r="BD645" s="231">
        <v>6</v>
      </c>
      <c r="BE645" s="232" t="s">
        <v>290</v>
      </c>
      <c r="CA645" s="18"/>
      <c r="DH645" s="22"/>
      <c r="DI645" s="22"/>
      <c r="DJ645" s="22"/>
      <c r="DK645" s="344"/>
      <c r="DL645" s="361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22"/>
      <c r="EG645" s="22"/>
      <c r="EH645" s="22"/>
      <c r="EI645" s="22"/>
      <c r="EJ645" s="22"/>
      <c r="EK645" s="22"/>
      <c r="EL645" s="22"/>
      <c r="EM645" s="22"/>
      <c r="EN645" s="344"/>
      <c r="EO645" s="344"/>
      <c r="EP645" s="22"/>
      <c r="EQ645" s="22"/>
      <c r="ER645" s="22"/>
      <c r="ES645" s="344"/>
      <c r="ET645" s="349"/>
      <c r="EU645" s="344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T645" s="27"/>
      <c r="FU645" s="27"/>
    </row>
    <row r="646" spans="24:177" s="9" customFormat="1" x14ac:dyDescent="0.2">
      <c r="X646" s="50"/>
      <c r="AD646" s="22"/>
      <c r="AW646" s="8"/>
      <c r="AX646" s="108"/>
      <c r="AY646" s="102"/>
      <c r="AZ646" s="109"/>
      <c r="BA646" s="11"/>
      <c r="BB646" s="9" t="s">
        <v>554</v>
      </c>
      <c r="BC646" s="22">
        <v>92</v>
      </c>
      <c r="BD646" s="231">
        <v>10</v>
      </c>
      <c r="BE646" s="232" t="s">
        <v>595</v>
      </c>
      <c r="CA646" s="18"/>
      <c r="DH646" s="22"/>
      <c r="DI646" s="22"/>
      <c r="DJ646" s="22"/>
      <c r="DK646" s="344"/>
      <c r="DL646" s="361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22"/>
      <c r="EG646" s="22"/>
      <c r="EH646" s="22"/>
      <c r="EI646" s="22"/>
      <c r="EJ646" s="22"/>
      <c r="EK646" s="22"/>
      <c r="EL646" s="22"/>
      <c r="EM646" s="22"/>
      <c r="EN646" s="344"/>
      <c r="EO646" s="344"/>
      <c r="EP646" s="22"/>
      <c r="EQ646" s="22"/>
      <c r="ER646" s="22"/>
      <c r="ES646" s="344"/>
      <c r="ET646" s="349"/>
      <c r="EU646" s="344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T646" s="27"/>
      <c r="FU646" s="27"/>
    </row>
    <row r="647" spans="24:177" s="9" customFormat="1" x14ac:dyDescent="0.2">
      <c r="X647" s="50"/>
      <c r="AD647" s="22"/>
      <c r="AW647" s="8"/>
      <c r="AX647" s="108"/>
      <c r="AY647" s="102"/>
      <c r="AZ647" s="109"/>
      <c r="BA647" s="11"/>
      <c r="BB647" s="9" t="s">
        <v>554</v>
      </c>
      <c r="BC647" s="22">
        <v>93</v>
      </c>
      <c r="BD647" s="231">
        <v>10</v>
      </c>
      <c r="BE647" s="232" t="s">
        <v>290</v>
      </c>
      <c r="CA647" s="18"/>
      <c r="DH647" s="22"/>
      <c r="DI647" s="22"/>
      <c r="DJ647" s="22"/>
      <c r="DK647" s="344"/>
      <c r="DL647" s="361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22"/>
      <c r="EG647" s="22"/>
      <c r="EH647" s="22"/>
      <c r="EI647" s="22"/>
      <c r="EJ647" s="22"/>
      <c r="EK647" s="22"/>
      <c r="EL647" s="22"/>
      <c r="EM647" s="22"/>
      <c r="EN647" s="344"/>
      <c r="EO647" s="344"/>
      <c r="EP647" s="22"/>
      <c r="EQ647" s="22"/>
      <c r="ER647" s="22"/>
      <c r="ES647" s="344"/>
      <c r="ET647" s="349"/>
      <c r="EU647" s="344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T647" s="27"/>
      <c r="FU647" s="27"/>
    </row>
    <row r="648" spans="24:177" s="9" customFormat="1" x14ac:dyDescent="0.2">
      <c r="X648" s="50"/>
      <c r="AD648" s="22"/>
      <c r="AW648" s="8"/>
      <c r="AX648" s="108"/>
      <c r="AY648" s="102"/>
      <c r="AZ648" s="109"/>
      <c r="BA648" s="11"/>
      <c r="BB648" s="9" t="s">
        <v>554</v>
      </c>
      <c r="BC648" s="22">
        <v>94</v>
      </c>
      <c r="BD648" s="231">
        <v>13</v>
      </c>
      <c r="BE648" s="232" t="s">
        <v>290</v>
      </c>
      <c r="CA648" s="18"/>
      <c r="DH648" s="22"/>
      <c r="DI648" s="22"/>
      <c r="DJ648" s="22"/>
      <c r="DK648" s="344"/>
      <c r="DL648" s="361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22"/>
      <c r="EG648" s="22"/>
      <c r="EH648" s="22"/>
      <c r="EI648" s="22"/>
      <c r="EJ648" s="22"/>
      <c r="EK648" s="22"/>
      <c r="EL648" s="22"/>
      <c r="EM648" s="22"/>
      <c r="EN648" s="344"/>
      <c r="EO648" s="344"/>
      <c r="EP648" s="22"/>
      <c r="EQ648" s="22"/>
      <c r="ER648" s="22"/>
      <c r="ES648" s="344"/>
      <c r="ET648" s="349"/>
      <c r="EU648" s="344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T648" s="27"/>
      <c r="FU648" s="27"/>
    </row>
    <row r="649" spans="24:177" s="9" customFormat="1" x14ac:dyDescent="0.2">
      <c r="X649" s="50"/>
      <c r="AD649" s="22"/>
      <c r="AW649" s="8"/>
      <c r="AX649" s="108"/>
      <c r="AY649" s="102"/>
      <c r="AZ649" s="109"/>
      <c r="BA649" s="11"/>
      <c r="BB649" s="9" t="s">
        <v>554</v>
      </c>
      <c r="BC649" s="22">
        <v>95</v>
      </c>
      <c r="BD649" s="231">
        <v>16</v>
      </c>
      <c r="BE649" s="232" t="s">
        <v>595</v>
      </c>
      <c r="CA649" s="18"/>
      <c r="DH649" s="22"/>
      <c r="DI649" s="22"/>
      <c r="DJ649" s="22"/>
      <c r="DK649" s="344"/>
      <c r="DL649" s="361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22"/>
      <c r="EG649" s="22"/>
      <c r="EH649" s="22"/>
      <c r="EI649" s="22"/>
      <c r="EJ649" s="22"/>
      <c r="EK649" s="22"/>
      <c r="EL649" s="22"/>
      <c r="EM649" s="22"/>
      <c r="EN649" s="344"/>
      <c r="EO649" s="344"/>
      <c r="EP649" s="22"/>
      <c r="EQ649" s="22"/>
      <c r="ER649" s="22"/>
      <c r="ES649" s="344"/>
      <c r="ET649" s="349"/>
      <c r="EU649" s="344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T649" s="27"/>
      <c r="FU649" s="27"/>
    </row>
    <row r="650" spans="24:177" s="9" customFormat="1" x14ac:dyDescent="0.2">
      <c r="X650" s="50"/>
      <c r="AD650" s="22"/>
      <c r="AW650" s="8"/>
      <c r="AX650" s="108"/>
      <c r="AY650" s="102"/>
      <c r="AZ650" s="109"/>
      <c r="BA650" s="11"/>
      <c r="BB650" s="9" t="s">
        <v>554</v>
      </c>
      <c r="BC650" s="22">
        <v>96</v>
      </c>
      <c r="BD650" s="231">
        <v>16</v>
      </c>
      <c r="BE650" s="232" t="s">
        <v>290</v>
      </c>
      <c r="CA650" s="18"/>
      <c r="DH650" s="22"/>
      <c r="DI650" s="22"/>
      <c r="DJ650" s="22"/>
      <c r="DK650" s="344"/>
      <c r="DL650" s="361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22"/>
      <c r="EG650" s="22"/>
      <c r="EH650" s="22"/>
      <c r="EI650" s="22"/>
      <c r="EJ650" s="22"/>
      <c r="EK650" s="22"/>
      <c r="EL650" s="22"/>
      <c r="EM650" s="22"/>
      <c r="EN650" s="344"/>
      <c r="EO650" s="344"/>
      <c r="EP650" s="22"/>
      <c r="EQ650" s="22"/>
      <c r="ER650" s="22"/>
      <c r="ES650" s="344"/>
      <c r="ET650" s="349"/>
      <c r="EU650" s="344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T650" s="27"/>
      <c r="FU650" s="27"/>
    </row>
    <row r="651" spans="24:177" s="9" customFormat="1" x14ac:dyDescent="0.2">
      <c r="X651" s="50"/>
      <c r="AD651" s="22"/>
      <c r="AW651" s="8"/>
      <c r="AX651" s="108"/>
      <c r="AY651" s="102"/>
      <c r="AZ651" s="109"/>
      <c r="BA651" s="11"/>
      <c r="BB651" s="9" t="s">
        <v>554</v>
      </c>
      <c r="BC651" s="22">
        <v>97</v>
      </c>
      <c r="BD651" s="231">
        <v>20</v>
      </c>
      <c r="BE651" s="232" t="s">
        <v>595</v>
      </c>
      <c r="CA651" s="18"/>
      <c r="DH651" s="22"/>
      <c r="DI651" s="22"/>
      <c r="DJ651" s="22"/>
      <c r="DK651" s="344"/>
      <c r="DL651" s="361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22"/>
      <c r="EG651" s="22"/>
      <c r="EH651" s="22"/>
      <c r="EI651" s="22"/>
      <c r="EJ651" s="22"/>
      <c r="EK651" s="22"/>
      <c r="EL651" s="22"/>
      <c r="EM651" s="22"/>
      <c r="EN651" s="344"/>
      <c r="EO651" s="344"/>
      <c r="EP651" s="22"/>
      <c r="EQ651" s="22"/>
      <c r="ER651" s="22"/>
      <c r="ES651" s="344"/>
      <c r="ET651" s="349"/>
      <c r="EU651" s="344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T651" s="27"/>
      <c r="FU651" s="27"/>
    </row>
    <row r="652" spans="24:177" s="9" customFormat="1" x14ac:dyDescent="0.2">
      <c r="X652" s="50"/>
      <c r="AD652" s="22"/>
      <c r="AW652" s="8"/>
      <c r="AX652" s="108"/>
      <c r="AY652" s="102"/>
      <c r="AZ652" s="109"/>
      <c r="BA652" s="11"/>
      <c r="BB652" s="9" t="s">
        <v>554</v>
      </c>
      <c r="BC652" s="22">
        <v>98</v>
      </c>
      <c r="BD652" s="231">
        <v>20</v>
      </c>
      <c r="BE652" s="232" t="s">
        <v>290</v>
      </c>
      <c r="CA652" s="18"/>
      <c r="DH652" s="22"/>
      <c r="DI652" s="22"/>
      <c r="DJ652" s="22"/>
      <c r="DK652" s="344"/>
      <c r="DL652" s="361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22"/>
      <c r="EG652" s="22"/>
      <c r="EH652" s="22"/>
      <c r="EI652" s="22"/>
      <c r="EJ652" s="22"/>
      <c r="EK652" s="22"/>
      <c r="EL652" s="22"/>
      <c r="EM652" s="22"/>
      <c r="EN652" s="344"/>
      <c r="EO652" s="344"/>
      <c r="EP652" s="22"/>
      <c r="EQ652" s="22"/>
      <c r="ER652" s="22"/>
      <c r="ES652" s="344"/>
      <c r="ET652" s="349"/>
      <c r="EU652" s="344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T652" s="27"/>
      <c r="FU652" s="27"/>
    </row>
    <row r="653" spans="24:177" s="9" customFormat="1" x14ac:dyDescent="0.2">
      <c r="X653" s="50"/>
      <c r="AD653" s="22"/>
      <c r="AW653" s="8"/>
      <c r="AX653" s="108"/>
      <c r="AY653" s="102"/>
      <c r="AZ653" s="109"/>
      <c r="BA653" s="11"/>
      <c r="BB653" s="9" t="s">
        <v>554</v>
      </c>
      <c r="BC653" s="22">
        <v>99</v>
      </c>
      <c r="BD653" s="231">
        <v>25</v>
      </c>
      <c r="BE653" s="232" t="s">
        <v>595</v>
      </c>
      <c r="CA653" s="18"/>
      <c r="DH653" s="22"/>
      <c r="DI653" s="22"/>
      <c r="DJ653" s="22"/>
      <c r="DK653" s="344"/>
      <c r="DL653" s="361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22"/>
      <c r="EG653" s="22"/>
      <c r="EH653" s="22"/>
      <c r="EI653" s="22"/>
      <c r="EJ653" s="22"/>
      <c r="EK653" s="22"/>
      <c r="EL653" s="22"/>
      <c r="EM653" s="22"/>
      <c r="EN653" s="344"/>
      <c r="EO653" s="344"/>
      <c r="EP653" s="22"/>
      <c r="EQ653" s="22"/>
      <c r="ER653" s="22"/>
      <c r="ES653" s="344"/>
      <c r="ET653" s="349"/>
      <c r="EU653" s="344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T653" s="27"/>
      <c r="FU653" s="27"/>
    </row>
    <row r="654" spans="24:177" s="9" customFormat="1" x14ac:dyDescent="0.2">
      <c r="X654" s="50"/>
      <c r="AD654" s="22"/>
      <c r="AW654" s="8"/>
      <c r="AX654" s="108"/>
      <c r="AY654" s="102"/>
      <c r="AZ654" s="109"/>
      <c r="BA654" s="11"/>
      <c r="BB654" s="9" t="s">
        <v>554</v>
      </c>
      <c r="BC654" s="22">
        <v>100</v>
      </c>
      <c r="BD654" s="231">
        <v>25</v>
      </c>
      <c r="BE654" s="232" t="s">
        <v>290</v>
      </c>
      <c r="CA654" s="18"/>
      <c r="DH654" s="22"/>
      <c r="DI654" s="22"/>
      <c r="DJ654" s="22"/>
      <c r="DK654" s="344"/>
      <c r="DL654" s="361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22"/>
      <c r="EG654" s="22"/>
      <c r="EH654" s="22"/>
      <c r="EI654" s="22"/>
      <c r="EJ654" s="22"/>
      <c r="EK654" s="22"/>
      <c r="EL654" s="22"/>
      <c r="EM654" s="22"/>
      <c r="EN654" s="344"/>
      <c r="EO654" s="344"/>
      <c r="EP654" s="22"/>
      <c r="EQ654" s="22"/>
      <c r="ER654" s="22"/>
      <c r="ES654" s="344"/>
      <c r="ET654" s="349"/>
      <c r="EU654" s="344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T654" s="27"/>
      <c r="FU654" s="27"/>
    </row>
    <row r="655" spans="24:177" s="9" customFormat="1" x14ac:dyDescent="0.2">
      <c r="X655" s="50"/>
      <c r="AD655" s="22"/>
      <c r="AW655" s="8"/>
      <c r="AX655" s="108"/>
      <c r="AY655" s="102"/>
      <c r="AZ655" s="109"/>
      <c r="BA655" s="11"/>
      <c r="BB655" s="9" t="s">
        <v>557</v>
      </c>
      <c r="BC655" s="22">
        <v>63</v>
      </c>
      <c r="BD655" s="231">
        <v>32</v>
      </c>
      <c r="BE655" s="232" t="s">
        <v>595</v>
      </c>
      <c r="CA655" s="18"/>
      <c r="DH655" s="22"/>
      <c r="DI655" s="22"/>
      <c r="DJ655" s="22"/>
      <c r="DK655" s="344"/>
      <c r="DL655" s="361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22"/>
      <c r="EG655" s="22"/>
      <c r="EH655" s="22"/>
      <c r="EI655" s="22"/>
      <c r="EJ655" s="22"/>
      <c r="EK655" s="22"/>
      <c r="EL655" s="22"/>
      <c r="EM655" s="22"/>
      <c r="EN655" s="344"/>
      <c r="EO655" s="344"/>
      <c r="EP655" s="22"/>
      <c r="EQ655" s="22"/>
      <c r="ER655" s="22"/>
      <c r="ES655" s="344"/>
      <c r="ET655" s="349"/>
      <c r="EU655" s="344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T655" s="27"/>
      <c r="FU655" s="27"/>
    </row>
    <row r="656" spans="24:177" s="9" customFormat="1" x14ac:dyDescent="0.2">
      <c r="X656" s="50"/>
      <c r="AD656" s="22"/>
      <c r="AW656" s="8"/>
      <c r="AX656" s="108"/>
      <c r="AY656" s="102"/>
      <c r="AZ656" s="109"/>
      <c r="BA656" s="11"/>
      <c r="BB656" s="9" t="s">
        <v>557</v>
      </c>
      <c r="BC656" s="22">
        <v>64</v>
      </c>
      <c r="BD656" s="231">
        <v>32</v>
      </c>
      <c r="BE656" s="232" t="s">
        <v>290</v>
      </c>
      <c r="CA656" s="18"/>
      <c r="DH656" s="22"/>
      <c r="DI656" s="22"/>
      <c r="DJ656" s="22"/>
      <c r="DK656" s="344"/>
      <c r="DL656" s="361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22"/>
      <c r="EG656" s="22"/>
      <c r="EH656" s="22"/>
      <c r="EI656" s="22"/>
      <c r="EJ656" s="22"/>
      <c r="EK656" s="22"/>
      <c r="EL656" s="22"/>
      <c r="EM656" s="22"/>
      <c r="EN656" s="344"/>
      <c r="EO656" s="344"/>
      <c r="EP656" s="22"/>
      <c r="EQ656" s="22"/>
      <c r="ER656" s="22"/>
      <c r="ES656" s="344"/>
      <c r="ET656" s="349"/>
      <c r="EU656" s="344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T656" s="27"/>
      <c r="FU656" s="27"/>
    </row>
    <row r="657" spans="24:177" s="9" customFormat="1" x14ac:dyDescent="0.2">
      <c r="X657" s="50"/>
      <c r="AD657" s="22"/>
      <c r="AW657" s="8"/>
      <c r="AX657" s="108"/>
      <c r="AY657" s="102"/>
      <c r="AZ657" s="109"/>
      <c r="BA657" s="11"/>
      <c r="BB657" s="9" t="s">
        <v>557</v>
      </c>
      <c r="BC657" s="22">
        <v>65</v>
      </c>
      <c r="BD657" s="231">
        <v>40</v>
      </c>
      <c r="BE657" s="232" t="s">
        <v>595</v>
      </c>
      <c r="CA657" s="18"/>
      <c r="DH657" s="22"/>
      <c r="DI657" s="22"/>
      <c r="DJ657" s="22"/>
      <c r="DK657" s="344"/>
      <c r="DL657" s="361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22"/>
      <c r="EG657" s="22"/>
      <c r="EH657" s="22"/>
      <c r="EI657" s="22"/>
      <c r="EJ657" s="22"/>
      <c r="EK657" s="22"/>
      <c r="EL657" s="22"/>
      <c r="EM657" s="22"/>
      <c r="EN657" s="344"/>
      <c r="EO657" s="344"/>
      <c r="EP657" s="22"/>
      <c r="EQ657" s="22"/>
      <c r="ER657" s="22"/>
      <c r="ES657" s="344"/>
      <c r="ET657" s="349"/>
      <c r="EU657" s="344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T657" s="27"/>
      <c r="FU657" s="27"/>
    </row>
    <row r="658" spans="24:177" s="9" customFormat="1" x14ac:dyDescent="0.2">
      <c r="X658" s="50"/>
      <c r="AD658" s="22"/>
      <c r="AW658" s="8"/>
      <c r="AX658" s="108"/>
      <c r="AY658" s="102"/>
      <c r="AZ658" s="109"/>
      <c r="BA658" s="11"/>
      <c r="BB658" s="9" t="s">
        <v>557</v>
      </c>
      <c r="BC658" s="22">
        <v>66</v>
      </c>
      <c r="BD658" s="231">
        <v>40</v>
      </c>
      <c r="BE658" s="232" t="s">
        <v>290</v>
      </c>
      <c r="CA658" s="18"/>
      <c r="DH658" s="22"/>
      <c r="DI658" s="22"/>
      <c r="DJ658" s="22"/>
      <c r="DK658" s="344"/>
      <c r="DL658" s="361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22"/>
      <c r="EG658" s="22"/>
      <c r="EH658" s="22"/>
      <c r="EI658" s="22"/>
      <c r="EJ658" s="22"/>
      <c r="EK658" s="22"/>
      <c r="EL658" s="22"/>
      <c r="EM658" s="22"/>
      <c r="EN658" s="344"/>
      <c r="EO658" s="344"/>
      <c r="EP658" s="22"/>
      <c r="EQ658" s="22"/>
      <c r="ER658" s="22"/>
      <c r="ES658" s="344"/>
      <c r="ET658" s="349"/>
      <c r="EU658" s="344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T658" s="27"/>
      <c r="FU658" s="27"/>
    </row>
    <row r="659" spans="24:177" s="9" customFormat="1" x14ac:dyDescent="0.2">
      <c r="X659" s="50"/>
      <c r="AD659" s="22"/>
      <c r="AW659" s="8"/>
      <c r="AX659" s="108"/>
      <c r="AY659" s="102"/>
      <c r="AZ659" s="109"/>
      <c r="BA659" s="11"/>
      <c r="BB659" s="9" t="s">
        <v>557</v>
      </c>
      <c r="BC659" s="22">
        <v>67</v>
      </c>
      <c r="BD659" s="1456" t="s">
        <v>366</v>
      </c>
      <c r="BE659" s="1457"/>
      <c r="CA659" s="18"/>
      <c r="DH659" s="22"/>
      <c r="DI659" s="22"/>
      <c r="DJ659" s="22"/>
      <c r="DK659" s="344"/>
      <c r="DL659" s="361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22"/>
      <c r="EG659" s="22"/>
      <c r="EH659" s="22"/>
      <c r="EI659" s="22"/>
      <c r="EJ659" s="22"/>
      <c r="EK659" s="22"/>
      <c r="EL659" s="22"/>
      <c r="EM659" s="22"/>
      <c r="EN659" s="344"/>
      <c r="EO659" s="344"/>
      <c r="EP659" s="22"/>
      <c r="EQ659" s="22"/>
      <c r="ER659" s="22"/>
      <c r="ES659" s="344"/>
      <c r="ET659" s="349"/>
      <c r="EU659" s="344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T659" s="27"/>
      <c r="FU659" s="27"/>
    </row>
    <row r="660" spans="24:177" s="9" customFormat="1" x14ac:dyDescent="0.2">
      <c r="X660" s="50"/>
      <c r="AD660" s="22"/>
      <c r="AW660" s="8"/>
      <c r="AX660" s="108"/>
      <c r="AY660" s="102"/>
      <c r="AZ660" s="109"/>
      <c r="BA660" s="11"/>
      <c r="BB660" s="9" t="s">
        <v>557</v>
      </c>
      <c r="BC660" s="22">
        <v>68</v>
      </c>
      <c r="BD660" s="231">
        <v>6</v>
      </c>
      <c r="BE660" s="232" t="s">
        <v>595</v>
      </c>
      <c r="CA660" s="18"/>
      <c r="DH660" s="22"/>
      <c r="DI660" s="22"/>
      <c r="DJ660" s="22"/>
      <c r="DK660" s="344"/>
      <c r="DL660" s="361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22"/>
      <c r="EG660" s="22"/>
      <c r="EH660" s="22"/>
      <c r="EI660" s="22"/>
      <c r="EJ660" s="22"/>
      <c r="EK660" s="22"/>
      <c r="EL660" s="22"/>
      <c r="EM660" s="22"/>
      <c r="EN660" s="344"/>
      <c r="EO660" s="344"/>
      <c r="EP660" s="22"/>
      <c r="EQ660" s="22"/>
      <c r="ER660" s="22"/>
      <c r="ES660" s="344"/>
      <c r="ET660" s="349"/>
      <c r="EU660" s="344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T660" s="27"/>
      <c r="FU660" s="27"/>
    </row>
    <row r="661" spans="24:177" s="9" customFormat="1" x14ac:dyDescent="0.2">
      <c r="X661" s="50"/>
      <c r="AD661" s="22"/>
      <c r="AW661" s="8"/>
      <c r="AX661" s="108"/>
      <c r="AY661" s="102"/>
      <c r="AZ661" s="109"/>
      <c r="BA661" s="11"/>
      <c r="BB661" s="9" t="s">
        <v>557</v>
      </c>
      <c r="BC661" s="22">
        <v>69</v>
      </c>
      <c r="BD661" s="231">
        <v>6</v>
      </c>
      <c r="BE661" s="232" t="s">
        <v>290</v>
      </c>
      <c r="CA661" s="18"/>
      <c r="DH661" s="22"/>
      <c r="DI661" s="22"/>
      <c r="DJ661" s="22"/>
      <c r="DK661" s="344"/>
      <c r="DL661" s="361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22"/>
      <c r="EG661" s="22"/>
      <c r="EH661" s="22"/>
      <c r="EI661" s="22"/>
      <c r="EJ661" s="22"/>
      <c r="EK661" s="22"/>
      <c r="EL661" s="22"/>
      <c r="EM661" s="22"/>
      <c r="EN661" s="344"/>
      <c r="EO661" s="344"/>
      <c r="EP661" s="22"/>
      <c r="EQ661" s="22"/>
      <c r="ER661" s="22"/>
      <c r="ES661" s="344"/>
      <c r="ET661" s="349"/>
      <c r="EU661" s="344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T661" s="27"/>
      <c r="FU661" s="27"/>
    </row>
    <row r="662" spans="24:177" s="9" customFormat="1" x14ac:dyDescent="0.2">
      <c r="X662" s="50"/>
      <c r="AD662" s="22"/>
      <c r="AW662" s="8"/>
      <c r="AX662" s="108"/>
      <c r="AY662" s="102"/>
      <c r="AZ662" s="109"/>
      <c r="BA662" s="11"/>
      <c r="BB662" s="9" t="s">
        <v>557</v>
      </c>
      <c r="BC662" s="22">
        <v>70</v>
      </c>
      <c r="BD662" s="231">
        <v>10</v>
      </c>
      <c r="BE662" s="232" t="s">
        <v>595</v>
      </c>
      <c r="CA662" s="18"/>
      <c r="DH662" s="22"/>
      <c r="DI662" s="22"/>
      <c r="DJ662" s="22"/>
      <c r="DK662" s="344"/>
      <c r="DL662" s="361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22"/>
      <c r="EG662" s="22"/>
      <c r="EH662" s="22"/>
      <c r="EI662" s="22"/>
      <c r="EJ662" s="22"/>
      <c r="EK662" s="22"/>
      <c r="EL662" s="22"/>
      <c r="EM662" s="22"/>
      <c r="EN662" s="344"/>
      <c r="EO662" s="344"/>
      <c r="EP662" s="22"/>
      <c r="EQ662" s="22"/>
      <c r="ER662" s="22"/>
      <c r="ES662" s="344"/>
      <c r="ET662" s="349"/>
      <c r="EU662" s="344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T662" s="27"/>
      <c r="FU662" s="27"/>
    </row>
    <row r="663" spans="24:177" s="9" customFormat="1" x14ac:dyDescent="0.2">
      <c r="X663" s="50"/>
      <c r="AD663" s="22"/>
      <c r="AW663" s="8"/>
      <c r="AX663" s="108"/>
      <c r="AY663" s="102"/>
      <c r="AZ663" s="109"/>
      <c r="BA663" s="11"/>
      <c r="BB663" s="9" t="s">
        <v>557</v>
      </c>
      <c r="BC663" s="22">
        <v>71</v>
      </c>
      <c r="BD663" s="231">
        <v>10</v>
      </c>
      <c r="BE663" s="232" t="s">
        <v>597</v>
      </c>
      <c r="CA663" s="18"/>
      <c r="DH663" s="22"/>
      <c r="DI663" s="22"/>
      <c r="DJ663" s="22"/>
      <c r="DK663" s="344"/>
      <c r="DL663" s="361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22"/>
      <c r="EG663" s="22"/>
      <c r="EH663" s="22"/>
      <c r="EI663" s="22"/>
      <c r="EJ663" s="22"/>
      <c r="EK663" s="22"/>
      <c r="EL663" s="22"/>
      <c r="EM663" s="22"/>
      <c r="EN663" s="344"/>
      <c r="EO663" s="344"/>
      <c r="EP663" s="22"/>
      <c r="EQ663" s="22"/>
      <c r="ER663" s="22"/>
      <c r="ES663" s="344"/>
      <c r="ET663" s="349"/>
      <c r="EU663" s="344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T663" s="27"/>
      <c r="FU663" s="27"/>
    </row>
    <row r="664" spans="24:177" s="9" customFormat="1" x14ac:dyDescent="0.2">
      <c r="X664" s="50"/>
      <c r="AD664" s="22"/>
      <c r="AW664" s="8"/>
      <c r="AX664" s="108"/>
      <c r="AY664" s="102"/>
      <c r="AZ664" s="109"/>
      <c r="BA664" s="11"/>
      <c r="BB664" s="9" t="s">
        <v>557</v>
      </c>
      <c r="BC664" s="22">
        <v>72</v>
      </c>
      <c r="BD664" s="231">
        <v>10</v>
      </c>
      <c r="BE664" s="232" t="s">
        <v>290</v>
      </c>
      <c r="CA664" s="18"/>
      <c r="DH664" s="22"/>
      <c r="DI664" s="22"/>
      <c r="DJ664" s="22"/>
      <c r="DK664" s="344"/>
      <c r="DL664" s="361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22"/>
      <c r="EG664" s="22"/>
      <c r="EH664" s="22"/>
      <c r="EI664" s="22"/>
      <c r="EJ664" s="22"/>
      <c r="EK664" s="22"/>
      <c r="EL664" s="22"/>
      <c r="EM664" s="22"/>
      <c r="EN664" s="344"/>
      <c r="EO664" s="344"/>
      <c r="EP664" s="22"/>
      <c r="EQ664" s="22"/>
      <c r="ER664" s="22"/>
      <c r="ES664" s="344"/>
      <c r="ET664" s="349"/>
      <c r="EU664" s="344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T664" s="27"/>
      <c r="FU664" s="27"/>
    </row>
    <row r="665" spans="24:177" s="9" customFormat="1" x14ac:dyDescent="0.2">
      <c r="X665" s="50"/>
      <c r="AD665" s="22"/>
      <c r="AW665" s="8"/>
      <c r="AX665" s="108"/>
      <c r="AY665" s="102"/>
      <c r="AZ665" s="109"/>
      <c r="BA665" s="11"/>
      <c r="BB665" s="9" t="s">
        <v>557</v>
      </c>
      <c r="BC665" s="22">
        <v>73</v>
      </c>
      <c r="BD665" s="231">
        <v>10</v>
      </c>
      <c r="BE665" s="232" t="s">
        <v>291</v>
      </c>
      <c r="CA665" s="18"/>
      <c r="DH665" s="22"/>
      <c r="DI665" s="22"/>
      <c r="DJ665" s="22"/>
      <c r="DK665" s="344"/>
      <c r="DL665" s="361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22"/>
      <c r="EG665" s="22"/>
      <c r="EH665" s="22"/>
      <c r="EI665" s="22"/>
      <c r="EJ665" s="22"/>
      <c r="EK665" s="22"/>
      <c r="EL665" s="22"/>
      <c r="EM665" s="22"/>
      <c r="EN665" s="344"/>
      <c r="EO665" s="344"/>
      <c r="EP665" s="22"/>
      <c r="EQ665" s="22"/>
      <c r="ER665" s="22"/>
      <c r="ES665" s="344"/>
      <c r="ET665" s="349"/>
      <c r="EU665" s="344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T665" s="27"/>
      <c r="FU665" s="27"/>
    </row>
    <row r="666" spans="24:177" s="9" customFormat="1" x14ac:dyDescent="0.2">
      <c r="X666" s="50"/>
      <c r="AD666" s="22"/>
      <c r="AW666" s="8"/>
      <c r="AX666" s="108"/>
      <c r="AY666" s="102"/>
      <c r="AZ666" s="109"/>
      <c r="BA666" s="11"/>
      <c r="BB666" s="9" t="s">
        <v>557</v>
      </c>
      <c r="BC666" s="22">
        <v>74</v>
      </c>
      <c r="BD666" s="231">
        <v>10</v>
      </c>
      <c r="BE666" s="232" t="s">
        <v>292</v>
      </c>
      <c r="CA666" s="18"/>
      <c r="DH666" s="22"/>
      <c r="DI666" s="22"/>
      <c r="DJ666" s="22"/>
      <c r="DK666" s="344"/>
      <c r="DL666" s="361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22"/>
      <c r="EG666" s="22"/>
      <c r="EH666" s="22"/>
      <c r="EI666" s="22"/>
      <c r="EJ666" s="22"/>
      <c r="EK666" s="22"/>
      <c r="EL666" s="22"/>
      <c r="EM666" s="22"/>
      <c r="EN666" s="344"/>
      <c r="EO666" s="344"/>
      <c r="EP666" s="22"/>
      <c r="EQ666" s="22"/>
      <c r="ER666" s="22"/>
      <c r="ES666" s="344"/>
      <c r="ET666" s="349"/>
      <c r="EU666" s="344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T666" s="27"/>
      <c r="FU666" s="27"/>
    </row>
    <row r="667" spans="24:177" s="9" customFormat="1" x14ac:dyDescent="0.2">
      <c r="X667" s="50"/>
      <c r="AD667" s="22"/>
      <c r="AW667" s="8"/>
      <c r="AX667" s="108"/>
      <c r="AY667" s="102"/>
      <c r="AZ667" s="109"/>
      <c r="BA667" s="11"/>
      <c r="BB667" s="9" t="s">
        <v>557</v>
      </c>
      <c r="BC667" s="22">
        <v>75</v>
      </c>
      <c r="BD667" s="231">
        <v>13</v>
      </c>
      <c r="BE667" s="232" t="s">
        <v>290</v>
      </c>
      <c r="CA667" s="18"/>
      <c r="DH667" s="22"/>
      <c r="DI667" s="22"/>
      <c r="DJ667" s="22"/>
      <c r="DK667" s="344"/>
      <c r="DL667" s="361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22"/>
      <c r="EG667" s="22"/>
      <c r="EH667" s="22"/>
      <c r="EI667" s="22"/>
      <c r="EJ667" s="22"/>
      <c r="EK667" s="22"/>
      <c r="EL667" s="22"/>
      <c r="EM667" s="22"/>
      <c r="EN667" s="344"/>
      <c r="EO667" s="344"/>
      <c r="EP667" s="22"/>
      <c r="EQ667" s="22"/>
      <c r="ER667" s="22"/>
      <c r="ES667" s="344"/>
      <c r="ET667" s="349"/>
      <c r="EU667" s="344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T667" s="27"/>
      <c r="FU667" s="27"/>
    </row>
    <row r="668" spans="24:177" s="9" customFormat="1" x14ac:dyDescent="0.2">
      <c r="X668" s="50"/>
      <c r="AD668" s="22"/>
      <c r="AW668" s="8"/>
      <c r="AX668" s="108"/>
      <c r="AY668" s="102"/>
      <c r="AZ668" s="109"/>
      <c r="BA668" s="11"/>
      <c r="BB668" s="9" t="s">
        <v>557</v>
      </c>
      <c r="BC668" s="22">
        <v>76</v>
      </c>
      <c r="BD668" s="231">
        <v>13</v>
      </c>
      <c r="BE668" s="232" t="s">
        <v>292</v>
      </c>
      <c r="CA668" s="18"/>
      <c r="DH668" s="22"/>
      <c r="DI668" s="22"/>
      <c r="DJ668" s="22"/>
      <c r="DK668" s="344"/>
      <c r="DL668" s="361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22"/>
      <c r="EG668" s="22"/>
      <c r="EH668" s="22"/>
      <c r="EI668" s="22"/>
      <c r="EJ668" s="22"/>
      <c r="EK668" s="22"/>
      <c r="EL668" s="22"/>
      <c r="EM668" s="22"/>
      <c r="EN668" s="344"/>
      <c r="EO668" s="344"/>
      <c r="EP668" s="22"/>
      <c r="EQ668" s="22"/>
      <c r="ER668" s="22"/>
      <c r="ES668" s="344"/>
      <c r="ET668" s="349"/>
      <c r="EU668" s="344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T668" s="27"/>
      <c r="FU668" s="27"/>
    </row>
    <row r="669" spans="24:177" s="9" customFormat="1" x14ac:dyDescent="0.2">
      <c r="X669" s="50"/>
      <c r="AD669" s="22"/>
      <c r="AW669" s="8"/>
      <c r="AX669" s="108"/>
      <c r="AY669" s="102"/>
      <c r="AZ669" s="109"/>
      <c r="BA669" s="11"/>
      <c r="BB669" s="9" t="s">
        <v>557</v>
      </c>
      <c r="BC669" s="22">
        <v>77</v>
      </c>
      <c r="BD669" s="231">
        <v>16</v>
      </c>
      <c r="BE669" s="232" t="s">
        <v>595</v>
      </c>
      <c r="CA669" s="18"/>
      <c r="DH669" s="22"/>
      <c r="DI669" s="22"/>
      <c r="DJ669" s="22"/>
      <c r="DK669" s="344"/>
      <c r="DL669" s="361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22"/>
      <c r="EG669" s="22"/>
      <c r="EH669" s="22"/>
      <c r="EI669" s="22"/>
      <c r="EJ669" s="22"/>
      <c r="EK669" s="22"/>
      <c r="EL669" s="22"/>
      <c r="EM669" s="22"/>
      <c r="EN669" s="344"/>
      <c r="EO669" s="344"/>
      <c r="EP669" s="22"/>
      <c r="EQ669" s="22"/>
      <c r="ER669" s="22"/>
      <c r="ES669" s="344"/>
      <c r="ET669" s="349"/>
      <c r="EU669" s="344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T669" s="27"/>
      <c r="FU669" s="27"/>
    </row>
    <row r="670" spans="24:177" s="9" customFormat="1" x14ac:dyDescent="0.2">
      <c r="X670" s="50"/>
      <c r="AD670" s="22"/>
      <c r="AW670" s="8"/>
      <c r="AX670" s="108"/>
      <c r="AY670" s="102"/>
      <c r="AZ670" s="109"/>
      <c r="BA670" s="11"/>
      <c r="BB670" s="9" t="s">
        <v>557</v>
      </c>
      <c r="BC670" s="22">
        <v>78</v>
      </c>
      <c r="BD670" s="231">
        <v>16</v>
      </c>
      <c r="BE670" s="232" t="s">
        <v>597</v>
      </c>
      <c r="CA670" s="18"/>
      <c r="DH670" s="22"/>
      <c r="DI670" s="22"/>
      <c r="DJ670" s="22"/>
      <c r="DK670" s="344"/>
      <c r="DL670" s="361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22"/>
      <c r="EG670" s="22"/>
      <c r="EH670" s="22"/>
      <c r="EI670" s="22"/>
      <c r="EJ670" s="22"/>
      <c r="EK670" s="22"/>
      <c r="EL670" s="22"/>
      <c r="EM670" s="22"/>
      <c r="EN670" s="344"/>
      <c r="EO670" s="344"/>
      <c r="EP670" s="22"/>
      <c r="EQ670" s="22"/>
      <c r="ER670" s="22"/>
      <c r="ES670" s="344"/>
      <c r="ET670" s="349"/>
      <c r="EU670" s="344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T670" s="27"/>
      <c r="FU670" s="27"/>
    </row>
    <row r="671" spans="24:177" s="9" customFormat="1" x14ac:dyDescent="0.2">
      <c r="X671" s="50"/>
      <c r="AD671" s="22"/>
      <c r="AW671" s="8"/>
      <c r="AX671" s="108"/>
      <c r="AY671" s="102"/>
      <c r="AZ671" s="109"/>
      <c r="BA671" s="11"/>
      <c r="BB671" s="9" t="s">
        <v>557</v>
      </c>
      <c r="BC671" s="22">
        <v>79</v>
      </c>
      <c r="BD671" s="231">
        <v>16</v>
      </c>
      <c r="BE671" s="232" t="s">
        <v>290</v>
      </c>
      <c r="CA671" s="18"/>
      <c r="DH671" s="22"/>
      <c r="DI671" s="22"/>
      <c r="DJ671" s="22"/>
      <c r="DK671" s="344"/>
      <c r="DL671" s="361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22"/>
      <c r="EG671" s="22"/>
      <c r="EH671" s="22"/>
      <c r="EI671" s="22"/>
      <c r="EJ671" s="22"/>
      <c r="EK671" s="22"/>
      <c r="EL671" s="22"/>
      <c r="EM671" s="22"/>
      <c r="EN671" s="344"/>
      <c r="EO671" s="344"/>
      <c r="EP671" s="22"/>
      <c r="EQ671" s="22"/>
      <c r="ER671" s="22"/>
      <c r="ES671" s="344"/>
      <c r="ET671" s="349"/>
      <c r="EU671" s="344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T671" s="27"/>
      <c r="FU671" s="27"/>
    </row>
    <row r="672" spans="24:177" s="9" customFormat="1" x14ac:dyDescent="0.2">
      <c r="X672" s="50"/>
      <c r="AD672" s="22"/>
      <c r="AW672" s="8"/>
      <c r="AX672" s="108"/>
      <c r="AY672" s="102"/>
      <c r="AZ672" s="109"/>
      <c r="BA672" s="11"/>
      <c r="BB672" s="9" t="s">
        <v>557</v>
      </c>
      <c r="BC672" s="22">
        <v>80</v>
      </c>
      <c r="BD672" s="231">
        <v>16</v>
      </c>
      <c r="BE672" s="232" t="s">
        <v>291</v>
      </c>
      <c r="CA672" s="18"/>
      <c r="DH672" s="22"/>
      <c r="DI672" s="22"/>
      <c r="DJ672" s="22"/>
      <c r="DK672" s="344"/>
      <c r="DL672" s="361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22"/>
      <c r="EG672" s="22"/>
      <c r="EH672" s="22"/>
      <c r="EI672" s="22"/>
      <c r="EJ672" s="22"/>
      <c r="EK672" s="22"/>
      <c r="EL672" s="22"/>
      <c r="EM672" s="22"/>
      <c r="EN672" s="344"/>
      <c r="EO672" s="344"/>
      <c r="EP672" s="22"/>
      <c r="EQ672" s="22"/>
      <c r="ER672" s="22"/>
      <c r="ES672" s="344"/>
      <c r="ET672" s="349"/>
      <c r="EU672" s="344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T672" s="27"/>
      <c r="FU672" s="27"/>
    </row>
    <row r="673" spans="24:177" s="9" customFormat="1" x14ac:dyDescent="0.2">
      <c r="X673" s="50"/>
      <c r="AD673" s="22"/>
      <c r="AW673" s="8"/>
      <c r="AX673" s="108"/>
      <c r="AY673" s="102"/>
      <c r="AZ673" s="109"/>
      <c r="BA673" s="11"/>
      <c r="BB673" s="9" t="s">
        <v>557</v>
      </c>
      <c r="BC673" s="22">
        <v>81</v>
      </c>
      <c r="BD673" s="231">
        <v>16</v>
      </c>
      <c r="BE673" s="232" t="s">
        <v>292</v>
      </c>
      <c r="CA673" s="18"/>
      <c r="DH673" s="22"/>
      <c r="DI673" s="22"/>
      <c r="DJ673" s="22"/>
      <c r="DK673" s="344"/>
      <c r="DL673" s="361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22"/>
      <c r="EG673" s="22"/>
      <c r="EH673" s="22"/>
      <c r="EI673" s="22"/>
      <c r="EJ673" s="22"/>
      <c r="EK673" s="22"/>
      <c r="EL673" s="22"/>
      <c r="EM673" s="22"/>
      <c r="EN673" s="344"/>
      <c r="EO673" s="344"/>
      <c r="EP673" s="22"/>
      <c r="EQ673" s="22"/>
      <c r="ER673" s="22"/>
      <c r="ES673" s="344"/>
      <c r="ET673" s="349"/>
      <c r="EU673" s="344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T673" s="27"/>
      <c r="FU673" s="27"/>
    </row>
    <row r="674" spans="24:177" s="9" customFormat="1" x14ac:dyDescent="0.2">
      <c r="X674" s="50"/>
      <c r="AD674" s="22"/>
      <c r="AW674" s="8"/>
      <c r="AX674" s="108"/>
      <c r="AY674" s="102"/>
      <c r="AZ674" s="109"/>
      <c r="BA674" s="11"/>
      <c r="BB674" s="9" t="s">
        <v>557</v>
      </c>
      <c r="BC674" s="22">
        <v>82</v>
      </c>
      <c r="BD674" s="231">
        <v>20</v>
      </c>
      <c r="BE674" s="232" t="s">
        <v>595</v>
      </c>
      <c r="CA674" s="18"/>
      <c r="DH674" s="22"/>
      <c r="DI674" s="22"/>
      <c r="DJ674" s="22"/>
      <c r="DK674" s="344"/>
      <c r="DL674" s="361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22"/>
      <c r="EG674" s="22"/>
      <c r="EH674" s="22"/>
      <c r="EI674" s="22"/>
      <c r="EJ674" s="22"/>
      <c r="EK674" s="22"/>
      <c r="EL674" s="22"/>
      <c r="EM674" s="22"/>
      <c r="EN674" s="344"/>
      <c r="EO674" s="344"/>
      <c r="EP674" s="22"/>
      <c r="EQ674" s="22"/>
      <c r="ER674" s="22"/>
      <c r="ES674" s="344"/>
      <c r="ET674" s="349"/>
      <c r="EU674" s="344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T674" s="27"/>
      <c r="FU674" s="27"/>
    </row>
    <row r="675" spans="24:177" s="9" customFormat="1" x14ac:dyDescent="0.2">
      <c r="X675" s="50"/>
      <c r="AD675" s="22"/>
      <c r="AW675" s="8"/>
      <c r="AX675" s="108"/>
      <c r="AY675" s="102"/>
      <c r="AZ675" s="109"/>
      <c r="BA675" s="11"/>
      <c r="BB675" s="9" t="s">
        <v>557</v>
      </c>
      <c r="BC675" s="22">
        <v>83</v>
      </c>
      <c r="BD675" s="231">
        <v>20</v>
      </c>
      <c r="BE675" s="232" t="s">
        <v>597</v>
      </c>
      <c r="CA675" s="18"/>
      <c r="DH675" s="22"/>
      <c r="DI675" s="22"/>
      <c r="DJ675" s="22"/>
      <c r="DK675" s="344"/>
      <c r="DL675" s="361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22"/>
      <c r="EG675" s="22"/>
      <c r="EH675" s="22"/>
      <c r="EI675" s="22"/>
      <c r="EJ675" s="22"/>
      <c r="EK675" s="22"/>
      <c r="EL675" s="22"/>
      <c r="EM675" s="22"/>
      <c r="EN675" s="344"/>
      <c r="EO675" s="344"/>
      <c r="EP675" s="22"/>
      <c r="EQ675" s="22"/>
      <c r="ER675" s="22"/>
      <c r="ES675" s="344"/>
      <c r="ET675" s="349"/>
      <c r="EU675" s="344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T675" s="27"/>
      <c r="FU675" s="27"/>
    </row>
    <row r="676" spans="24:177" s="9" customFormat="1" x14ac:dyDescent="0.2">
      <c r="X676" s="50"/>
      <c r="AD676" s="22"/>
      <c r="AW676" s="8"/>
      <c r="AX676" s="108"/>
      <c r="AY676" s="102"/>
      <c r="AZ676" s="109"/>
      <c r="BA676" s="11"/>
      <c r="BB676" s="9" t="s">
        <v>557</v>
      </c>
      <c r="BC676" s="22">
        <v>84</v>
      </c>
      <c r="BD676" s="231">
        <v>20</v>
      </c>
      <c r="BE676" s="232" t="s">
        <v>290</v>
      </c>
      <c r="CA676" s="18"/>
      <c r="DH676" s="22"/>
      <c r="DI676" s="22"/>
      <c r="DJ676" s="22"/>
      <c r="DK676" s="344"/>
      <c r="DL676" s="361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22"/>
      <c r="EG676" s="22"/>
      <c r="EH676" s="22"/>
      <c r="EI676" s="22"/>
      <c r="EJ676" s="22"/>
      <c r="EK676" s="22"/>
      <c r="EL676" s="22"/>
      <c r="EM676" s="22"/>
      <c r="EN676" s="344"/>
      <c r="EO676" s="344"/>
      <c r="EP676" s="22"/>
      <c r="EQ676" s="22"/>
      <c r="ER676" s="22"/>
      <c r="ES676" s="344"/>
      <c r="ET676" s="349"/>
      <c r="EU676" s="344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T676" s="27"/>
      <c r="FU676" s="27"/>
    </row>
    <row r="677" spans="24:177" s="9" customFormat="1" x14ac:dyDescent="0.2">
      <c r="X677" s="50"/>
      <c r="AD677" s="22"/>
      <c r="AW677" s="8"/>
      <c r="AX677" s="108"/>
      <c r="AY677" s="102"/>
      <c r="AZ677" s="109"/>
      <c r="BA677" s="11"/>
      <c r="BB677" s="9" t="s">
        <v>557</v>
      </c>
      <c r="BC677" s="22">
        <v>85</v>
      </c>
      <c r="BD677" s="231">
        <v>20</v>
      </c>
      <c r="BE677" s="232" t="s">
        <v>291</v>
      </c>
      <c r="CA677" s="18"/>
      <c r="DH677" s="22"/>
      <c r="DI677" s="22"/>
      <c r="DJ677" s="22"/>
      <c r="DK677" s="344"/>
      <c r="DL677" s="361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22"/>
      <c r="EG677" s="22"/>
      <c r="EH677" s="22"/>
      <c r="EI677" s="22"/>
      <c r="EJ677" s="22"/>
      <c r="EK677" s="22"/>
      <c r="EL677" s="22"/>
      <c r="EM677" s="22"/>
      <c r="EN677" s="344"/>
      <c r="EO677" s="344"/>
      <c r="EP677" s="22"/>
      <c r="EQ677" s="22"/>
      <c r="ER677" s="22"/>
      <c r="ES677" s="344"/>
      <c r="ET677" s="349"/>
      <c r="EU677" s="344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T677" s="27"/>
      <c r="FU677" s="27"/>
    </row>
    <row r="678" spans="24:177" s="9" customFormat="1" x14ac:dyDescent="0.2">
      <c r="X678" s="50"/>
      <c r="AD678" s="22"/>
      <c r="AW678" s="8"/>
      <c r="AX678" s="108"/>
      <c r="AY678" s="102"/>
      <c r="AZ678" s="109"/>
      <c r="BA678" s="11"/>
      <c r="BB678" s="9" t="s">
        <v>557</v>
      </c>
      <c r="BC678" s="22">
        <v>86</v>
      </c>
      <c r="BD678" s="231">
        <v>20</v>
      </c>
      <c r="BE678" s="232" t="s">
        <v>292</v>
      </c>
      <c r="CA678" s="18"/>
      <c r="DH678" s="22"/>
      <c r="DI678" s="22"/>
      <c r="DJ678" s="22"/>
      <c r="DK678" s="344"/>
      <c r="DL678" s="361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22"/>
      <c r="EG678" s="22"/>
      <c r="EH678" s="22"/>
      <c r="EI678" s="22"/>
      <c r="EJ678" s="22"/>
      <c r="EK678" s="22"/>
      <c r="EL678" s="22"/>
      <c r="EM678" s="22"/>
      <c r="EN678" s="344"/>
      <c r="EO678" s="344"/>
      <c r="EP678" s="22"/>
      <c r="EQ678" s="22"/>
      <c r="ER678" s="22"/>
      <c r="ES678" s="344"/>
      <c r="ET678" s="349"/>
      <c r="EU678" s="344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T678" s="27"/>
      <c r="FU678" s="27"/>
    </row>
    <row r="679" spans="24:177" s="9" customFormat="1" x14ac:dyDescent="0.2">
      <c r="X679" s="50"/>
      <c r="AD679" s="22"/>
      <c r="AW679" s="8"/>
      <c r="AX679" s="108"/>
      <c r="AY679" s="102"/>
      <c r="AZ679" s="109"/>
      <c r="BA679" s="11"/>
      <c r="BB679" s="9" t="s">
        <v>557</v>
      </c>
      <c r="BC679" s="22">
        <v>87</v>
      </c>
      <c r="BD679" s="231">
        <v>25</v>
      </c>
      <c r="BE679" s="232" t="s">
        <v>595</v>
      </c>
      <c r="CA679" s="18"/>
      <c r="DH679" s="22"/>
      <c r="DI679" s="22"/>
      <c r="DJ679" s="22"/>
      <c r="DK679" s="344"/>
      <c r="DL679" s="361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22"/>
      <c r="EG679" s="22"/>
      <c r="EH679" s="22"/>
      <c r="EI679" s="22"/>
      <c r="EJ679" s="22"/>
      <c r="EK679" s="22"/>
      <c r="EL679" s="22"/>
      <c r="EM679" s="22"/>
      <c r="EN679" s="344"/>
      <c r="EO679" s="344"/>
      <c r="EP679" s="22"/>
      <c r="EQ679" s="22"/>
      <c r="ER679" s="22"/>
      <c r="ES679" s="344"/>
      <c r="ET679" s="349"/>
      <c r="EU679" s="344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T679" s="27"/>
      <c r="FU679" s="27"/>
    </row>
    <row r="680" spans="24:177" s="9" customFormat="1" x14ac:dyDescent="0.2">
      <c r="X680" s="50"/>
      <c r="AD680" s="22"/>
      <c r="AW680" s="8"/>
      <c r="AX680" s="108"/>
      <c r="AY680" s="102"/>
      <c r="AZ680" s="109"/>
      <c r="BA680" s="11"/>
      <c r="BB680" s="9" t="s">
        <v>557</v>
      </c>
      <c r="BC680" s="22">
        <v>88</v>
      </c>
      <c r="BD680" s="231">
        <v>25</v>
      </c>
      <c r="BE680" s="232" t="s">
        <v>597</v>
      </c>
      <c r="CA680" s="18"/>
      <c r="DH680" s="22"/>
      <c r="DI680" s="22"/>
      <c r="DJ680" s="22"/>
      <c r="DK680" s="344"/>
      <c r="DL680" s="361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22"/>
      <c r="EG680" s="22"/>
      <c r="EH680" s="22"/>
      <c r="EI680" s="22"/>
      <c r="EJ680" s="22"/>
      <c r="EK680" s="22"/>
      <c r="EL680" s="22"/>
      <c r="EM680" s="22"/>
      <c r="EN680" s="344"/>
      <c r="EO680" s="344"/>
      <c r="EP680" s="22"/>
      <c r="EQ680" s="22"/>
      <c r="ER680" s="22"/>
      <c r="ES680" s="344"/>
      <c r="ET680" s="349"/>
      <c r="EU680" s="344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T680" s="27"/>
      <c r="FU680" s="27"/>
    </row>
    <row r="681" spans="24:177" s="9" customFormat="1" x14ac:dyDescent="0.2">
      <c r="X681" s="50"/>
      <c r="AD681" s="22"/>
      <c r="AW681" s="8"/>
      <c r="AX681" s="108"/>
      <c r="AY681" s="102"/>
      <c r="AZ681" s="109"/>
      <c r="BA681" s="11"/>
      <c r="BB681" s="9" t="s">
        <v>557</v>
      </c>
      <c r="BC681" s="22">
        <v>89</v>
      </c>
      <c r="BD681" s="231">
        <v>25</v>
      </c>
      <c r="BE681" s="232" t="s">
        <v>290</v>
      </c>
      <c r="CA681" s="18"/>
      <c r="DH681" s="22"/>
      <c r="DI681" s="22"/>
      <c r="DJ681" s="22"/>
      <c r="DK681" s="344"/>
      <c r="DL681" s="361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22"/>
      <c r="EG681" s="22"/>
      <c r="EH681" s="22"/>
      <c r="EI681" s="22"/>
      <c r="EJ681" s="22"/>
      <c r="EK681" s="22"/>
      <c r="EL681" s="22"/>
      <c r="EM681" s="22"/>
      <c r="EN681" s="344"/>
      <c r="EO681" s="344"/>
      <c r="EP681" s="22"/>
      <c r="EQ681" s="22"/>
      <c r="ER681" s="22"/>
      <c r="ES681" s="344"/>
      <c r="ET681" s="349"/>
      <c r="EU681" s="344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T681" s="27"/>
      <c r="FU681" s="27"/>
    </row>
    <row r="682" spans="24:177" s="9" customFormat="1" x14ac:dyDescent="0.2">
      <c r="X682" s="50"/>
      <c r="AD682" s="22"/>
      <c r="AW682" s="8"/>
      <c r="AX682" s="108"/>
      <c r="AY682" s="102"/>
      <c r="AZ682" s="109"/>
      <c r="BA682" s="11"/>
      <c r="BB682" s="9" t="s">
        <v>557</v>
      </c>
      <c r="BC682" s="22">
        <v>90</v>
      </c>
      <c r="BD682" s="231">
        <v>25</v>
      </c>
      <c r="BE682" s="232" t="s">
        <v>291</v>
      </c>
      <c r="CA682" s="18"/>
      <c r="DH682" s="22"/>
      <c r="DI682" s="22"/>
      <c r="DJ682" s="22"/>
      <c r="DK682" s="344"/>
      <c r="DL682" s="361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22"/>
      <c r="EG682" s="22"/>
      <c r="EH682" s="22"/>
      <c r="EI682" s="22"/>
      <c r="EJ682" s="22"/>
      <c r="EK682" s="22"/>
      <c r="EL682" s="22"/>
      <c r="EM682" s="22"/>
      <c r="EN682" s="344"/>
      <c r="EO682" s="344"/>
      <c r="EP682" s="22"/>
      <c r="EQ682" s="22"/>
      <c r="ER682" s="22"/>
      <c r="ES682" s="344"/>
      <c r="ET682" s="349"/>
      <c r="EU682" s="344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T682" s="27"/>
      <c r="FU682" s="27"/>
    </row>
    <row r="683" spans="24:177" s="9" customFormat="1" x14ac:dyDescent="0.2">
      <c r="X683" s="50"/>
      <c r="AD683" s="22"/>
      <c r="AW683" s="8"/>
      <c r="AX683" s="108"/>
      <c r="AY683" s="102"/>
      <c r="AZ683" s="109"/>
      <c r="BA683" s="11"/>
      <c r="BB683" s="9" t="s">
        <v>557</v>
      </c>
      <c r="BC683" s="22">
        <v>91</v>
      </c>
      <c r="BD683" s="231">
        <v>25</v>
      </c>
      <c r="BE683" s="232" t="s">
        <v>292</v>
      </c>
      <c r="CA683" s="18"/>
      <c r="DH683" s="22"/>
      <c r="DI683" s="22"/>
      <c r="DJ683" s="22"/>
      <c r="DK683" s="344"/>
      <c r="DL683" s="361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22"/>
      <c r="EG683" s="22"/>
      <c r="EH683" s="22"/>
      <c r="EI683" s="22"/>
      <c r="EJ683" s="22"/>
      <c r="EK683" s="22"/>
      <c r="EL683" s="22"/>
      <c r="EM683" s="22"/>
      <c r="EN683" s="344"/>
      <c r="EO683" s="344"/>
      <c r="EP683" s="22"/>
      <c r="EQ683" s="22"/>
      <c r="ER683" s="22"/>
      <c r="ES683" s="344"/>
      <c r="ET683" s="349"/>
      <c r="EU683" s="344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T683" s="27"/>
      <c r="FU683" s="27"/>
    </row>
    <row r="684" spans="24:177" s="9" customFormat="1" x14ac:dyDescent="0.2">
      <c r="X684" s="50"/>
      <c r="AD684" s="22"/>
      <c r="AW684" s="8"/>
      <c r="AX684" s="108"/>
      <c r="AY684" s="102"/>
      <c r="AZ684" s="109"/>
      <c r="BA684" s="11"/>
      <c r="BB684" s="9" t="s">
        <v>557</v>
      </c>
      <c r="BC684" s="22">
        <v>92</v>
      </c>
      <c r="BD684" s="231">
        <v>32</v>
      </c>
      <c r="BE684" s="232" t="s">
        <v>595</v>
      </c>
      <c r="CA684" s="18"/>
      <c r="DH684" s="22"/>
      <c r="DI684" s="22"/>
      <c r="DJ684" s="22"/>
      <c r="DK684" s="344"/>
      <c r="DL684" s="361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22"/>
      <c r="EG684" s="22"/>
      <c r="EH684" s="22"/>
      <c r="EI684" s="22"/>
      <c r="EJ684" s="22"/>
      <c r="EK684" s="22"/>
      <c r="EL684" s="22"/>
      <c r="EM684" s="22"/>
      <c r="EN684" s="344"/>
      <c r="EO684" s="344"/>
      <c r="EP684" s="22"/>
      <c r="EQ684" s="22"/>
      <c r="ER684" s="22"/>
      <c r="ES684" s="344"/>
      <c r="ET684" s="349"/>
      <c r="EU684" s="344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T684" s="27"/>
      <c r="FU684" s="27"/>
    </row>
    <row r="685" spans="24:177" s="9" customFormat="1" x14ac:dyDescent="0.2">
      <c r="X685" s="50"/>
      <c r="AD685" s="22"/>
      <c r="AW685" s="8"/>
      <c r="AX685" s="108"/>
      <c r="AY685" s="102"/>
      <c r="AZ685" s="109"/>
      <c r="BA685" s="11"/>
      <c r="BB685" s="9" t="s">
        <v>557</v>
      </c>
      <c r="BC685" s="22">
        <v>93</v>
      </c>
      <c r="BD685" s="231">
        <v>32</v>
      </c>
      <c r="BE685" s="232" t="s">
        <v>597</v>
      </c>
      <c r="CA685" s="18"/>
      <c r="DH685" s="22"/>
      <c r="DI685" s="22"/>
      <c r="DJ685" s="22"/>
      <c r="DK685" s="344"/>
      <c r="DL685" s="361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22"/>
      <c r="EG685" s="22"/>
      <c r="EH685" s="22"/>
      <c r="EI685" s="22"/>
      <c r="EJ685" s="22"/>
      <c r="EK685" s="22"/>
      <c r="EL685" s="22"/>
      <c r="EM685" s="22"/>
      <c r="EN685" s="344"/>
      <c r="EO685" s="344"/>
      <c r="EP685" s="22"/>
      <c r="EQ685" s="22"/>
      <c r="ER685" s="22"/>
      <c r="ES685" s="344"/>
      <c r="ET685" s="349"/>
      <c r="EU685" s="344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T685" s="27"/>
      <c r="FU685" s="27"/>
    </row>
    <row r="686" spans="24:177" s="9" customFormat="1" x14ac:dyDescent="0.2">
      <c r="X686" s="50"/>
      <c r="AD686" s="22"/>
      <c r="AW686" s="8"/>
      <c r="AX686" s="108"/>
      <c r="AY686" s="102"/>
      <c r="AZ686" s="109"/>
      <c r="BA686" s="11"/>
      <c r="BB686" s="9" t="s">
        <v>557</v>
      </c>
      <c r="BC686" s="22">
        <v>94</v>
      </c>
      <c r="BD686" s="231">
        <v>32</v>
      </c>
      <c r="BE686" s="232" t="s">
        <v>290</v>
      </c>
      <c r="CA686" s="18"/>
      <c r="DH686" s="22"/>
      <c r="DI686" s="22"/>
      <c r="DJ686" s="22"/>
      <c r="DK686" s="344"/>
      <c r="DL686" s="361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22"/>
      <c r="EG686" s="22"/>
      <c r="EH686" s="22"/>
      <c r="EI686" s="22"/>
      <c r="EJ686" s="22"/>
      <c r="EK686" s="22"/>
      <c r="EL686" s="22"/>
      <c r="EM686" s="22"/>
      <c r="EN686" s="344"/>
      <c r="EO686" s="344"/>
      <c r="EP686" s="22"/>
      <c r="EQ686" s="22"/>
      <c r="ER686" s="22"/>
      <c r="ES686" s="344"/>
      <c r="ET686" s="349"/>
      <c r="EU686" s="344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T686" s="27"/>
      <c r="FU686" s="27"/>
    </row>
    <row r="687" spans="24:177" s="9" customFormat="1" x14ac:dyDescent="0.2">
      <c r="X687" s="50"/>
      <c r="AD687" s="22"/>
      <c r="AW687" s="8"/>
      <c r="AX687" s="108"/>
      <c r="AY687" s="102"/>
      <c r="AZ687" s="109"/>
      <c r="BA687" s="11"/>
      <c r="BB687" s="9" t="s">
        <v>557</v>
      </c>
      <c r="BC687" s="22">
        <v>95</v>
      </c>
      <c r="BD687" s="231">
        <v>32</v>
      </c>
      <c r="BE687" s="232" t="s">
        <v>291</v>
      </c>
      <c r="CA687" s="18"/>
      <c r="DH687" s="22"/>
      <c r="DI687" s="22"/>
      <c r="DJ687" s="22"/>
      <c r="DK687" s="344"/>
      <c r="DL687" s="361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22"/>
      <c r="EG687" s="22"/>
      <c r="EH687" s="22"/>
      <c r="EI687" s="22"/>
      <c r="EJ687" s="22"/>
      <c r="EK687" s="22"/>
      <c r="EL687" s="22"/>
      <c r="EM687" s="22"/>
      <c r="EN687" s="344"/>
      <c r="EO687" s="344"/>
      <c r="EP687" s="22"/>
      <c r="EQ687" s="22"/>
      <c r="ER687" s="22"/>
      <c r="ES687" s="344"/>
      <c r="ET687" s="349"/>
      <c r="EU687" s="344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T687" s="27"/>
      <c r="FU687" s="27"/>
    </row>
    <row r="688" spans="24:177" s="9" customFormat="1" x14ac:dyDescent="0.2">
      <c r="X688" s="50"/>
      <c r="AD688" s="22"/>
      <c r="AW688" s="8"/>
      <c r="AX688" s="108"/>
      <c r="AY688" s="102"/>
      <c r="AZ688" s="109"/>
      <c r="BA688" s="11"/>
      <c r="BB688" s="9" t="s">
        <v>557</v>
      </c>
      <c r="BC688" s="22">
        <v>96</v>
      </c>
      <c r="BD688" s="231">
        <v>32</v>
      </c>
      <c r="BE688" s="232" t="s">
        <v>292</v>
      </c>
      <c r="CA688" s="18"/>
      <c r="DH688" s="22"/>
      <c r="DI688" s="22"/>
      <c r="DJ688" s="22"/>
      <c r="DK688" s="344"/>
      <c r="DL688" s="361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22"/>
      <c r="EG688" s="22"/>
      <c r="EH688" s="22"/>
      <c r="EI688" s="22"/>
      <c r="EJ688" s="22"/>
      <c r="EK688" s="22"/>
      <c r="EL688" s="22"/>
      <c r="EM688" s="22"/>
      <c r="EN688" s="344"/>
      <c r="EO688" s="344"/>
      <c r="EP688" s="22"/>
      <c r="EQ688" s="22"/>
      <c r="ER688" s="22"/>
      <c r="ES688" s="344"/>
      <c r="ET688" s="349"/>
      <c r="EU688" s="344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T688" s="27"/>
      <c r="FU688" s="27"/>
    </row>
    <row r="689" spans="24:177" s="9" customFormat="1" x14ac:dyDescent="0.2">
      <c r="X689" s="50"/>
      <c r="AD689" s="22"/>
      <c r="AW689" s="8"/>
      <c r="AX689" s="108"/>
      <c r="AY689" s="102"/>
      <c r="AZ689" s="109"/>
      <c r="BA689" s="11"/>
      <c r="BB689" s="9" t="s">
        <v>557</v>
      </c>
      <c r="BC689" s="22">
        <v>97</v>
      </c>
      <c r="BD689" s="231">
        <v>40</v>
      </c>
      <c r="BE689" s="232" t="s">
        <v>595</v>
      </c>
      <c r="CA689" s="18"/>
      <c r="DH689" s="22"/>
      <c r="DI689" s="22"/>
      <c r="DJ689" s="22"/>
      <c r="DK689" s="344"/>
      <c r="DL689" s="361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22"/>
      <c r="EG689" s="22"/>
      <c r="EH689" s="22"/>
      <c r="EI689" s="22"/>
      <c r="EJ689" s="22"/>
      <c r="EK689" s="22"/>
      <c r="EL689" s="22"/>
      <c r="EM689" s="22"/>
      <c r="EN689" s="344"/>
      <c r="EO689" s="344"/>
      <c r="EP689" s="22"/>
      <c r="EQ689" s="22"/>
      <c r="ER689" s="22"/>
      <c r="ES689" s="344"/>
      <c r="ET689" s="349"/>
      <c r="EU689" s="344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T689" s="27"/>
      <c r="FU689" s="27"/>
    </row>
    <row r="690" spans="24:177" s="9" customFormat="1" x14ac:dyDescent="0.2">
      <c r="X690" s="50"/>
      <c r="AD690" s="22"/>
      <c r="AW690" s="8"/>
      <c r="AX690" s="108"/>
      <c r="AY690" s="102"/>
      <c r="AZ690" s="109"/>
      <c r="BA690" s="11"/>
      <c r="BB690" s="9" t="s">
        <v>557</v>
      </c>
      <c r="BC690" s="22">
        <v>98</v>
      </c>
      <c r="BD690" s="231">
        <v>40</v>
      </c>
      <c r="BE690" s="232" t="s">
        <v>597</v>
      </c>
      <c r="CA690" s="18"/>
      <c r="DH690" s="22"/>
      <c r="DI690" s="22"/>
      <c r="DJ690" s="22"/>
      <c r="DK690" s="344"/>
      <c r="DL690" s="361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22"/>
      <c r="EG690" s="22"/>
      <c r="EH690" s="22"/>
      <c r="EI690" s="22"/>
      <c r="EJ690" s="22"/>
      <c r="EK690" s="22"/>
      <c r="EL690" s="22"/>
      <c r="EM690" s="22"/>
      <c r="EN690" s="344"/>
      <c r="EO690" s="344"/>
      <c r="EP690" s="22"/>
      <c r="EQ690" s="22"/>
      <c r="ER690" s="22"/>
      <c r="ES690" s="344"/>
      <c r="ET690" s="349"/>
      <c r="EU690" s="344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T690" s="27"/>
      <c r="FU690" s="27"/>
    </row>
    <row r="691" spans="24:177" s="9" customFormat="1" x14ac:dyDescent="0.2">
      <c r="X691" s="50"/>
      <c r="AD691" s="22"/>
      <c r="AW691" s="8"/>
      <c r="AX691" s="108"/>
      <c r="AY691" s="102"/>
      <c r="AZ691" s="109"/>
      <c r="BA691" s="11"/>
      <c r="BB691" s="9" t="s">
        <v>557</v>
      </c>
      <c r="BC691" s="22">
        <v>99</v>
      </c>
      <c r="BD691" s="231">
        <v>40</v>
      </c>
      <c r="BE691" s="232" t="s">
        <v>290</v>
      </c>
      <c r="CA691" s="18"/>
      <c r="DH691" s="22"/>
      <c r="DI691" s="22"/>
      <c r="DJ691" s="22"/>
      <c r="DK691" s="344"/>
      <c r="DL691" s="361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22"/>
      <c r="EG691" s="22"/>
      <c r="EH691" s="22"/>
      <c r="EI691" s="22"/>
      <c r="EJ691" s="22"/>
      <c r="EK691" s="22"/>
      <c r="EL691" s="22"/>
      <c r="EM691" s="22"/>
      <c r="EN691" s="344"/>
      <c r="EO691" s="344"/>
      <c r="EP691" s="22"/>
      <c r="EQ691" s="22"/>
      <c r="ER691" s="22"/>
      <c r="ES691" s="344"/>
      <c r="ET691" s="349"/>
      <c r="EU691" s="344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T691" s="27"/>
      <c r="FU691" s="27"/>
    </row>
    <row r="692" spans="24:177" s="9" customFormat="1" x14ac:dyDescent="0.2">
      <c r="X692" s="50"/>
      <c r="AD692" s="22"/>
      <c r="AW692" s="8"/>
      <c r="AX692" s="108"/>
      <c r="AY692" s="102"/>
      <c r="AZ692" s="109"/>
      <c r="BA692" s="11"/>
      <c r="BB692" s="9" t="s">
        <v>557</v>
      </c>
      <c r="BC692" s="22">
        <v>100</v>
      </c>
      <c r="BD692" s="231">
        <v>40</v>
      </c>
      <c r="BE692" s="232" t="s">
        <v>291</v>
      </c>
      <c r="CA692" s="18"/>
      <c r="DH692" s="22"/>
      <c r="DI692" s="22"/>
      <c r="DJ692" s="22"/>
      <c r="DK692" s="344"/>
      <c r="DL692" s="361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22"/>
      <c r="EG692" s="22"/>
      <c r="EH692" s="22"/>
      <c r="EI692" s="22"/>
      <c r="EJ692" s="22"/>
      <c r="EK692" s="22"/>
      <c r="EL692" s="22"/>
      <c r="EM692" s="22"/>
      <c r="EN692" s="344"/>
      <c r="EO692" s="344"/>
      <c r="EP692" s="22"/>
      <c r="EQ692" s="22"/>
      <c r="ER692" s="22"/>
      <c r="ES692" s="344"/>
      <c r="ET692" s="349"/>
      <c r="EU692" s="344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T692" s="27"/>
      <c r="FU692" s="27"/>
    </row>
    <row r="693" spans="24:177" s="9" customFormat="1" ht="13.5" thickBot="1" x14ac:dyDescent="0.25">
      <c r="X693" s="50"/>
      <c r="AD693" s="22"/>
      <c r="AW693" s="8"/>
      <c r="AX693" s="108"/>
      <c r="AY693" s="102"/>
      <c r="AZ693" s="109"/>
      <c r="BA693" s="11"/>
      <c r="BB693" s="9" t="s">
        <v>557</v>
      </c>
      <c r="BC693" s="22">
        <v>101</v>
      </c>
      <c r="BD693" s="231">
        <v>40</v>
      </c>
      <c r="BE693" s="232" t="s">
        <v>292</v>
      </c>
      <c r="CA693" s="18"/>
      <c r="DH693" s="22"/>
      <c r="DI693" s="22"/>
      <c r="DJ693" s="22"/>
      <c r="DK693" s="344"/>
      <c r="DL693" s="361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22"/>
      <c r="EG693" s="22"/>
      <c r="EH693" s="22"/>
      <c r="EI693" s="22"/>
      <c r="EJ693" s="22"/>
      <c r="EK693" s="22"/>
      <c r="EL693" s="22"/>
      <c r="EM693" s="22"/>
      <c r="EN693" s="344"/>
      <c r="EO693" s="344"/>
      <c r="EP693" s="22"/>
      <c r="EQ693" s="22"/>
      <c r="ER693" s="22"/>
      <c r="ES693" s="344"/>
      <c r="ET693" s="349"/>
      <c r="EU693" s="344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T693" s="27"/>
      <c r="FU693" s="27"/>
    </row>
    <row r="694" spans="24:177" s="9" customFormat="1" ht="13.5" thickTop="1" x14ac:dyDescent="0.2">
      <c r="X694" s="50"/>
      <c r="AD694" s="22"/>
      <c r="AW694" s="8"/>
      <c r="AX694" s="108"/>
      <c r="AY694" s="102"/>
      <c r="AZ694" s="109"/>
      <c r="BA694" s="11"/>
      <c r="BB694" s="9" t="s">
        <v>557</v>
      </c>
      <c r="BC694" s="22">
        <v>102</v>
      </c>
      <c r="BD694" s="1463" t="s">
        <v>430</v>
      </c>
      <c r="BE694" s="1464"/>
      <c r="CA694" s="18"/>
      <c r="DH694" s="22"/>
      <c r="DI694" s="22"/>
      <c r="DJ694" s="22"/>
      <c r="DK694" s="344"/>
      <c r="DL694" s="361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22"/>
      <c r="EG694" s="22"/>
      <c r="EH694" s="22"/>
      <c r="EI694" s="22"/>
      <c r="EJ694" s="22"/>
      <c r="EK694" s="22"/>
      <c r="EL694" s="22"/>
      <c r="EM694" s="22"/>
      <c r="EN694" s="344"/>
      <c r="EO694" s="344"/>
      <c r="EP694" s="22"/>
      <c r="EQ694" s="22"/>
      <c r="ER694" s="22"/>
      <c r="ES694" s="344"/>
      <c r="ET694" s="349"/>
      <c r="EU694" s="344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T694" s="27"/>
      <c r="FU694" s="27"/>
    </row>
    <row r="695" spans="24:177" s="9" customFormat="1" x14ac:dyDescent="0.2">
      <c r="X695" s="50"/>
      <c r="AD695" s="22"/>
      <c r="AW695" s="8"/>
      <c r="AX695" s="108"/>
      <c r="AY695" s="102"/>
      <c r="AZ695" s="109"/>
      <c r="BA695" s="11"/>
      <c r="BB695" s="9" t="s">
        <v>557</v>
      </c>
      <c r="BC695" s="22">
        <v>103</v>
      </c>
      <c r="BD695" s="1456" t="s">
        <v>363</v>
      </c>
      <c r="BE695" s="1457"/>
      <c r="CA695" s="18"/>
      <c r="DH695" s="22"/>
      <c r="DI695" s="22"/>
      <c r="DJ695" s="22"/>
      <c r="DK695" s="344"/>
      <c r="DL695" s="361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22"/>
      <c r="EG695" s="22"/>
      <c r="EH695" s="22"/>
      <c r="EI695" s="22"/>
      <c r="EJ695" s="22"/>
      <c r="EK695" s="22"/>
      <c r="EL695" s="22"/>
      <c r="EM695" s="22"/>
      <c r="EN695" s="344"/>
      <c r="EO695" s="344"/>
      <c r="EP695" s="22"/>
      <c r="EQ695" s="22"/>
      <c r="ER695" s="22"/>
      <c r="ES695" s="344"/>
      <c r="ET695" s="349"/>
      <c r="EU695" s="344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T695" s="27"/>
      <c r="FU695" s="27"/>
    </row>
    <row r="696" spans="24:177" s="9" customFormat="1" x14ac:dyDescent="0.2">
      <c r="X696" s="50"/>
      <c r="AD696" s="22"/>
      <c r="AW696" s="8"/>
      <c r="AX696" s="108"/>
      <c r="AY696" s="102"/>
      <c r="AZ696" s="109"/>
      <c r="BA696" s="11"/>
      <c r="BB696" s="9" t="s">
        <v>557</v>
      </c>
      <c r="BC696" s="22">
        <v>104</v>
      </c>
      <c r="BD696" s="231">
        <v>4</v>
      </c>
      <c r="BE696" s="232" t="s">
        <v>595</v>
      </c>
      <c r="CA696" s="18"/>
      <c r="DH696" s="22"/>
      <c r="DI696" s="22"/>
      <c r="DJ696" s="22"/>
      <c r="DK696" s="344"/>
      <c r="DL696" s="361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22"/>
      <c r="EG696" s="22"/>
      <c r="EH696" s="22"/>
      <c r="EI696" s="22"/>
      <c r="EJ696" s="22"/>
      <c r="EK696" s="22"/>
      <c r="EL696" s="22"/>
      <c r="EM696" s="22"/>
      <c r="EN696" s="344"/>
      <c r="EO696" s="344"/>
      <c r="EP696" s="22"/>
      <c r="EQ696" s="22"/>
      <c r="ER696" s="22"/>
      <c r="ES696" s="344"/>
      <c r="ET696" s="349"/>
      <c r="EU696" s="344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T696" s="27"/>
      <c r="FU696" s="27"/>
    </row>
    <row r="697" spans="24:177" s="9" customFormat="1" x14ac:dyDescent="0.2">
      <c r="X697" s="50"/>
      <c r="AD697" s="22"/>
      <c r="AW697" s="8"/>
      <c r="AX697" s="108"/>
      <c r="AY697" s="102"/>
      <c r="AZ697" s="109"/>
      <c r="BA697" s="11"/>
      <c r="BB697" s="9" t="s">
        <v>557</v>
      </c>
      <c r="BC697" s="22">
        <v>105</v>
      </c>
      <c r="BD697" s="231">
        <v>4</v>
      </c>
      <c r="BE697" s="232" t="s">
        <v>597</v>
      </c>
      <c r="CA697" s="18"/>
      <c r="DH697" s="22"/>
      <c r="DI697" s="22"/>
      <c r="DJ697" s="22"/>
      <c r="DK697" s="344"/>
      <c r="DL697" s="361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22"/>
      <c r="EG697" s="22"/>
      <c r="EH697" s="22"/>
      <c r="EI697" s="22"/>
      <c r="EJ697" s="22"/>
      <c r="EK697" s="22"/>
      <c r="EL697" s="22"/>
      <c r="EM697" s="22"/>
      <c r="EN697" s="344"/>
      <c r="EO697" s="344"/>
      <c r="EP697" s="22"/>
      <c r="EQ697" s="22"/>
      <c r="ER697" s="22"/>
      <c r="ES697" s="344"/>
      <c r="ET697" s="349"/>
      <c r="EU697" s="344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T697" s="27"/>
      <c r="FU697" s="27"/>
    </row>
    <row r="698" spans="24:177" s="9" customFormat="1" x14ac:dyDescent="0.2">
      <c r="X698" s="50"/>
      <c r="AD698" s="22"/>
      <c r="AW698" s="8"/>
      <c r="AX698" s="108"/>
      <c r="AY698" s="102"/>
      <c r="AZ698" s="109"/>
      <c r="BA698" s="11"/>
      <c r="BB698" s="9" t="s">
        <v>557</v>
      </c>
      <c r="BC698" s="22">
        <v>106</v>
      </c>
      <c r="BD698" s="231">
        <v>4</v>
      </c>
      <c r="BE698" s="232" t="s">
        <v>290</v>
      </c>
      <c r="CA698" s="18"/>
      <c r="DH698" s="22"/>
      <c r="DI698" s="22"/>
      <c r="DJ698" s="22"/>
      <c r="DK698" s="344"/>
      <c r="DL698" s="361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22"/>
      <c r="EG698" s="22"/>
      <c r="EH698" s="22"/>
      <c r="EI698" s="22"/>
      <c r="EJ698" s="22"/>
      <c r="EK698" s="22"/>
      <c r="EL698" s="22"/>
      <c r="EM698" s="22"/>
      <c r="EN698" s="344"/>
      <c r="EO698" s="344"/>
      <c r="EP698" s="22"/>
      <c r="EQ698" s="22"/>
      <c r="ER698" s="22"/>
      <c r="ES698" s="344"/>
      <c r="ET698" s="349"/>
      <c r="EU698" s="344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T698" s="27"/>
      <c r="FU698" s="27"/>
    </row>
    <row r="699" spans="24:177" s="9" customFormat="1" x14ac:dyDescent="0.2">
      <c r="X699" s="50"/>
      <c r="AD699" s="22"/>
      <c r="AW699" s="8"/>
      <c r="AX699" s="108"/>
      <c r="AY699" s="102"/>
      <c r="AZ699" s="109"/>
      <c r="BA699" s="11"/>
      <c r="BB699" s="9" t="s">
        <v>557</v>
      </c>
      <c r="BC699" s="22">
        <v>107</v>
      </c>
      <c r="BD699" s="231">
        <v>4</v>
      </c>
      <c r="BE699" s="232" t="s">
        <v>287</v>
      </c>
      <c r="CA699" s="18"/>
      <c r="DH699" s="22"/>
      <c r="DI699" s="22"/>
      <c r="DJ699" s="22"/>
      <c r="DK699" s="344"/>
      <c r="DL699" s="361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22"/>
      <c r="EG699" s="22"/>
      <c r="EH699" s="22"/>
      <c r="EI699" s="22"/>
      <c r="EJ699" s="22"/>
      <c r="EK699" s="22"/>
      <c r="EL699" s="22"/>
      <c r="EM699" s="22"/>
      <c r="EN699" s="344"/>
      <c r="EO699" s="344"/>
      <c r="EP699" s="22"/>
      <c r="EQ699" s="22"/>
      <c r="ER699" s="22"/>
      <c r="ES699" s="344"/>
      <c r="ET699" s="349"/>
      <c r="EU699" s="344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T699" s="27"/>
      <c r="FU699" s="27"/>
    </row>
    <row r="700" spans="24:177" s="9" customFormat="1" x14ac:dyDescent="0.2">
      <c r="X700" s="50"/>
      <c r="AD700" s="22"/>
      <c r="AW700" s="8"/>
      <c r="AX700" s="108"/>
      <c r="AY700" s="102"/>
      <c r="AZ700" s="109"/>
      <c r="BA700" s="11"/>
      <c r="BB700" s="9" t="s">
        <v>557</v>
      </c>
      <c r="BC700" s="22">
        <v>108</v>
      </c>
      <c r="BD700" s="231">
        <v>4</v>
      </c>
      <c r="BE700" s="232" t="s">
        <v>291</v>
      </c>
      <c r="CA700" s="18"/>
      <c r="DH700" s="22"/>
      <c r="DI700" s="22"/>
      <c r="DJ700" s="22"/>
      <c r="DK700" s="344"/>
      <c r="DL700" s="361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22"/>
      <c r="EG700" s="22"/>
      <c r="EH700" s="22"/>
      <c r="EI700" s="22"/>
      <c r="EJ700" s="22"/>
      <c r="EK700" s="22"/>
      <c r="EL700" s="22"/>
      <c r="EM700" s="22"/>
      <c r="EN700" s="344"/>
      <c r="EO700" s="344"/>
      <c r="EP700" s="22"/>
      <c r="EQ700" s="22"/>
      <c r="ER700" s="22"/>
      <c r="ES700" s="344"/>
      <c r="ET700" s="349"/>
      <c r="EU700" s="344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T700" s="27"/>
      <c r="FU700" s="27"/>
    </row>
    <row r="701" spans="24:177" s="9" customFormat="1" x14ac:dyDescent="0.2">
      <c r="X701" s="50"/>
      <c r="AD701" s="22"/>
      <c r="AW701" s="8"/>
      <c r="AX701" s="108"/>
      <c r="AY701" s="102"/>
      <c r="AZ701" s="109"/>
      <c r="BA701" s="11"/>
      <c r="BB701" s="9" t="s">
        <v>557</v>
      </c>
      <c r="BC701" s="22">
        <v>109</v>
      </c>
      <c r="BD701" s="231">
        <v>6</v>
      </c>
      <c r="BE701" s="232" t="s">
        <v>595</v>
      </c>
      <c r="CA701" s="18"/>
      <c r="DH701" s="22"/>
      <c r="DI701" s="22"/>
      <c r="DJ701" s="22"/>
      <c r="DK701" s="344"/>
      <c r="DL701" s="361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22"/>
      <c r="EG701" s="22"/>
      <c r="EH701" s="22"/>
      <c r="EI701" s="22"/>
      <c r="EJ701" s="22"/>
      <c r="EK701" s="22"/>
      <c r="EL701" s="22"/>
      <c r="EM701" s="22"/>
      <c r="EN701" s="344"/>
      <c r="EO701" s="344"/>
      <c r="EP701" s="22"/>
      <c r="EQ701" s="22"/>
      <c r="ER701" s="22"/>
      <c r="ES701" s="344"/>
      <c r="ET701" s="349"/>
      <c r="EU701" s="344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T701" s="27"/>
      <c r="FU701" s="27"/>
    </row>
    <row r="702" spans="24:177" s="9" customFormat="1" x14ac:dyDescent="0.2">
      <c r="X702" s="50"/>
      <c r="AD702" s="22"/>
      <c r="AW702" s="8"/>
      <c r="AX702" s="108"/>
      <c r="AY702" s="102"/>
      <c r="AZ702" s="109"/>
      <c r="BA702" s="11"/>
      <c r="BB702" s="9" t="s">
        <v>557</v>
      </c>
      <c r="BC702" s="22">
        <v>110</v>
      </c>
      <c r="BD702" s="231">
        <v>6</v>
      </c>
      <c r="BE702" s="232" t="s">
        <v>597</v>
      </c>
      <c r="CA702" s="18"/>
      <c r="DH702" s="22"/>
      <c r="DI702" s="22"/>
      <c r="DJ702" s="22"/>
      <c r="DK702" s="344"/>
      <c r="DL702" s="361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22"/>
      <c r="EG702" s="22"/>
      <c r="EH702" s="22"/>
      <c r="EI702" s="22"/>
      <c r="EJ702" s="22"/>
      <c r="EK702" s="22"/>
      <c r="EL702" s="22"/>
      <c r="EM702" s="22"/>
      <c r="EN702" s="344"/>
      <c r="EO702" s="344"/>
      <c r="EP702" s="22"/>
      <c r="EQ702" s="22"/>
      <c r="ER702" s="22"/>
      <c r="ES702" s="344"/>
      <c r="ET702" s="349"/>
      <c r="EU702" s="344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T702" s="27"/>
      <c r="FU702" s="27"/>
    </row>
    <row r="703" spans="24:177" s="9" customFormat="1" x14ac:dyDescent="0.2">
      <c r="X703" s="50"/>
      <c r="AD703" s="22"/>
      <c r="AW703" s="8"/>
      <c r="AX703" s="108"/>
      <c r="AY703" s="102"/>
      <c r="AZ703" s="109"/>
      <c r="BA703" s="11"/>
      <c r="BB703" s="9" t="s">
        <v>557</v>
      </c>
      <c r="BC703" s="22">
        <v>111</v>
      </c>
      <c r="BD703" s="231">
        <v>6</v>
      </c>
      <c r="BE703" s="232" t="s">
        <v>290</v>
      </c>
      <c r="CA703" s="18"/>
      <c r="DH703" s="22"/>
      <c r="DI703" s="22"/>
      <c r="DJ703" s="22"/>
      <c r="DK703" s="344"/>
      <c r="DL703" s="361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22"/>
      <c r="EG703" s="22"/>
      <c r="EH703" s="22"/>
      <c r="EI703" s="22"/>
      <c r="EJ703" s="22"/>
      <c r="EK703" s="22"/>
      <c r="EL703" s="22"/>
      <c r="EM703" s="22"/>
      <c r="EN703" s="344"/>
      <c r="EO703" s="344"/>
      <c r="EP703" s="22"/>
      <c r="EQ703" s="22"/>
      <c r="ER703" s="22"/>
      <c r="ES703" s="344"/>
      <c r="ET703" s="349"/>
      <c r="EU703" s="344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T703" s="27"/>
      <c r="FU703" s="27"/>
    </row>
    <row r="704" spans="24:177" s="9" customFormat="1" x14ac:dyDescent="0.2">
      <c r="X704" s="50"/>
      <c r="AD704" s="22"/>
      <c r="AW704" s="8"/>
      <c r="AX704" s="108"/>
      <c r="AY704" s="102"/>
      <c r="AZ704" s="109"/>
      <c r="BA704" s="11"/>
      <c r="BB704" s="9" t="s">
        <v>557</v>
      </c>
      <c r="BC704" s="22">
        <v>112</v>
      </c>
      <c r="BD704" s="231">
        <v>6</v>
      </c>
      <c r="BE704" s="232" t="s">
        <v>287</v>
      </c>
      <c r="CA704" s="18"/>
      <c r="DH704" s="22"/>
      <c r="DI704" s="22"/>
      <c r="DJ704" s="22"/>
      <c r="DK704" s="344"/>
      <c r="DL704" s="361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22"/>
      <c r="EG704" s="22"/>
      <c r="EH704" s="22"/>
      <c r="EI704" s="22"/>
      <c r="EJ704" s="22"/>
      <c r="EK704" s="22"/>
      <c r="EL704" s="22"/>
      <c r="EM704" s="22"/>
      <c r="EN704" s="344"/>
      <c r="EO704" s="344"/>
      <c r="EP704" s="22"/>
      <c r="EQ704" s="22"/>
      <c r="ER704" s="22"/>
      <c r="ES704" s="344"/>
      <c r="ET704" s="349"/>
      <c r="EU704" s="344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T704" s="27"/>
      <c r="FU704" s="27"/>
    </row>
    <row r="705" spans="24:177" s="9" customFormat="1" x14ac:dyDescent="0.2">
      <c r="X705" s="50"/>
      <c r="AD705" s="22"/>
      <c r="AW705" s="8"/>
      <c r="AX705" s="108"/>
      <c r="AY705" s="102"/>
      <c r="AZ705" s="109"/>
      <c r="BA705" s="11"/>
      <c r="BB705" s="9" t="s">
        <v>557</v>
      </c>
      <c r="BC705" s="22">
        <v>113</v>
      </c>
      <c r="BD705" s="231">
        <v>6</v>
      </c>
      <c r="BE705" s="232" t="s">
        <v>291</v>
      </c>
      <c r="CA705" s="18"/>
      <c r="DH705" s="22"/>
      <c r="DI705" s="22"/>
      <c r="DJ705" s="22"/>
      <c r="DK705" s="344"/>
      <c r="DL705" s="361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22"/>
      <c r="EG705" s="22"/>
      <c r="EH705" s="22"/>
      <c r="EI705" s="22"/>
      <c r="EJ705" s="22"/>
      <c r="EK705" s="22"/>
      <c r="EL705" s="22"/>
      <c r="EM705" s="22"/>
      <c r="EN705" s="344"/>
      <c r="EO705" s="344"/>
      <c r="EP705" s="22"/>
      <c r="EQ705" s="22"/>
      <c r="ER705" s="22"/>
      <c r="ES705" s="344"/>
      <c r="ET705" s="349"/>
      <c r="EU705" s="344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T705" s="27"/>
      <c r="FU705" s="27"/>
    </row>
    <row r="706" spans="24:177" s="9" customFormat="1" x14ac:dyDescent="0.2">
      <c r="X706" s="50"/>
      <c r="AD706" s="22"/>
      <c r="AW706" s="8"/>
      <c r="AX706" s="108"/>
      <c r="AY706" s="102"/>
      <c r="AZ706" s="109"/>
      <c r="BA706" s="11"/>
      <c r="BB706" s="9" t="s">
        <v>557</v>
      </c>
      <c r="BC706" s="22">
        <v>114</v>
      </c>
      <c r="BD706" s="231">
        <v>10</v>
      </c>
      <c r="BE706" s="232" t="s">
        <v>595</v>
      </c>
      <c r="CA706" s="18"/>
      <c r="DH706" s="22"/>
      <c r="DI706" s="22"/>
      <c r="DJ706" s="22"/>
      <c r="DK706" s="344"/>
      <c r="DL706" s="361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22"/>
      <c r="EG706" s="22"/>
      <c r="EH706" s="22"/>
      <c r="EI706" s="22"/>
      <c r="EJ706" s="22"/>
      <c r="EK706" s="22"/>
      <c r="EL706" s="22"/>
      <c r="EM706" s="22"/>
      <c r="EN706" s="344"/>
      <c r="EO706" s="344"/>
      <c r="EP706" s="22"/>
      <c r="EQ706" s="22"/>
      <c r="ER706" s="22"/>
      <c r="ES706" s="344"/>
      <c r="ET706" s="349"/>
      <c r="EU706" s="344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T706" s="27"/>
      <c r="FU706" s="27"/>
    </row>
    <row r="707" spans="24:177" s="9" customFormat="1" x14ac:dyDescent="0.2">
      <c r="X707" s="50"/>
      <c r="AD707" s="22"/>
      <c r="AW707" s="8"/>
      <c r="AX707" s="108"/>
      <c r="AY707" s="102"/>
      <c r="AZ707" s="109"/>
      <c r="BA707" s="11"/>
      <c r="BB707" s="9" t="s">
        <v>557</v>
      </c>
      <c r="BC707" s="22">
        <v>115</v>
      </c>
      <c r="BD707" s="231">
        <v>10</v>
      </c>
      <c r="BE707" s="232" t="s">
        <v>597</v>
      </c>
      <c r="CA707" s="18"/>
      <c r="DH707" s="22"/>
      <c r="DI707" s="22"/>
      <c r="DJ707" s="22"/>
      <c r="DK707" s="344"/>
      <c r="DL707" s="361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22"/>
      <c r="EG707" s="22"/>
      <c r="EH707" s="22"/>
      <c r="EI707" s="22"/>
      <c r="EJ707" s="22"/>
      <c r="EK707" s="22"/>
      <c r="EL707" s="22"/>
      <c r="EM707" s="22"/>
      <c r="EN707" s="344"/>
      <c r="EO707" s="344"/>
      <c r="EP707" s="22"/>
      <c r="EQ707" s="22"/>
      <c r="ER707" s="22"/>
      <c r="ES707" s="344"/>
      <c r="ET707" s="349"/>
      <c r="EU707" s="344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T707" s="27"/>
      <c r="FU707" s="27"/>
    </row>
    <row r="708" spans="24:177" s="9" customFormat="1" x14ac:dyDescent="0.2">
      <c r="X708" s="50"/>
      <c r="AD708" s="22"/>
      <c r="AW708" s="8"/>
      <c r="AX708" s="108"/>
      <c r="AY708" s="102"/>
      <c r="AZ708" s="109"/>
      <c r="BA708" s="11"/>
      <c r="BB708" s="9" t="s">
        <v>557</v>
      </c>
      <c r="BC708" s="22">
        <v>116</v>
      </c>
      <c r="BD708" s="231">
        <v>10</v>
      </c>
      <c r="BE708" s="232" t="s">
        <v>367</v>
      </c>
      <c r="CA708" s="18"/>
      <c r="DH708" s="22"/>
      <c r="DI708" s="22"/>
      <c r="DJ708" s="22"/>
      <c r="DK708" s="344"/>
      <c r="DL708" s="361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22"/>
      <c r="EG708" s="22"/>
      <c r="EH708" s="22"/>
      <c r="EI708" s="22"/>
      <c r="EJ708" s="22"/>
      <c r="EK708" s="22"/>
      <c r="EL708" s="22"/>
      <c r="EM708" s="22"/>
      <c r="EN708" s="344"/>
      <c r="EO708" s="344"/>
      <c r="EP708" s="22"/>
      <c r="EQ708" s="22"/>
      <c r="ER708" s="22"/>
      <c r="ES708" s="344"/>
      <c r="ET708" s="349"/>
      <c r="EU708" s="344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T708" s="27"/>
      <c r="FU708" s="27"/>
    </row>
    <row r="709" spans="24:177" s="9" customFormat="1" x14ac:dyDescent="0.2">
      <c r="X709" s="50"/>
      <c r="AD709" s="22"/>
      <c r="AW709" s="8"/>
      <c r="AX709" s="108"/>
      <c r="AY709" s="102"/>
      <c r="AZ709" s="109"/>
      <c r="BA709" s="11"/>
      <c r="BB709" s="9" t="s">
        <v>557</v>
      </c>
      <c r="BC709" s="22">
        <v>117</v>
      </c>
      <c r="BD709" s="231">
        <v>10</v>
      </c>
      <c r="BE709" s="232" t="s">
        <v>290</v>
      </c>
      <c r="CA709" s="18"/>
      <c r="DH709" s="22"/>
      <c r="DI709" s="22"/>
      <c r="DJ709" s="22"/>
      <c r="DK709" s="344"/>
      <c r="DL709" s="361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22"/>
      <c r="EG709" s="22"/>
      <c r="EH709" s="22"/>
      <c r="EI709" s="22"/>
      <c r="EJ709" s="22"/>
      <c r="EK709" s="22"/>
      <c r="EL709" s="22"/>
      <c r="EM709" s="22"/>
      <c r="EN709" s="344"/>
      <c r="EO709" s="344"/>
      <c r="EP709" s="22"/>
      <c r="EQ709" s="22"/>
      <c r="ER709" s="22"/>
      <c r="ES709" s="344"/>
      <c r="ET709" s="349"/>
      <c r="EU709" s="344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T709" s="27"/>
      <c r="FU709" s="27"/>
    </row>
    <row r="710" spans="24:177" s="9" customFormat="1" x14ac:dyDescent="0.2">
      <c r="X710" s="50"/>
      <c r="AD710" s="22"/>
      <c r="AW710" s="8"/>
      <c r="AX710" s="108"/>
      <c r="AY710" s="102"/>
      <c r="AZ710" s="109"/>
      <c r="BA710" s="11"/>
      <c r="BB710" s="9" t="s">
        <v>557</v>
      </c>
      <c r="BC710" s="22">
        <v>118</v>
      </c>
      <c r="BD710" s="231">
        <v>10</v>
      </c>
      <c r="BE710" s="232" t="s">
        <v>287</v>
      </c>
      <c r="CA710" s="18"/>
      <c r="DH710" s="22"/>
      <c r="DI710" s="22"/>
      <c r="DJ710" s="22"/>
      <c r="DK710" s="344"/>
      <c r="DL710" s="361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22"/>
      <c r="EG710" s="22"/>
      <c r="EH710" s="22"/>
      <c r="EI710" s="22"/>
      <c r="EJ710" s="22"/>
      <c r="EK710" s="22"/>
      <c r="EL710" s="22"/>
      <c r="EM710" s="22"/>
      <c r="EN710" s="344"/>
      <c r="EO710" s="344"/>
      <c r="EP710" s="22"/>
      <c r="EQ710" s="22"/>
      <c r="ER710" s="22"/>
      <c r="ES710" s="344"/>
      <c r="ET710" s="349"/>
      <c r="EU710" s="344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T710" s="27"/>
      <c r="FU710" s="27"/>
    </row>
    <row r="711" spans="24:177" s="9" customFormat="1" x14ac:dyDescent="0.2">
      <c r="X711" s="50"/>
      <c r="AD711" s="22"/>
      <c r="AW711" s="8"/>
      <c r="AX711" s="108"/>
      <c r="AY711" s="102"/>
      <c r="AZ711" s="109"/>
      <c r="BA711" s="11"/>
      <c r="BB711" s="9" t="s">
        <v>557</v>
      </c>
      <c r="BC711" s="22">
        <v>119</v>
      </c>
      <c r="BD711" s="231">
        <v>10</v>
      </c>
      <c r="BE711" s="232" t="s">
        <v>291</v>
      </c>
      <c r="CA711" s="18"/>
      <c r="DH711" s="22"/>
      <c r="DI711" s="22"/>
      <c r="DJ711" s="22"/>
      <c r="DK711" s="344"/>
      <c r="DL711" s="361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22"/>
      <c r="EG711" s="22"/>
      <c r="EH711" s="22"/>
      <c r="EI711" s="22"/>
      <c r="EJ711" s="22"/>
      <c r="EK711" s="22"/>
      <c r="EL711" s="22"/>
      <c r="EM711" s="22"/>
      <c r="EN711" s="344"/>
      <c r="EO711" s="344"/>
      <c r="EP711" s="22"/>
      <c r="EQ711" s="22"/>
      <c r="ER711" s="22"/>
      <c r="ES711" s="344"/>
      <c r="ET711" s="349"/>
      <c r="EU711" s="344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T711" s="27"/>
      <c r="FU711" s="27"/>
    </row>
    <row r="712" spans="24:177" s="9" customFormat="1" x14ac:dyDescent="0.2">
      <c r="X712" s="50"/>
      <c r="AD712" s="22"/>
      <c r="AW712" s="8"/>
      <c r="AX712" s="108"/>
      <c r="AY712" s="102"/>
      <c r="AZ712" s="109"/>
      <c r="BA712" s="11"/>
      <c r="BB712" s="9" t="s">
        <v>557</v>
      </c>
      <c r="BC712" s="22">
        <v>120</v>
      </c>
      <c r="BD712" s="231">
        <v>13</v>
      </c>
      <c r="BE712" s="232" t="s">
        <v>290</v>
      </c>
      <c r="CA712" s="18"/>
      <c r="DH712" s="22"/>
      <c r="DI712" s="22"/>
      <c r="DJ712" s="22"/>
      <c r="DK712" s="344"/>
      <c r="DL712" s="361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22"/>
      <c r="EG712" s="22"/>
      <c r="EH712" s="22"/>
      <c r="EI712" s="22"/>
      <c r="EJ712" s="22"/>
      <c r="EK712" s="22"/>
      <c r="EL712" s="22"/>
      <c r="EM712" s="22"/>
      <c r="EN712" s="344"/>
      <c r="EO712" s="344"/>
      <c r="EP712" s="22"/>
      <c r="EQ712" s="22"/>
      <c r="ER712" s="22"/>
      <c r="ES712" s="344"/>
      <c r="ET712" s="349"/>
      <c r="EU712" s="344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T712" s="27"/>
      <c r="FU712" s="27"/>
    </row>
    <row r="713" spans="24:177" s="9" customFormat="1" x14ac:dyDescent="0.2">
      <c r="X713" s="50"/>
      <c r="AD713" s="22"/>
      <c r="AW713" s="8"/>
      <c r="AX713" s="108"/>
      <c r="AY713" s="102"/>
      <c r="AZ713" s="109"/>
      <c r="BA713" s="11"/>
      <c r="BB713" s="9" t="s">
        <v>557</v>
      </c>
      <c r="BC713" s="22">
        <v>121</v>
      </c>
      <c r="BD713" s="231">
        <v>13</v>
      </c>
      <c r="BE713" s="232" t="s">
        <v>287</v>
      </c>
      <c r="CA713" s="18"/>
      <c r="DH713" s="22"/>
      <c r="DI713" s="22"/>
      <c r="DJ713" s="22"/>
      <c r="DK713" s="344"/>
      <c r="DL713" s="361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22"/>
      <c r="EG713" s="22"/>
      <c r="EH713" s="22"/>
      <c r="EI713" s="22"/>
      <c r="EJ713" s="22"/>
      <c r="EK713" s="22"/>
      <c r="EL713" s="22"/>
      <c r="EM713" s="22"/>
      <c r="EN713" s="344"/>
      <c r="EO713" s="344"/>
      <c r="EP713" s="22"/>
      <c r="EQ713" s="22"/>
      <c r="ER713" s="22"/>
      <c r="ES713" s="344"/>
      <c r="ET713" s="349"/>
      <c r="EU713" s="344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T713" s="27"/>
      <c r="FU713" s="27"/>
    </row>
    <row r="714" spans="24:177" s="9" customFormat="1" x14ac:dyDescent="0.2">
      <c r="X714" s="50"/>
      <c r="AD714" s="22"/>
      <c r="AW714" s="8"/>
      <c r="AX714" s="108"/>
      <c r="AY714" s="102"/>
      <c r="AZ714" s="109"/>
      <c r="BA714" s="11"/>
      <c r="BB714" s="9" t="s">
        <v>557</v>
      </c>
      <c r="BC714" s="22">
        <v>122</v>
      </c>
      <c r="BD714" s="231">
        <v>13</v>
      </c>
      <c r="BE714" s="232" t="s">
        <v>291</v>
      </c>
      <c r="CA714" s="18"/>
      <c r="DH714" s="22"/>
      <c r="DI714" s="22"/>
      <c r="DJ714" s="22"/>
      <c r="DK714" s="344"/>
      <c r="DL714" s="361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22"/>
      <c r="EG714" s="22"/>
      <c r="EH714" s="22"/>
      <c r="EI714" s="22"/>
      <c r="EJ714" s="22"/>
      <c r="EK714" s="22"/>
      <c r="EL714" s="22"/>
      <c r="EM714" s="22"/>
      <c r="EN714" s="344"/>
      <c r="EO714" s="344"/>
      <c r="EP714" s="22"/>
      <c r="EQ714" s="22"/>
      <c r="ER714" s="22"/>
      <c r="ES714" s="344"/>
      <c r="ET714" s="349"/>
      <c r="EU714" s="344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T714" s="27"/>
      <c r="FU714" s="27"/>
    </row>
    <row r="715" spans="24:177" s="9" customFormat="1" x14ac:dyDescent="0.2">
      <c r="X715" s="50"/>
      <c r="AD715" s="22"/>
      <c r="AW715" s="8"/>
      <c r="AX715" s="108"/>
      <c r="AY715" s="102"/>
      <c r="AZ715" s="109"/>
      <c r="BA715" s="11"/>
      <c r="BB715" s="9" t="s">
        <v>557</v>
      </c>
      <c r="BC715" s="22">
        <v>123</v>
      </c>
      <c r="BD715" s="231">
        <v>16</v>
      </c>
      <c r="BE715" s="232" t="s">
        <v>595</v>
      </c>
      <c r="CA715" s="18"/>
      <c r="DH715" s="22"/>
      <c r="DI715" s="22"/>
      <c r="DJ715" s="22"/>
      <c r="DK715" s="344"/>
      <c r="DL715" s="361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22"/>
      <c r="EG715" s="22"/>
      <c r="EH715" s="22"/>
      <c r="EI715" s="22"/>
      <c r="EJ715" s="22"/>
      <c r="EK715" s="22"/>
      <c r="EL715" s="22"/>
      <c r="EM715" s="22"/>
      <c r="EN715" s="344"/>
      <c r="EO715" s="344"/>
      <c r="EP715" s="22"/>
      <c r="EQ715" s="22"/>
      <c r="ER715" s="22"/>
      <c r="ES715" s="344"/>
      <c r="ET715" s="349"/>
      <c r="EU715" s="344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T715" s="27"/>
      <c r="FU715" s="27"/>
    </row>
    <row r="716" spans="24:177" s="9" customFormat="1" x14ac:dyDescent="0.2">
      <c r="X716" s="50"/>
      <c r="AD716" s="22"/>
      <c r="AW716" s="8"/>
      <c r="AX716" s="108"/>
      <c r="AY716" s="102"/>
      <c r="AZ716" s="109"/>
      <c r="BA716" s="11"/>
      <c r="BB716" s="9" t="s">
        <v>557</v>
      </c>
      <c r="BC716" s="22">
        <v>124</v>
      </c>
      <c r="BD716" s="231">
        <v>16</v>
      </c>
      <c r="BE716" s="232" t="s">
        <v>597</v>
      </c>
      <c r="CA716" s="18"/>
      <c r="DH716" s="22"/>
      <c r="DI716" s="22"/>
      <c r="DJ716" s="22"/>
      <c r="DK716" s="344"/>
      <c r="DL716" s="361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22"/>
      <c r="EG716" s="22"/>
      <c r="EH716" s="22"/>
      <c r="EI716" s="22"/>
      <c r="EJ716" s="22"/>
      <c r="EK716" s="22"/>
      <c r="EL716" s="22"/>
      <c r="EM716" s="22"/>
      <c r="EN716" s="344"/>
      <c r="EO716" s="344"/>
      <c r="EP716" s="22"/>
      <c r="EQ716" s="22"/>
      <c r="ER716" s="22"/>
      <c r="ES716" s="344"/>
      <c r="ET716" s="349"/>
      <c r="EU716" s="344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T716" s="27"/>
      <c r="FU716" s="27"/>
    </row>
    <row r="717" spans="24:177" s="9" customFormat="1" x14ac:dyDescent="0.2">
      <c r="X717" s="50"/>
      <c r="AD717" s="22"/>
      <c r="AW717" s="8"/>
      <c r="AX717" s="108"/>
      <c r="AY717" s="102"/>
      <c r="AZ717" s="109"/>
      <c r="BA717" s="11"/>
      <c r="BB717" s="9" t="s">
        <v>557</v>
      </c>
      <c r="BC717" s="22">
        <v>125</v>
      </c>
      <c r="BD717" s="231">
        <v>16</v>
      </c>
      <c r="BE717" s="232" t="s">
        <v>367</v>
      </c>
      <c r="CA717" s="18"/>
      <c r="DH717" s="22"/>
      <c r="DI717" s="22"/>
      <c r="DJ717" s="22"/>
      <c r="DK717" s="344"/>
      <c r="DL717" s="361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22"/>
      <c r="EG717" s="22"/>
      <c r="EH717" s="22"/>
      <c r="EI717" s="22"/>
      <c r="EJ717" s="22"/>
      <c r="EK717" s="22"/>
      <c r="EL717" s="22"/>
      <c r="EM717" s="22"/>
      <c r="EN717" s="344"/>
      <c r="EO717" s="344"/>
      <c r="EP717" s="22"/>
      <c r="EQ717" s="22"/>
      <c r="ER717" s="22"/>
      <c r="ES717" s="344"/>
      <c r="ET717" s="349"/>
      <c r="EU717" s="344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T717" s="27"/>
      <c r="FU717" s="27"/>
    </row>
    <row r="718" spans="24:177" s="9" customFormat="1" x14ac:dyDescent="0.2">
      <c r="X718" s="50"/>
      <c r="AD718" s="22"/>
      <c r="AW718" s="8"/>
      <c r="AX718" s="108"/>
      <c r="AY718" s="102"/>
      <c r="AZ718" s="109"/>
      <c r="BA718" s="11"/>
      <c r="BB718" s="9" t="s">
        <v>557</v>
      </c>
      <c r="BC718" s="22">
        <v>126</v>
      </c>
      <c r="BD718" s="231">
        <v>16</v>
      </c>
      <c r="BE718" s="232" t="s">
        <v>290</v>
      </c>
      <c r="CA718" s="18"/>
      <c r="DH718" s="22"/>
      <c r="DI718" s="22"/>
      <c r="DJ718" s="22"/>
      <c r="DK718" s="344"/>
      <c r="DL718" s="361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22"/>
      <c r="EG718" s="22"/>
      <c r="EH718" s="22"/>
      <c r="EI718" s="22"/>
      <c r="EJ718" s="22"/>
      <c r="EK718" s="22"/>
      <c r="EL718" s="22"/>
      <c r="EM718" s="22"/>
      <c r="EN718" s="344"/>
      <c r="EO718" s="344"/>
      <c r="EP718" s="22"/>
      <c r="EQ718" s="22"/>
      <c r="ER718" s="22"/>
      <c r="ES718" s="344"/>
      <c r="ET718" s="349"/>
      <c r="EU718" s="344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T718" s="27"/>
      <c r="FU718" s="27"/>
    </row>
    <row r="719" spans="24:177" s="9" customFormat="1" x14ac:dyDescent="0.2">
      <c r="X719" s="50"/>
      <c r="AD719" s="22"/>
      <c r="AW719" s="8"/>
      <c r="AX719" s="108"/>
      <c r="AY719" s="102"/>
      <c r="AZ719" s="109"/>
      <c r="BA719" s="11"/>
      <c r="BB719" s="9" t="s">
        <v>557</v>
      </c>
      <c r="BC719" s="22">
        <v>127</v>
      </c>
      <c r="BD719" s="231">
        <v>16</v>
      </c>
      <c r="BE719" s="232" t="s">
        <v>287</v>
      </c>
      <c r="CA719" s="18"/>
      <c r="DH719" s="22"/>
      <c r="DI719" s="22"/>
      <c r="DJ719" s="22"/>
      <c r="DK719" s="344"/>
      <c r="DL719" s="361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22"/>
      <c r="EG719" s="22"/>
      <c r="EH719" s="22"/>
      <c r="EI719" s="22"/>
      <c r="EJ719" s="22"/>
      <c r="EK719" s="22"/>
      <c r="EL719" s="22"/>
      <c r="EM719" s="22"/>
      <c r="EN719" s="344"/>
      <c r="EO719" s="344"/>
      <c r="EP719" s="22"/>
      <c r="EQ719" s="22"/>
      <c r="ER719" s="22"/>
      <c r="ES719" s="344"/>
      <c r="ET719" s="349"/>
      <c r="EU719" s="344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T719" s="27"/>
      <c r="FU719" s="27"/>
    </row>
    <row r="720" spans="24:177" s="9" customFormat="1" x14ac:dyDescent="0.2">
      <c r="X720" s="50"/>
      <c r="AD720" s="22"/>
      <c r="AW720" s="8"/>
      <c r="AX720" s="108"/>
      <c r="AY720" s="102"/>
      <c r="AZ720" s="109"/>
      <c r="BA720" s="11"/>
      <c r="BB720" s="9" t="s">
        <v>557</v>
      </c>
      <c r="BC720" s="22">
        <v>128</v>
      </c>
      <c r="BD720" s="231">
        <v>16</v>
      </c>
      <c r="BE720" s="232" t="s">
        <v>291</v>
      </c>
      <c r="CA720" s="18"/>
      <c r="DH720" s="22"/>
      <c r="DI720" s="22"/>
      <c r="DJ720" s="22"/>
      <c r="DK720" s="344"/>
      <c r="DL720" s="361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22"/>
      <c r="EG720" s="22"/>
      <c r="EH720" s="22"/>
      <c r="EI720" s="22"/>
      <c r="EJ720" s="22"/>
      <c r="EK720" s="22"/>
      <c r="EL720" s="22"/>
      <c r="EM720" s="22"/>
      <c r="EN720" s="344"/>
      <c r="EO720" s="344"/>
      <c r="EP720" s="22"/>
      <c r="EQ720" s="22"/>
      <c r="ER720" s="22"/>
      <c r="ES720" s="344"/>
      <c r="ET720" s="349"/>
      <c r="EU720" s="344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T720" s="27"/>
      <c r="FU720" s="27"/>
    </row>
    <row r="721" spans="24:177" s="9" customFormat="1" x14ac:dyDescent="0.2">
      <c r="X721" s="50"/>
      <c r="AD721" s="22"/>
      <c r="AW721" s="8"/>
      <c r="AX721" s="108"/>
      <c r="AY721" s="102"/>
      <c r="AZ721" s="109"/>
      <c r="BA721" s="11"/>
      <c r="BB721" s="9" t="s">
        <v>557</v>
      </c>
      <c r="BC721" s="22">
        <v>129</v>
      </c>
      <c r="BD721" s="231">
        <v>20</v>
      </c>
      <c r="BE721" s="232" t="s">
        <v>595</v>
      </c>
      <c r="CA721" s="18"/>
      <c r="DH721" s="22"/>
      <c r="DI721" s="22"/>
      <c r="DJ721" s="22"/>
      <c r="DK721" s="344"/>
      <c r="DL721" s="361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22"/>
      <c r="EG721" s="22"/>
      <c r="EH721" s="22"/>
      <c r="EI721" s="22"/>
      <c r="EJ721" s="22"/>
      <c r="EK721" s="22"/>
      <c r="EL721" s="22"/>
      <c r="EM721" s="22"/>
      <c r="EN721" s="344"/>
      <c r="EO721" s="344"/>
      <c r="EP721" s="22"/>
      <c r="EQ721" s="22"/>
      <c r="ER721" s="22"/>
      <c r="ES721" s="344"/>
      <c r="ET721" s="349"/>
      <c r="EU721" s="344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T721" s="27"/>
      <c r="FU721" s="27"/>
    </row>
    <row r="722" spans="24:177" s="9" customFormat="1" x14ac:dyDescent="0.2">
      <c r="X722" s="50"/>
      <c r="AD722" s="22"/>
      <c r="AW722" s="8"/>
      <c r="AX722" s="108"/>
      <c r="AY722" s="102"/>
      <c r="AZ722" s="109"/>
      <c r="BA722" s="11"/>
      <c r="BB722" s="9" t="s">
        <v>557</v>
      </c>
      <c r="BC722" s="22">
        <v>130</v>
      </c>
      <c r="BD722" s="231">
        <v>20</v>
      </c>
      <c r="BE722" s="232" t="s">
        <v>597</v>
      </c>
      <c r="CA722" s="18"/>
      <c r="DH722" s="22"/>
      <c r="DI722" s="22"/>
      <c r="DJ722" s="22"/>
      <c r="DK722" s="344"/>
      <c r="DL722" s="361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22"/>
      <c r="EG722" s="22"/>
      <c r="EH722" s="22"/>
      <c r="EI722" s="22"/>
      <c r="EJ722" s="22"/>
      <c r="EK722" s="22"/>
      <c r="EL722" s="22"/>
      <c r="EM722" s="22"/>
      <c r="EN722" s="344"/>
      <c r="EO722" s="344"/>
      <c r="EP722" s="22"/>
      <c r="EQ722" s="22"/>
      <c r="ER722" s="22"/>
      <c r="ES722" s="344"/>
      <c r="ET722" s="349"/>
      <c r="EU722" s="344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T722" s="27"/>
      <c r="FU722" s="27"/>
    </row>
    <row r="723" spans="24:177" s="9" customFormat="1" x14ac:dyDescent="0.2">
      <c r="X723" s="50"/>
      <c r="AD723" s="22"/>
      <c r="AW723" s="8"/>
      <c r="AX723" s="108"/>
      <c r="AY723" s="102"/>
      <c r="AZ723" s="109"/>
      <c r="BA723" s="11"/>
      <c r="BB723" s="9" t="s">
        <v>557</v>
      </c>
      <c r="BC723" s="22">
        <v>131</v>
      </c>
      <c r="BD723" s="231">
        <v>20</v>
      </c>
      <c r="BE723" s="232" t="s">
        <v>290</v>
      </c>
      <c r="CA723" s="18"/>
      <c r="DH723" s="22"/>
      <c r="DI723" s="22"/>
      <c r="DJ723" s="22"/>
      <c r="DK723" s="344"/>
      <c r="DL723" s="361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22"/>
      <c r="EG723" s="22"/>
      <c r="EH723" s="22"/>
      <c r="EI723" s="22"/>
      <c r="EJ723" s="22"/>
      <c r="EK723" s="22"/>
      <c r="EL723" s="22"/>
      <c r="EM723" s="22"/>
      <c r="EN723" s="344"/>
      <c r="EO723" s="344"/>
      <c r="EP723" s="22"/>
      <c r="EQ723" s="22"/>
      <c r="ER723" s="22"/>
      <c r="ES723" s="344"/>
      <c r="ET723" s="349"/>
      <c r="EU723" s="344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T723" s="27"/>
      <c r="FU723" s="27"/>
    </row>
    <row r="724" spans="24:177" s="9" customFormat="1" x14ac:dyDescent="0.2">
      <c r="X724" s="50"/>
      <c r="AD724" s="22"/>
      <c r="AW724" s="8"/>
      <c r="AX724" s="108"/>
      <c r="AY724" s="102"/>
      <c r="AZ724" s="109"/>
      <c r="BA724" s="11"/>
      <c r="BB724" s="9" t="s">
        <v>557</v>
      </c>
      <c r="BC724" s="22">
        <v>132</v>
      </c>
      <c r="BD724" s="231">
        <v>20</v>
      </c>
      <c r="BE724" s="232" t="s">
        <v>287</v>
      </c>
      <c r="CA724" s="18"/>
      <c r="DH724" s="22"/>
      <c r="DI724" s="22"/>
      <c r="DJ724" s="22"/>
      <c r="DK724" s="344"/>
      <c r="DL724" s="361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22"/>
      <c r="EG724" s="22"/>
      <c r="EH724" s="22"/>
      <c r="EI724" s="22"/>
      <c r="EJ724" s="22"/>
      <c r="EK724" s="22"/>
      <c r="EL724" s="22"/>
      <c r="EM724" s="22"/>
      <c r="EN724" s="344"/>
      <c r="EO724" s="344"/>
      <c r="EP724" s="22"/>
      <c r="EQ724" s="22"/>
      <c r="ER724" s="22"/>
      <c r="ES724" s="344"/>
      <c r="ET724" s="349"/>
      <c r="EU724" s="344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T724" s="27"/>
      <c r="FU724" s="27"/>
    </row>
    <row r="725" spans="24:177" s="9" customFormat="1" x14ac:dyDescent="0.2">
      <c r="X725" s="50"/>
      <c r="AD725" s="22"/>
      <c r="AW725" s="8"/>
      <c r="AX725" s="108"/>
      <c r="AY725" s="102"/>
      <c r="AZ725" s="109"/>
      <c r="BA725" s="11"/>
      <c r="BB725" s="9" t="s">
        <v>557</v>
      </c>
      <c r="BC725" s="22">
        <v>133</v>
      </c>
      <c r="BD725" s="231">
        <v>20</v>
      </c>
      <c r="BE725" s="232" t="s">
        <v>291</v>
      </c>
      <c r="CA725" s="18"/>
      <c r="DH725" s="22"/>
      <c r="DI725" s="22"/>
      <c r="DJ725" s="22"/>
      <c r="DK725" s="344"/>
      <c r="DL725" s="361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22"/>
      <c r="EG725" s="22"/>
      <c r="EH725" s="22"/>
      <c r="EI725" s="22"/>
      <c r="EJ725" s="22"/>
      <c r="EK725" s="22"/>
      <c r="EL725" s="22"/>
      <c r="EM725" s="22"/>
      <c r="EN725" s="344"/>
      <c r="EO725" s="344"/>
      <c r="EP725" s="22"/>
      <c r="EQ725" s="22"/>
      <c r="ER725" s="22"/>
      <c r="ES725" s="344"/>
      <c r="ET725" s="349"/>
      <c r="EU725" s="344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T725" s="27"/>
      <c r="FU725" s="27"/>
    </row>
    <row r="726" spans="24:177" s="9" customFormat="1" x14ac:dyDescent="0.2">
      <c r="X726" s="50"/>
      <c r="AD726" s="22"/>
      <c r="AW726" s="8"/>
      <c r="AX726" s="108"/>
      <c r="AY726" s="102"/>
      <c r="AZ726" s="109"/>
      <c r="BA726" s="11"/>
      <c r="BB726" s="9" t="s">
        <v>557</v>
      </c>
      <c r="BC726" s="22">
        <v>134</v>
      </c>
      <c r="BD726" s="231">
        <v>25</v>
      </c>
      <c r="BE726" s="232" t="s">
        <v>595</v>
      </c>
      <c r="CA726" s="18"/>
      <c r="DH726" s="22"/>
      <c r="DI726" s="22"/>
      <c r="DJ726" s="22"/>
      <c r="DK726" s="344"/>
      <c r="DL726" s="361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22"/>
      <c r="EG726" s="22"/>
      <c r="EH726" s="22"/>
      <c r="EI726" s="22"/>
      <c r="EJ726" s="22"/>
      <c r="EK726" s="22"/>
      <c r="EL726" s="22"/>
      <c r="EM726" s="22"/>
      <c r="EN726" s="344"/>
      <c r="EO726" s="344"/>
      <c r="EP726" s="22"/>
      <c r="EQ726" s="22"/>
      <c r="ER726" s="22"/>
      <c r="ES726" s="344"/>
      <c r="ET726" s="349"/>
      <c r="EU726" s="344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T726" s="27"/>
      <c r="FU726" s="27"/>
    </row>
    <row r="727" spans="24:177" s="9" customFormat="1" x14ac:dyDescent="0.2">
      <c r="X727" s="50"/>
      <c r="AD727" s="22"/>
      <c r="AW727" s="8"/>
      <c r="AX727" s="108"/>
      <c r="AY727" s="102"/>
      <c r="AZ727" s="109"/>
      <c r="BA727" s="11"/>
      <c r="BB727" s="9" t="s">
        <v>557</v>
      </c>
      <c r="BC727" s="22">
        <v>135</v>
      </c>
      <c r="BD727" s="231">
        <v>25</v>
      </c>
      <c r="BE727" s="232" t="s">
        <v>597</v>
      </c>
      <c r="CA727" s="18"/>
      <c r="DH727" s="22"/>
      <c r="DI727" s="22"/>
      <c r="DJ727" s="22"/>
      <c r="DK727" s="344"/>
      <c r="DL727" s="361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22"/>
      <c r="EG727" s="22"/>
      <c r="EH727" s="22"/>
      <c r="EI727" s="22"/>
      <c r="EJ727" s="22"/>
      <c r="EK727" s="22"/>
      <c r="EL727" s="22"/>
      <c r="EM727" s="22"/>
      <c r="EN727" s="344"/>
      <c r="EO727" s="344"/>
      <c r="EP727" s="22"/>
      <c r="EQ727" s="22"/>
      <c r="ER727" s="22"/>
      <c r="ES727" s="344"/>
      <c r="ET727" s="349"/>
      <c r="EU727" s="344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T727" s="27"/>
      <c r="FU727" s="27"/>
    </row>
    <row r="728" spans="24:177" s="9" customFormat="1" x14ac:dyDescent="0.2">
      <c r="X728" s="50"/>
      <c r="AD728" s="22"/>
      <c r="AW728" s="8"/>
      <c r="AX728" s="108"/>
      <c r="AY728" s="102"/>
      <c r="AZ728" s="109"/>
      <c r="BA728" s="11"/>
      <c r="BB728" s="9" t="s">
        <v>557</v>
      </c>
      <c r="BC728" s="22">
        <v>136</v>
      </c>
      <c r="BD728" s="231">
        <v>25</v>
      </c>
      <c r="BE728" s="232" t="s">
        <v>290</v>
      </c>
      <c r="CA728" s="18"/>
      <c r="DH728" s="22"/>
      <c r="DI728" s="22"/>
      <c r="DJ728" s="22"/>
      <c r="DK728" s="344"/>
      <c r="DL728" s="361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22"/>
      <c r="EG728" s="22"/>
      <c r="EH728" s="22"/>
      <c r="EI728" s="22"/>
      <c r="EJ728" s="22"/>
      <c r="EK728" s="22"/>
      <c r="EL728" s="22"/>
      <c r="EM728" s="22"/>
      <c r="EN728" s="344"/>
      <c r="EO728" s="344"/>
      <c r="EP728" s="22"/>
      <c r="EQ728" s="22"/>
      <c r="ER728" s="22"/>
      <c r="ES728" s="344"/>
      <c r="ET728" s="349"/>
      <c r="EU728" s="344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T728" s="27"/>
      <c r="FU728" s="27"/>
    </row>
    <row r="729" spans="24:177" s="9" customFormat="1" x14ac:dyDescent="0.2">
      <c r="X729" s="50"/>
      <c r="AD729" s="22"/>
      <c r="AW729" s="8"/>
      <c r="AX729" s="108"/>
      <c r="AY729" s="102"/>
      <c r="AZ729" s="109"/>
      <c r="BA729" s="11"/>
      <c r="BB729" s="9" t="s">
        <v>557</v>
      </c>
      <c r="BC729" s="22">
        <v>137</v>
      </c>
      <c r="BD729" s="231">
        <v>25</v>
      </c>
      <c r="BE729" s="232" t="s">
        <v>287</v>
      </c>
      <c r="CA729" s="18"/>
      <c r="DH729" s="22"/>
      <c r="DI729" s="22"/>
      <c r="DJ729" s="22"/>
      <c r="DK729" s="344"/>
      <c r="DL729" s="361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22"/>
      <c r="EG729" s="22"/>
      <c r="EH729" s="22"/>
      <c r="EI729" s="22"/>
      <c r="EJ729" s="22"/>
      <c r="EK729" s="22"/>
      <c r="EL729" s="22"/>
      <c r="EM729" s="22"/>
      <c r="EN729" s="344"/>
      <c r="EO729" s="344"/>
      <c r="EP729" s="22"/>
      <c r="EQ729" s="22"/>
      <c r="ER729" s="22"/>
      <c r="ES729" s="344"/>
      <c r="ET729" s="349"/>
      <c r="EU729" s="344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T729" s="27"/>
      <c r="FU729" s="27"/>
    </row>
    <row r="730" spans="24:177" s="9" customFormat="1" x14ac:dyDescent="0.2">
      <c r="X730" s="50"/>
      <c r="AD730" s="22"/>
      <c r="AW730" s="8"/>
      <c r="AX730" s="108"/>
      <c r="AY730" s="102"/>
      <c r="AZ730" s="109"/>
      <c r="BA730" s="11"/>
      <c r="BB730" s="9" t="s">
        <v>557</v>
      </c>
      <c r="BC730" s="22">
        <v>138</v>
      </c>
      <c r="BD730" s="231">
        <v>25</v>
      </c>
      <c r="BE730" s="232" t="s">
        <v>291</v>
      </c>
      <c r="CA730" s="18"/>
      <c r="DH730" s="22"/>
      <c r="DI730" s="22"/>
      <c r="DJ730" s="22"/>
      <c r="DK730" s="344"/>
      <c r="DL730" s="361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22"/>
      <c r="EG730" s="22"/>
      <c r="EH730" s="22"/>
      <c r="EI730" s="22"/>
      <c r="EJ730" s="22"/>
      <c r="EK730" s="22"/>
      <c r="EL730" s="22"/>
      <c r="EM730" s="22"/>
      <c r="EN730" s="344"/>
      <c r="EO730" s="344"/>
      <c r="EP730" s="22"/>
      <c r="EQ730" s="22"/>
      <c r="ER730" s="22"/>
      <c r="ES730" s="344"/>
      <c r="ET730" s="349"/>
      <c r="EU730" s="344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T730" s="27"/>
      <c r="FU730" s="27"/>
    </row>
    <row r="731" spans="24:177" s="9" customFormat="1" x14ac:dyDescent="0.2">
      <c r="X731" s="50"/>
      <c r="AD731" s="22"/>
      <c r="AW731" s="8"/>
      <c r="AX731" s="108"/>
      <c r="AY731" s="102"/>
      <c r="AZ731" s="109"/>
      <c r="BA731" s="11"/>
      <c r="BB731" s="9" t="s">
        <v>557</v>
      </c>
      <c r="BC731" s="22">
        <v>139</v>
      </c>
      <c r="BD731" s="231">
        <v>32</v>
      </c>
      <c r="BE731" s="232" t="s">
        <v>595</v>
      </c>
      <c r="CA731" s="18"/>
      <c r="DH731" s="22"/>
      <c r="DI731" s="22"/>
      <c r="DJ731" s="22"/>
      <c r="DK731" s="344"/>
      <c r="DL731" s="361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22"/>
      <c r="EG731" s="22"/>
      <c r="EH731" s="22"/>
      <c r="EI731" s="22"/>
      <c r="EJ731" s="22"/>
      <c r="EK731" s="22"/>
      <c r="EL731" s="22"/>
      <c r="EM731" s="22"/>
      <c r="EN731" s="344"/>
      <c r="EO731" s="344"/>
      <c r="EP731" s="22"/>
      <c r="EQ731" s="22"/>
      <c r="ER731" s="22"/>
      <c r="ES731" s="344"/>
      <c r="ET731" s="349"/>
      <c r="EU731" s="344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T731" s="27"/>
      <c r="FU731" s="27"/>
    </row>
    <row r="732" spans="24:177" s="9" customFormat="1" x14ac:dyDescent="0.2">
      <c r="X732" s="50"/>
      <c r="AD732" s="22"/>
      <c r="AW732" s="8"/>
      <c r="AX732" s="108"/>
      <c r="AY732" s="102"/>
      <c r="AZ732" s="109"/>
      <c r="BA732" s="11"/>
      <c r="BB732" s="9" t="s">
        <v>557</v>
      </c>
      <c r="BC732" s="22">
        <v>140</v>
      </c>
      <c r="BD732" s="231">
        <v>32</v>
      </c>
      <c r="BE732" s="232" t="s">
        <v>597</v>
      </c>
      <c r="CA732" s="18"/>
      <c r="DH732" s="22"/>
      <c r="DI732" s="22"/>
      <c r="DJ732" s="22"/>
      <c r="DK732" s="344"/>
      <c r="DL732" s="361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22"/>
      <c r="EG732" s="22"/>
      <c r="EH732" s="22"/>
      <c r="EI732" s="22"/>
      <c r="EJ732" s="22"/>
      <c r="EK732" s="22"/>
      <c r="EL732" s="22"/>
      <c r="EM732" s="22"/>
      <c r="EN732" s="344"/>
      <c r="EO732" s="344"/>
      <c r="EP732" s="22"/>
      <c r="EQ732" s="22"/>
      <c r="ER732" s="22"/>
      <c r="ES732" s="344"/>
      <c r="ET732" s="349"/>
      <c r="EU732" s="344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T732" s="27"/>
      <c r="FU732" s="27"/>
    </row>
    <row r="733" spans="24:177" s="9" customFormat="1" x14ac:dyDescent="0.2">
      <c r="X733" s="50"/>
      <c r="AD733" s="22"/>
      <c r="AW733" s="8"/>
      <c r="AX733" s="108"/>
      <c r="AY733" s="102"/>
      <c r="AZ733" s="109"/>
      <c r="BA733" s="11"/>
      <c r="BB733" s="9" t="s">
        <v>557</v>
      </c>
      <c r="BC733" s="22">
        <v>141</v>
      </c>
      <c r="BD733" s="231">
        <v>32</v>
      </c>
      <c r="BE733" s="232" t="s">
        <v>290</v>
      </c>
      <c r="CA733" s="18"/>
      <c r="DH733" s="22"/>
      <c r="DI733" s="22"/>
      <c r="DJ733" s="22"/>
      <c r="DK733" s="344"/>
      <c r="DL733" s="361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22"/>
      <c r="EG733" s="22"/>
      <c r="EH733" s="22"/>
      <c r="EI733" s="22"/>
      <c r="EJ733" s="22"/>
      <c r="EK733" s="22"/>
      <c r="EL733" s="22"/>
      <c r="EM733" s="22"/>
      <c r="EN733" s="344"/>
      <c r="EO733" s="344"/>
      <c r="EP733" s="22"/>
      <c r="EQ733" s="22"/>
      <c r="ER733" s="22"/>
      <c r="ES733" s="344"/>
      <c r="ET733" s="349"/>
      <c r="EU733" s="344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T733" s="27"/>
      <c r="FU733" s="27"/>
    </row>
    <row r="734" spans="24:177" s="9" customFormat="1" x14ac:dyDescent="0.2">
      <c r="X734" s="50"/>
      <c r="AD734" s="22"/>
      <c r="AW734" s="8"/>
      <c r="AX734" s="108"/>
      <c r="AY734" s="102"/>
      <c r="AZ734" s="109"/>
      <c r="BA734" s="11"/>
      <c r="BB734" s="9" t="s">
        <v>557</v>
      </c>
      <c r="BC734" s="22">
        <v>142</v>
      </c>
      <c r="BD734" s="231">
        <v>32</v>
      </c>
      <c r="BE734" s="232" t="s">
        <v>287</v>
      </c>
      <c r="CA734" s="18"/>
      <c r="DH734" s="22"/>
      <c r="DI734" s="22"/>
      <c r="DJ734" s="22"/>
      <c r="DK734" s="344"/>
      <c r="DL734" s="361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22"/>
      <c r="EG734" s="22"/>
      <c r="EH734" s="22"/>
      <c r="EI734" s="22"/>
      <c r="EJ734" s="22"/>
      <c r="EK734" s="22"/>
      <c r="EL734" s="22"/>
      <c r="EM734" s="22"/>
      <c r="EN734" s="344"/>
      <c r="EO734" s="344"/>
      <c r="EP734" s="22"/>
      <c r="EQ734" s="22"/>
      <c r="ER734" s="22"/>
      <c r="ES734" s="344"/>
      <c r="ET734" s="349"/>
      <c r="EU734" s="344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T734" s="27"/>
      <c r="FU734" s="27"/>
    </row>
    <row r="735" spans="24:177" s="9" customFormat="1" x14ac:dyDescent="0.2">
      <c r="X735" s="50"/>
      <c r="AD735" s="22"/>
      <c r="AW735" s="8"/>
      <c r="AX735" s="108"/>
      <c r="AY735" s="102"/>
      <c r="AZ735" s="109"/>
      <c r="BA735" s="11"/>
      <c r="BB735" s="9" t="s">
        <v>557</v>
      </c>
      <c r="BC735" s="22">
        <v>143</v>
      </c>
      <c r="BD735" s="231">
        <v>32</v>
      </c>
      <c r="BE735" s="232" t="s">
        <v>291</v>
      </c>
      <c r="CA735" s="18"/>
      <c r="DH735" s="22"/>
      <c r="DI735" s="22"/>
      <c r="DJ735" s="22"/>
      <c r="DK735" s="344"/>
      <c r="DL735" s="361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22"/>
      <c r="EG735" s="22"/>
      <c r="EH735" s="22"/>
      <c r="EI735" s="22"/>
      <c r="EJ735" s="22"/>
      <c r="EK735" s="22"/>
      <c r="EL735" s="22"/>
      <c r="EM735" s="22"/>
      <c r="EN735" s="344"/>
      <c r="EO735" s="344"/>
      <c r="EP735" s="22"/>
      <c r="EQ735" s="22"/>
      <c r="ER735" s="22"/>
      <c r="ES735" s="344"/>
      <c r="ET735" s="349"/>
      <c r="EU735" s="344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T735" s="27"/>
      <c r="FU735" s="27"/>
    </row>
    <row r="736" spans="24:177" s="9" customFormat="1" x14ac:dyDescent="0.2">
      <c r="X736" s="50"/>
      <c r="AD736" s="22"/>
      <c r="AW736" s="8"/>
      <c r="AX736" s="108"/>
      <c r="AY736" s="102"/>
      <c r="AZ736" s="109"/>
      <c r="BA736" s="11"/>
      <c r="BB736" s="9" t="s">
        <v>557</v>
      </c>
      <c r="BC736" s="22">
        <v>144</v>
      </c>
      <c r="BD736" s="231">
        <v>40</v>
      </c>
      <c r="BE736" s="232" t="s">
        <v>595</v>
      </c>
      <c r="CA736" s="18"/>
      <c r="DH736" s="22"/>
      <c r="DI736" s="22"/>
      <c r="DJ736" s="22"/>
      <c r="DK736" s="344"/>
      <c r="DL736" s="361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22"/>
      <c r="EG736" s="22"/>
      <c r="EH736" s="22"/>
      <c r="EI736" s="22"/>
      <c r="EJ736" s="22"/>
      <c r="EK736" s="22"/>
      <c r="EL736" s="22"/>
      <c r="EM736" s="22"/>
      <c r="EN736" s="344"/>
      <c r="EO736" s="344"/>
      <c r="EP736" s="22"/>
      <c r="EQ736" s="22"/>
      <c r="ER736" s="22"/>
      <c r="ES736" s="344"/>
      <c r="ET736" s="349"/>
      <c r="EU736" s="344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T736" s="27"/>
      <c r="FU736" s="27"/>
    </row>
    <row r="737" spans="24:177" s="9" customFormat="1" x14ac:dyDescent="0.2">
      <c r="X737" s="50"/>
      <c r="AD737" s="22"/>
      <c r="AW737" s="8"/>
      <c r="AX737" s="108"/>
      <c r="AY737" s="102"/>
      <c r="AZ737" s="109"/>
      <c r="BA737" s="11"/>
      <c r="BB737" s="9" t="s">
        <v>557</v>
      </c>
      <c r="BC737" s="22">
        <v>145</v>
      </c>
      <c r="BD737" s="231">
        <v>40</v>
      </c>
      <c r="BE737" s="232" t="s">
        <v>597</v>
      </c>
      <c r="CA737" s="18"/>
      <c r="DH737" s="22"/>
      <c r="DI737" s="22"/>
      <c r="DJ737" s="22"/>
      <c r="DK737" s="344"/>
      <c r="DL737" s="361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22"/>
      <c r="EG737" s="22"/>
      <c r="EH737" s="22"/>
      <c r="EI737" s="22"/>
      <c r="EJ737" s="22"/>
      <c r="EK737" s="22"/>
      <c r="EL737" s="22"/>
      <c r="EM737" s="22"/>
      <c r="EN737" s="344"/>
      <c r="EO737" s="344"/>
      <c r="EP737" s="22"/>
      <c r="EQ737" s="22"/>
      <c r="ER737" s="22"/>
      <c r="ES737" s="344"/>
      <c r="ET737" s="349"/>
      <c r="EU737" s="344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T737" s="27"/>
      <c r="FU737" s="27"/>
    </row>
    <row r="738" spans="24:177" s="9" customFormat="1" x14ac:dyDescent="0.2">
      <c r="X738" s="50"/>
      <c r="AD738" s="22"/>
      <c r="AW738" s="8"/>
      <c r="AX738" s="108"/>
      <c r="AY738" s="102"/>
      <c r="AZ738" s="109"/>
      <c r="BA738" s="11"/>
      <c r="BB738" s="9" t="s">
        <v>557</v>
      </c>
      <c r="BC738" s="22">
        <v>146</v>
      </c>
      <c r="BD738" s="231">
        <v>40</v>
      </c>
      <c r="BE738" s="232" t="s">
        <v>290</v>
      </c>
      <c r="CA738" s="18"/>
      <c r="DH738" s="22"/>
      <c r="DI738" s="22"/>
      <c r="DJ738" s="22"/>
      <c r="DK738" s="344"/>
      <c r="DL738" s="361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22"/>
      <c r="EG738" s="22"/>
      <c r="EH738" s="22"/>
      <c r="EI738" s="22"/>
      <c r="EJ738" s="22"/>
      <c r="EK738" s="22"/>
      <c r="EL738" s="22"/>
      <c r="EM738" s="22"/>
      <c r="EN738" s="344"/>
      <c r="EO738" s="344"/>
      <c r="EP738" s="22"/>
      <c r="EQ738" s="22"/>
      <c r="ER738" s="22"/>
      <c r="ES738" s="344"/>
      <c r="ET738" s="349"/>
      <c r="EU738" s="344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T738" s="27"/>
      <c r="FU738" s="27"/>
    </row>
    <row r="739" spans="24:177" s="9" customFormat="1" x14ac:dyDescent="0.2">
      <c r="X739" s="50"/>
      <c r="AD739" s="22"/>
      <c r="AW739" s="8"/>
      <c r="AX739" s="108"/>
      <c r="AY739" s="102"/>
      <c r="AZ739" s="109"/>
      <c r="BA739" s="11"/>
      <c r="BB739" s="9" t="s">
        <v>557</v>
      </c>
      <c r="BC739" s="22">
        <v>147</v>
      </c>
      <c r="BD739" s="231">
        <v>40</v>
      </c>
      <c r="BE739" s="232" t="s">
        <v>287</v>
      </c>
      <c r="CA739" s="18"/>
      <c r="DH739" s="22"/>
      <c r="DI739" s="22"/>
      <c r="DJ739" s="22"/>
      <c r="DK739" s="344"/>
      <c r="DL739" s="361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22"/>
      <c r="EG739" s="22"/>
      <c r="EH739" s="22"/>
      <c r="EI739" s="22"/>
      <c r="EJ739" s="22"/>
      <c r="EK739" s="22"/>
      <c r="EL739" s="22"/>
      <c r="EM739" s="22"/>
      <c r="EN739" s="344"/>
      <c r="EO739" s="344"/>
      <c r="EP739" s="22"/>
      <c r="EQ739" s="22"/>
      <c r="ER739" s="22"/>
      <c r="ES739" s="344"/>
      <c r="ET739" s="349"/>
      <c r="EU739" s="344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T739" s="27"/>
      <c r="FU739" s="27"/>
    </row>
    <row r="740" spans="24:177" s="9" customFormat="1" x14ac:dyDescent="0.2">
      <c r="X740" s="50"/>
      <c r="AD740" s="22"/>
      <c r="AW740" s="8"/>
      <c r="AX740" s="108"/>
      <c r="AY740" s="102"/>
      <c r="AZ740" s="109"/>
      <c r="BA740" s="11"/>
      <c r="BB740" s="9" t="s">
        <v>557</v>
      </c>
      <c r="BC740" s="22">
        <v>148</v>
      </c>
      <c r="BD740" s="231">
        <v>40</v>
      </c>
      <c r="BE740" s="232" t="s">
        <v>291</v>
      </c>
      <c r="CA740" s="18"/>
      <c r="DH740" s="22"/>
      <c r="DI740" s="22"/>
      <c r="DJ740" s="22"/>
      <c r="DK740" s="344"/>
      <c r="DL740" s="361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22"/>
      <c r="EG740" s="22"/>
      <c r="EH740" s="22"/>
      <c r="EI740" s="22"/>
      <c r="EJ740" s="22"/>
      <c r="EK740" s="22"/>
      <c r="EL740" s="22"/>
      <c r="EM740" s="22"/>
      <c r="EN740" s="344"/>
      <c r="EO740" s="344"/>
      <c r="EP740" s="22"/>
      <c r="EQ740" s="22"/>
      <c r="ER740" s="22"/>
      <c r="ES740" s="344"/>
      <c r="ET740" s="349"/>
      <c r="EU740" s="344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T740" s="27"/>
      <c r="FU740" s="27"/>
    </row>
    <row r="741" spans="24:177" s="9" customFormat="1" x14ac:dyDescent="0.2">
      <c r="X741" s="50"/>
      <c r="AD741" s="22"/>
      <c r="AW741" s="8"/>
      <c r="AX741" s="108"/>
      <c r="AY741" s="102"/>
      <c r="AZ741" s="109"/>
      <c r="BA741" s="11"/>
      <c r="BB741" s="9" t="s">
        <v>557</v>
      </c>
      <c r="BC741" s="22">
        <v>149</v>
      </c>
      <c r="BD741" s="1456" t="s">
        <v>364</v>
      </c>
      <c r="BE741" s="1457"/>
      <c r="CA741" s="18"/>
      <c r="DH741" s="22"/>
      <c r="DI741" s="22"/>
      <c r="DJ741" s="22"/>
      <c r="DK741" s="344"/>
      <c r="DL741" s="361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22"/>
      <c r="EG741" s="22"/>
      <c r="EH741" s="22"/>
      <c r="EI741" s="22"/>
      <c r="EJ741" s="22"/>
      <c r="EK741" s="22"/>
      <c r="EL741" s="22"/>
      <c r="EM741" s="22"/>
      <c r="EN741" s="344"/>
      <c r="EO741" s="344"/>
      <c r="EP741" s="22"/>
      <c r="EQ741" s="22"/>
      <c r="ER741" s="22"/>
      <c r="ES741" s="344"/>
      <c r="ET741" s="349"/>
      <c r="EU741" s="344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T741" s="27"/>
      <c r="FU741" s="27"/>
    </row>
    <row r="742" spans="24:177" s="9" customFormat="1" x14ac:dyDescent="0.2">
      <c r="X742" s="50"/>
      <c r="AD742" s="22"/>
      <c r="AW742" s="8"/>
      <c r="AX742" s="108"/>
      <c r="AY742" s="102"/>
      <c r="AZ742" s="109"/>
      <c r="BA742" s="11"/>
      <c r="BB742" s="9" t="s">
        <v>557</v>
      </c>
      <c r="BC742" s="22">
        <v>150</v>
      </c>
      <c r="BD742" s="231">
        <v>6</v>
      </c>
      <c r="BE742" s="232" t="s">
        <v>595</v>
      </c>
      <c r="CA742" s="18"/>
      <c r="DH742" s="22"/>
      <c r="DI742" s="22"/>
      <c r="DJ742" s="22"/>
      <c r="DK742" s="344"/>
      <c r="DL742" s="361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22"/>
      <c r="EG742" s="22"/>
      <c r="EH742" s="22"/>
      <c r="EI742" s="22"/>
      <c r="EJ742" s="22"/>
      <c r="EK742" s="22"/>
      <c r="EL742" s="22"/>
      <c r="EM742" s="22"/>
      <c r="EN742" s="344"/>
      <c r="EO742" s="344"/>
      <c r="EP742" s="22"/>
      <c r="EQ742" s="22"/>
      <c r="ER742" s="22"/>
      <c r="ES742" s="344"/>
      <c r="ET742" s="349"/>
      <c r="EU742" s="344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T742" s="27"/>
      <c r="FU742" s="27"/>
    </row>
    <row r="743" spans="24:177" s="9" customFormat="1" x14ac:dyDescent="0.2">
      <c r="X743" s="50"/>
      <c r="AD743" s="22"/>
      <c r="AW743" s="8"/>
      <c r="AX743" s="108"/>
      <c r="AY743" s="102"/>
      <c r="AZ743" s="109"/>
      <c r="BA743" s="11"/>
      <c r="BB743" s="9" t="s">
        <v>557</v>
      </c>
      <c r="BC743" s="22">
        <v>151</v>
      </c>
      <c r="BD743" s="231">
        <v>6</v>
      </c>
      <c r="BE743" s="232" t="s">
        <v>597</v>
      </c>
      <c r="CA743" s="18"/>
      <c r="DH743" s="22"/>
      <c r="DI743" s="22"/>
      <c r="DJ743" s="22"/>
      <c r="DK743" s="344"/>
      <c r="DL743" s="361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22"/>
      <c r="EG743" s="22"/>
      <c r="EH743" s="22"/>
      <c r="EI743" s="22"/>
      <c r="EJ743" s="22"/>
      <c r="EK743" s="22"/>
      <c r="EL743" s="22"/>
      <c r="EM743" s="22"/>
      <c r="EN743" s="344"/>
      <c r="EO743" s="344"/>
      <c r="EP743" s="22"/>
      <c r="EQ743" s="22"/>
      <c r="ER743" s="22"/>
      <c r="ES743" s="344"/>
      <c r="ET743" s="349"/>
      <c r="EU743" s="344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T743" s="27"/>
      <c r="FU743" s="27"/>
    </row>
    <row r="744" spans="24:177" s="9" customFormat="1" x14ac:dyDescent="0.2">
      <c r="X744" s="50"/>
      <c r="AD744" s="22"/>
      <c r="AW744" s="8"/>
      <c r="AX744" s="108"/>
      <c r="AY744" s="102"/>
      <c r="AZ744" s="109"/>
      <c r="BA744" s="11"/>
      <c r="BB744" s="9" t="s">
        <v>557</v>
      </c>
      <c r="BC744" s="22">
        <v>152</v>
      </c>
      <c r="BD744" s="231">
        <v>6</v>
      </c>
      <c r="BE744" s="232" t="s">
        <v>290</v>
      </c>
      <c r="CA744" s="18"/>
      <c r="DH744" s="22"/>
      <c r="DI744" s="22"/>
      <c r="DJ744" s="22"/>
      <c r="DK744" s="344"/>
      <c r="DL744" s="361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22"/>
      <c r="EG744" s="22"/>
      <c r="EH744" s="22"/>
      <c r="EI744" s="22"/>
      <c r="EJ744" s="22"/>
      <c r="EK744" s="22"/>
      <c r="EL744" s="22"/>
      <c r="EM744" s="22"/>
      <c r="EN744" s="344"/>
      <c r="EO744" s="344"/>
      <c r="EP744" s="22"/>
      <c r="EQ744" s="22"/>
      <c r="ER744" s="22"/>
      <c r="ES744" s="344"/>
      <c r="ET744" s="349"/>
      <c r="EU744" s="344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T744" s="27"/>
      <c r="FU744" s="27"/>
    </row>
    <row r="745" spans="24:177" s="9" customFormat="1" x14ac:dyDescent="0.2">
      <c r="X745" s="50"/>
      <c r="AD745" s="22"/>
      <c r="AW745" s="8"/>
      <c r="AX745" s="108"/>
      <c r="AY745" s="102"/>
      <c r="AZ745" s="109"/>
      <c r="BA745" s="11"/>
      <c r="BB745" s="9" t="s">
        <v>557</v>
      </c>
      <c r="BC745" s="22">
        <v>153</v>
      </c>
      <c r="BD745" s="231">
        <v>6</v>
      </c>
      <c r="BE745" s="232" t="s">
        <v>287</v>
      </c>
      <c r="CA745" s="18"/>
      <c r="DH745" s="22"/>
      <c r="DI745" s="22"/>
      <c r="DJ745" s="22"/>
      <c r="DK745" s="344"/>
      <c r="DL745" s="361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22"/>
      <c r="EG745" s="22"/>
      <c r="EH745" s="22"/>
      <c r="EI745" s="22"/>
      <c r="EJ745" s="22"/>
      <c r="EK745" s="22"/>
      <c r="EL745" s="22"/>
      <c r="EM745" s="22"/>
      <c r="EN745" s="344"/>
      <c r="EO745" s="344"/>
      <c r="EP745" s="22"/>
      <c r="EQ745" s="22"/>
      <c r="ER745" s="22"/>
      <c r="ES745" s="344"/>
      <c r="ET745" s="349"/>
      <c r="EU745" s="344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T745" s="27"/>
      <c r="FU745" s="27"/>
    </row>
    <row r="746" spans="24:177" s="9" customFormat="1" x14ac:dyDescent="0.2">
      <c r="X746" s="50"/>
      <c r="AD746" s="22"/>
      <c r="AW746" s="8"/>
      <c r="AX746" s="108"/>
      <c r="AY746" s="102"/>
      <c r="AZ746" s="109"/>
      <c r="BA746" s="11"/>
      <c r="BB746" s="9" t="s">
        <v>557</v>
      </c>
      <c r="BC746" s="22">
        <v>154</v>
      </c>
      <c r="BD746" s="231">
        <v>6</v>
      </c>
      <c r="BE746" s="232" t="s">
        <v>291</v>
      </c>
      <c r="CA746" s="18"/>
      <c r="DH746" s="22"/>
      <c r="DI746" s="22"/>
      <c r="DJ746" s="22"/>
      <c r="DK746" s="344"/>
      <c r="DL746" s="361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22"/>
      <c r="EG746" s="22"/>
      <c r="EH746" s="22"/>
      <c r="EI746" s="22"/>
      <c r="EJ746" s="22"/>
      <c r="EK746" s="22"/>
      <c r="EL746" s="22"/>
      <c r="EM746" s="22"/>
      <c r="EN746" s="344"/>
      <c r="EO746" s="344"/>
      <c r="EP746" s="22"/>
      <c r="EQ746" s="22"/>
      <c r="ER746" s="22"/>
      <c r="ES746" s="344"/>
      <c r="ET746" s="349"/>
      <c r="EU746" s="344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T746" s="27"/>
      <c r="FU746" s="27"/>
    </row>
    <row r="747" spans="24:177" s="9" customFormat="1" x14ac:dyDescent="0.2">
      <c r="X747" s="50"/>
      <c r="AD747" s="22"/>
      <c r="AW747" s="8"/>
      <c r="AX747" s="108"/>
      <c r="AY747" s="102"/>
      <c r="AZ747" s="109"/>
      <c r="BA747" s="11"/>
      <c r="BB747" s="9" t="s">
        <v>557</v>
      </c>
      <c r="BC747" s="22">
        <v>155</v>
      </c>
      <c r="BD747" s="231">
        <v>6</v>
      </c>
      <c r="BE747" s="232" t="s">
        <v>292</v>
      </c>
      <c r="CA747" s="18"/>
      <c r="DH747" s="22"/>
      <c r="DI747" s="22"/>
      <c r="DJ747" s="22"/>
      <c r="DK747" s="344"/>
      <c r="DL747" s="361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22"/>
      <c r="EG747" s="22"/>
      <c r="EH747" s="22"/>
      <c r="EI747" s="22"/>
      <c r="EJ747" s="22"/>
      <c r="EK747" s="22"/>
      <c r="EL747" s="22"/>
      <c r="EM747" s="22"/>
      <c r="EN747" s="344"/>
      <c r="EO747" s="344"/>
      <c r="EP747" s="22"/>
      <c r="EQ747" s="22"/>
      <c r="ER747" s="22"/>
      <c r="ES747" s="344"/>
      <c r="ET747" s="349"/>
      <c r="EU747" s="344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T747" s="27"/>
      <c r="FU747" s="27"/>
    </row>
    <row r="748" spans="24:177" s="9" customFormat="1" x14ac:dyDescent="0.2">
      <c r="X748" s="50"/>
      <c r="AD748" s="22"/>
      <c r="AW748" s="8"/>
      <c r="AX748" s="108"/>
      <c r="AY748" s="102"/>
      <c r="AZ748" s="109"/>
      <c r="BA748" s="11"/>
      <c r="BB748" s="9" t="s">
        <v>557</v>
      </c>
      <c r="BC748" s="22">
        <v>156</v>
      </c>
      <c r="BD748" s="231">
        <v>6</v>
      </c>
      <c r="BE748" s="232" t="s">
        <v>368</v>
      </c>
      <c r="CA748" s="18"/>
      <c r="DH748" s="22"/>
      <c r="DI748" s="22"/>
      <c r="DJ748" s="22"/>
      <c r="DK748" s="344"/>
      <c r="DL748" s="361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22"/>
      <c r="EG748" s="22"/>
      <c r="EH748" s="22"/>
      <c r="EI748" s="22"/>
      <c r="EJ748" s="22"/>
      <c r="EK748" s="22"/>
      <c r="EL748" s="22"/>
      <c r="EM748" s="22"/>
      <c r="EN748" s="344"/>
      <c r="EO748" s="344"/>
      <c r="EP748" s="22"/>
      <c r="EQ748" s="22"/>
      <c r="ER748" s="22"/>
      <c r="ES748" s="344"/>
      <c r="ET748" s="349"/>
      <c r="EU748" s="344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T748" s="27"/>
      <c r="FU748" s="27"/>
    </row>
    <row r="749" spans="24:177" s="9" customFormat="1" x14ac:dyDescent="0.2">
      <c r="X749" s="50"/>
      <c r="AD749" s="22"/>
      <c r="AW749" s="8"/>
      <c r="AX749" s="108"/>
      <c r="AY749" s="102"/>
      <c r="AZ749" s="109"/>
      <c r="BA749" s="11"/>
      <c r="BB749" s="9" t="s">
        <v>557</v>
      </c>
      <c r="BC749" s="22">
        <v>157</v>
      </c>
      <c r="BD749" s="231">
        <v>6</v>
      </c>
      <c r="BE749" s="232" t="s">
        <v>293</v>
      </c>
      <c r="CA749" s="18"/>
      <c r="DH749" s="22"/>
      <c r="DI749" s="22"/>
      <c r="DJ749" s="22"/>
      <c r="DK749" s="344"/>
      <c r="DL749" s="361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22"/>
      <c r="EG749" s="22"/>
      <c r="EH749" s="22"/>
      <c r="EI749" s="22"/>
      <c r="EJ749" s="22"/>
      <c r="EK749" s="22"/>
      <c r="EL749" s="22"/>
      <c r="EM749" s="22"/>
      <c r="EN749" s="344"/>
      <c r="EO749" s="344"/>
      <c r="EP749" s="22"/>
      <c r="EQ749" s="22"/>
      <c r="ER749" s="22"/>
      <c r="ES749" s="344"/>
      <c r="ET749" s="349"/>
      <c r="EU749" s="344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T749" s="27"/>
      <c r="FU749" s="27"/>
    </row>
    <row r="750" spans="24:177" s="9" customFormat="1" x14ac:dyDescent="0.2">
      <c r="X750" s="50"/>
      <c r="AD750" s="22"/>
      <c r="AW750" s="8"/>
      <c r="AX750" s="108"/>
      <c r="AY750" s="102"/>
      <c r="AZ750" s="109"/>
      <c r="BA750" s="11"/>
      <c r="BB750" s="9" t="s">
        <v>557</v>
      </c>
      <c r="BC750" s="22">
        <v>158</v>
      </c>
      <c r="BD750" s="231">
        <v>10</v>
      </c>
      <c r="BE750" s="232" t="s">
        <v>595</v>
      </c>
      <c r="CA750" s="18"/>
      <c r="DH750" s="22"/>
      <c r="DI750" s="22"/>
      <c r="DJ750" s="22"/>
      <c r="DK750" s="344"/>
      <c r="DL750" s="361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22"/>
      <c r="EG750" s="22"/>
      <c r="EH750" s="22"/>
      <c r="EI750" s="22"/>
      <c r="EJ750" s="22"/>
      <c r="EK750" s="22"/>
      <c r="EL750" s="22"/>
      <c r="EM750" s="22"/>
      <c r="EN750" s="344"/>
      <c r="EO750" s="344"/>
      <c r="EP750" s="22"/>
      <c r="EQ750" s="22"/>
      <c r="ER750" s="22"/>
      <c r="ES750" s="344"/>
      <c r="ET750" s="349"/>
      <c r="EU750" s="344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T750" s="27"/>
      <c r="FU750" s="27"/>
    </row>
    <row r="751" spans="24:177" s="9" customFormat="1" x14ac:dyDescent="0.2">
      <c r="X751" s="50"/>
      <c r="AD751" s="22"/>
      <c r="AW751" s="8"/>
      <c r="AX751" s="108"/>
      <c r="AY751" s="102"/>
      <c r="AZ751" s="109"/>
      <c r="BA751" s="11"/>
      <c r="BB751" s="9" t="s">
        <v>557</v>
      </c>
      <c r="BC751" s="22">
        <v>159</v>
      </c>
      <c r="BD751" s="231">
        <v>10</v>
      </c>
      <c r="BE751" s="232" t="s">
        <v>597</v>
      </c>
      <c r="CA751" s="18"/>
      <c r="DH751" s="22"/>
      <c r="DI751" s="22"/>
      <c r="DJ751" s="22"/>
      <c r="DK751" s="344"/>
      <c r="DL751" s="361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22"/>
      <c r="EG751" s="22"/>
      <c r="EH751" s="22"/>
      <c r="EI751" s="22"/>
      <c r="EJ751" s="22"/>
      <c r="EK751" s="22"/>
      <c r="EL751" s="22"/>
      <c r="EM751" s="22"/>
      <c r="EN751" s="344"/>
      <c r="EO751" s="344"/>
      <c r="EP751" s="22"/>
      <c r="EQ751" s="22"/>
      <c r="ER751" s="22"/>
      <c r="ES751" s="344"/>
      <c r="ET751" s="349"/>
      <c r="EU751" s="344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T751" s="27"/>
      <c r="FU751" s="27"/>
    </row>
    <row r="752" spans="24:177" s="9" customFormat="1" x14ac:dyDescent="0.2">
      <c r="X752" s="50"/>
      <c r="AD752" s="22"/>
      <c r="AW752" s="8"/>
      <c r="AX752" s="108"/>
      <c r="AY752" s="102"/>
      <c r="AZ752" s="109"/>
      <c r="BA752" s="11"/>
      <c r="BB752" s="9" t="s">
        <v>557</v>
      </c>
      <c r="BC752" s="22">
        <v>160</v>
      </c>
      <c r="BD752" s="231">
        <v>10</v>
      </c>
      <c r="BE752" s="232" t="s">
        <v>367</v>
      </c>
      <c r="CA752" s="18"/>
      <c r="DH752" s="22"/>
      <c r="DI752" s="22"/>
      <c r="DJ752" s="22"/>
      <c r="DK752" s="344"/>
      <c r="DL752" s="361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22"/>
      <c r="EG752" s="22"/>
      <c r="EH752" s="22"/>
      <c r="EI752" s="22"/>
      <c r="EJ752" s="22"/>
      <c r="EK752" s="22"/>
      <c r="EL752" s="22"/>
      <c r="EM752" s="22"/>
      <c r="EN752" s="344"/>
      <c r="EO752" s="344"/>
      <c r="EP752" s="22"/>
      <c r="EQ752" s="22"/>
      <c r="ER752" s="22"/>
      <c r="ES752" s="344"/>
      <c r="ET752" s="349"/>
      <c r="EU752" s="344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T752" s="27"/>
      <c r="FU752" s="27"/>
    </row>
    <row r="753" spans="24:177" s="9" customFormat="1" x14ac:dyDescent="0.2">
      <c r="X753" s="50"/>
      <c r="AD753" s="22"/>
      <c r="AW753" s="8"/>
      <c r="AX753" s="108"/>
      <c r="AY753" s="102"/>
      <c r="AZ753" s="109"/>
      <c r="BA753" s="11"/>
      <c r="BB753" s="9" t="s">
        <v>558</v>
      </c>
      <c r="BC753" s="22">
        <v>100</v>
      </c>
      <c r="BD753" s="231">
        <v>10</v>
      </c>
      <c r="BE753" s="232" t="s">
        <v>290</v>
      </c>
      <c r="CA753" s="18"/>
      <c r="DH753" s="22"/>
      <c r="DI753" s="22"/>
      <c r="DJ753" s="22"/>
      <c r="DK753" s="344"/>
      <c r="DL753" s="361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22"/>
      <c r="EG753" s="22"/>
      <c r="EH753" s="22"/>
      <c r="EI753" s="22"/>
      <c r="EJ753" s="22"/>
      <c r="EK753" s="22"/>
      <c r="EL753" s="22"/>
      <c r="EM753" s="22"/>
      <c r="EN753" s="344"/>
      <c r="EO753" s="344"/>
      <c r="EP753" s="22"/>
      <c r="EQ753" s="22"/>
      <c r="ER753" s="22"/>
      <c r="ES753" s="344"/>
      <c r="ET753" s="349"/>
      <c r="EU753" s="344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T753" s="27"/>
      <c r="FU753" s="27"/>
    </row>
    <row r="754" spans="24:177" s="9" customFormat="1" x14ac:dyDescent="0.2">
      <c r="X754" s="50"/>
      <c r="AD754" s="22"/>
      <c r="AW754" s="8"/>
      <c r="AX754" s="108"/>
      <c r="AY754" s="102"/>
      <c r="AZ754" s="109"/>
      <c r="BA754" s="11"/>
      <c r="BB754" s="9" t="s">
        <v>558</v>
      </c>
      <c r="BC754" s="22">
        <v>101</v>
      </c>
      <c r="BD754" s="231">
        <v>10</v>
      </c>
      <c r="BE754" s="232" t="s">
        <v>287</v>
      </c>
      <c r="CA754" s="18"/>
      <c r="DH754" s="22"/>
      <c r="DI754" s="22"/>
      <c r="DJ754" s="22"/>
      <c r="DK754" s="344"/>
      <c r="DL754" s="361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22"/>
      <c r="EG754" s="22"/>
      <c r="EH754" s="22"/>
      <c r="EI754" s="22"/>
      <c r="EJ754" s="22"/>
      <c r="EK754" s="22"/>
      <c r="EL754" s="22"/>
      <c r="EM754" s="22"/>
      <c r="EN754" s="344"/>
      <c r="EO754" s="344"/>
      <c r="EP754" s="22"/>
      <c r="EQ754" s="22"/>
      <c r="ER754" s="22"/>
      <c r="ES754" s="344"/>
      <c r="ET754" s="349"/>
      <c r="EU754" s="344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T754" s="27"/>
      <c r="FU754" s="27"/>
    </row>
    <row r="755" spans="24:177" s="9" customFormat="1" x14ac:dyDescent="0.2">
      <c r="X755" s="50"/>
      <c r="AD755" s="22"/>
      <c r="AW755" s="8"/>
      <c r="AX755" s="108"/>
      <c r="AY755" s="102"/>
      <c r="AZ755" s="109"/>
      <c r="BA755" s="11"/>
      <c r="BB755" s="9" t="s">
        <v>558</v>
      </c>
      <c r="BC755" s="22">
        <v>102</v>
      </c>
      <c r="BD755" s="231">
        <v>10</v>
      </c>
      <c r="BE755" s="232" t="s">
        <v>291</v>
      </c>
      <c r="CA755" s="18"/>
      <c r="DH755" s="22"/>
      <c r="DI755" s="22"/>
      <c r="DJ755" s="22"/>
      <c r="DK755" s="344"/>
      <c r="DL755" s="361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22"/>
      <c r="EG755" s="22"/>
      <c r="EH755" s="22"/>
      <c r="EI755" s="22"/>
      <c r="EJ755" s="22"/>
      <c r="EK755" s="22"/>
      <c r="EL755" s="22"/>
      <c r="EM755" s="22"/>
      <c r="EN755" s="344"/>
      <c r="EO755" s="344"/>
      <c r="EP755" s="22"/>
      <c r="EQ755" s="22"/>
      <c r="ER755" s="22"/>
      <c r="ES755" s="344"/>
      <c r="ET755" s="349"/>
      <c r="EU755" s="344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T755" s="27"/>
      <c r="FU755" s="27"/>
    </row>
    <row r="756" spans="24:177" s="9" customFormat="1" x14ac:dyDescent="0.2">
      <c r="X756" s="50"/>
      <c r="AD756" s="22"/>
      <c r="AW756" s="8"/>
      <c r="AX756" s="108"/>
      <c r="AY756" s="102"/>
      <c r="AZ756" s="109"/>
      <c r="BA756" s="11"/>
      <c r="BB756" s="9" t="s">
        <v>558</v>
      </c>
      <c r="BC756" s="22">
        <v>103</v>
      </c>
      <c r="BD756" s="231">
        <v>10</v>
      </c>
      <c r="BE756" s="232" t="s">
        <v>292</v>
      </c>
      <c r="CA756" s="18"/>
      <c r="DH756" s="22"/>
      <c r="DI756" s="22"/>
      <c r="DJ756" s="22"/>
      <c r="DK756" s="344"/>
      <c r="DL756" s="361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22"/>
      <c r="EG756" s="22"/>
      <c r="EH756" s="22"/>
      <c r="EI756" s="22"/>
      <c r="EJ756" s="22"/>
      <c r="EK756" s="22"/>
      <c r="EL756" s="22"/>
      <c r="EM756" s="22"/>
      <c r="EN756" s="344"/>
      <c r="EO756" s="344"/>
      <c r="EP756" s="22"/>
      <c r="EQ756" s="22"/>
      <c r="ER756" s="22"/>
      <c r="ES756" s="344"/>
      <c r="ET756" s="349"/>
      <c r="EU756" s="344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T756" s="27"/>
      <c r="FU756" s="27"/>
    </row>
    <row r="757" spans="24:177" s="9" customFormat="1" x14ac:dyDescent="0.2">
      <c r="X757" s="50"/>
      <c r="AD757" s="22"/>
      <c r="AW757" s="8"/>
      <c r="AX757" s="108"/>
      <c r="AY757" s="102"/>
      <c r="AZ757" s="109"/>
      <c r="BA757" s="11"/>
      <c r="BB757" s="9" t="s">
        <v>558</v>
      </c>
      <c r="BC757" s="22">
        <v>104</v>
      </c>
      <c r="BD757" s="231">
        <v>10</v>
      </c>
      <c r="BE757" s="232" t="s">
        <v>368</v>
      </c>
      <c r="CA757" s="18"/>
      <c r="DH757" s="22"/>
      <c r="DI757" s="22"/>
      <c r="DJ757" s="22"/>
      <c r="DK757" s="344"/>
      <c r="DL757" s="361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22"/>
      <c r="EG757" s="22"/>
      <c r="EH757" s="22"/>
      <c r="EI757" s="22"/>
      <c r="EJ757" s="22"/>
      <c r="EK757" s="22"/>
      <c r="EL757" s="22"/>
      <c r="EM757" s="22"/>
      <c r="EN757" s="344"/>
      <c r="EO757" s="344"/>
      <c r="EP757" s="22"/>
      <c r="EQ757" s="22"/>
      <c r="ER757" s="22"/>
      <c r="ES757" s="344"/>
      <c r="ET757" s="349"/>
      <c r="EU757" s="344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T757" s="27"/>
      <c r="FU757" s="27"/>
    </row>
    <row r="758" spans="24:177" s="9" customFormat="1" x14ac:dyDescent="0.2">
      <c r="X758" s="50"/>
      <c r="AD758" s="22"/>
      <c r="AW758" s="8"/>
      <c r="AX758" s="108"/>
      <c r="AY758" s="102"/>
      <c r="AZ758" s="109"/>
      <c r="BA758" s="11"/>
      <c r="BB758" s="9" t="s">
        <v>558</v>
      </c>
      <c r="BC758" s="22">
        <v>105</v>
      </c>
      <c r="BD758" s="231">
        <v>10</v>
      </c>
      <c r="BE758" s="232" t="s">
        <v>293</v>
      </c>
      <c r="CA758" s="18"/>
      <c r="DH758" s="22"/>
      <c r="DI758" s="22"/>
      <c r="DJ758" s="22"/>
      <c r="DK758" s="344"/>
      <c r="DL758" s="361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22"/>
      <c r="EG758" s="22"/>
      <c r="EH758" s="22"/>
      <c r="EI758" s="22"/>
      <c r="EJ758" s="22"/>
      <c r="EK758" s="22"/>
      <c r="EL758" s="22"/>
      <c r="EM758" s="22"/>
      <c r="EN758" s="344"/>
      <c r="EO758" s="344"/>
      <c r="EP758" s="22"/>
      <c r="EQ758" s="22"/>
      <c r="ER758" s="22"/>
      <c r="ES758" s="344"/>
      <c r="ET758" s="349"/>
      <c r="EU758" s="344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T758" s="27"/>
      <c r="FU758" s="27"/>
    </row>
    <row r="759" spans="24:177" s="9" customFormat="1" x14ac:dyDescent="0.2">
      <c r="X759" s="50"/>
      <c r="AD759" s="22"/>
      <c r="AW759" s="8"/>
      <c r="AX759" s="108"/>
      <c r="AY759" s="102"/>
      <c r="AZ759" s="109"/>
      <c r="BA759" s="11"/>
      <c r="BB759" s="9" t="s">
        <v>558</v>
      </c>
      <c r="BC759" s="22">
        <v>106</v>
      </c>
      <c r="BD759" s="231">
        <v>13</v>
      </c>
      <c r="BE759" s="232" t="s">
        <v>290</v>
      </c>
      <c r="CA759" s="18"/>
      <c r="DH759" s="22"/>
      <c r="DI759" s="22"/>
      <c r="DJ759" s="22"/>
      <c r="DK759" s="344"/>
      <c r="DL759" s="361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22"/>
      <c r="EG759" s="22"/>
      <c r="EH759" s="22"/>
      <c r="EI759" s="22"/>
      <c r="EJ759" s="22"/>
      <c r="EK759" s="22"/>
      <c r="EL759" s="22"/>
      <c r="EM759" s="22"/>
      <c r="EN759" s="344"/>
      <c r="EO759" s="344"/>
      <c r="EP759" s="22"/>
      <c r="EQ759" s="22"/>
      <c r="ER759" s="22"/>
      <c r="ES759" s="344"/>
      <c r="ET759" s="349"/>
      <c r="EU759" s="344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T759" s="27"/>
      <c r="FU759" s="27"/>
    </row>
    <row r="760" spans="24:177" s="9" customFormat="1" x14ac:dyDescent="0.2">
      <c r="X760" s="50"/>
      <c r="AD760" s="22"/>
      <c r="AW760" s="8"/>
      <c r="AX760" s="108"/>
      <c r="AY760" s="102"/>
      <c r="AZ760" s="109"/>
      <c r="BA760" s="11"/>
      <c r="BB760" s="9" t="s">
        <v>558</v>
      </c>
      <c r="BC760" s="22">
        <v>107</v>
      </c>
      <c r="BD760" s="231">
        <v>13</v>
      </c>
      <c r="BE760" s="232" t="s">
        <v>287</v>
      </c>
      <c r="CA760" s="18"/>
      <c r="DH760" s="22"/>
      <c r="DI760" s="22"/>
      <c r="DJ760" s="22"/>
      <c r="DK760" s="344"/>
      <c r="DL760" s="361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22"/>
      <c r="EG760" s="22"/>
      <c r="EH760" s="22"/>
      <c r="EI760" s="22"/>
      <c r="EJ760" s="22"/>
      <c r="EK760" s="22"/>
      <c r="EL760" s="22"/>
      <c r="EM760" s="22"/>
      <c r="EN760" s="344"/>
      <c r="EO760" s="344"/>
      <c r="EP760" s="22"/>
      <c r="EQ760" s="22"/>
      <c r="ER760" s="22"/>
      <c r="ES760" s="344"/>
      <c r="ET760" s="349"/>
      <c r="EU760" s="344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T760" s="27"/>
      <c r="FU760" s="27"/>
    </row>
    <row r="761" spans="24:177" s="9" customFormat="1" x14ac:dyDescent="0.2">
      <c r="X761" s="50"/>
      <c r="AD761" s="22"/>
      <c r="AW761" s="8"/>
      <c r="AX761" s="108"/>
      <c r="AY761" s="102"/>
      <c r="AZ761" s="109"/>
      <c r="BA761" s="11"/>
      <c r="BB761" s="9" t="s">
        <v>558</v>
      </c>
      <c r="BC761" s="22">
        <v>108</v>
      </c>
      <c r="BD761" s="231">
        <v>13</v>
      </c>
      <c r="BE761" s="232" t="s">
        <v>291</v>
      </c>
      <c r="CA761" s="18"/>
      <c r="DH761" s="22"/>
      <c r="DI761" s="22"/>
      <c r="DJ761" s="22"/>
      <c r="DK761" s="344"/>
      <c r="DL761" s="361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22"/>
      <c r="EG761" s="22"/>
      <c r="EH761" s="22"/>
      <c r="EI761" s="22"/>
      <c r="EJ761" s="22"/>
      <c r="EK761" s="22"/>
      <c r="EL761" s="22"/>
      <c r="EM761" s="22"/>
      <c r="EN761" s="344"/>
      <c r="EO761" s="344"/>
      <c r="EP761" s="22"/>
      <c r="EQ761" s="22"/>
      <c r="ER761" s="22"/>
      <c r="ES761" s="344"/>
      <c r="ET761" s="349"/>
      <c r="EU761" s="344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T761" s="27"/>
      <c r="FU761" s="27"/>
    </row>
    <row r="762" spans="24:177" s="9" customFormat="1" x14ac:dyDescent="0.2">
      <c r="X762" s="50"/>
      <c r="AD762" s="22"/>
      <c r="AW762" s="8"/>
      <c r="AX762" s="108"/>
      <c r="AY762" s="102"/>
      <c r="AZ762" s="109"/>
      <c r="BA762" s="11"/>
      <c r="BB762" s="9" t="s">
        <v>558</v>
      </c>
      <c r="BC762" s="22">
        <v>109</v>
      </c>
      <c r="BD762" s="231">
        <v>13</v>
      </c>
      <c r="BE762" s="232" t="s">
        <v>292</v>
      </c>
      <c r="CA762" s="18"/>
      <c r="DH762" s="22"/>
      <c r="DI762" s="22"/>
      <c r="DJ762" s="22"/>
      <c r="DK762" s="344"/>
      <c r="DL762" s="361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22"/>
      <c r="EG762" s="22"/>
      <c r="EH762" s="22"/>
      <c r="EI762" s="22"/>
      <c r="EJ762" s="22"/>
      <c r="EK762" s="22"/>
      <c r="EL762" s="22"/>
      <c r="EM762" s="22"/>
      <c r="EN762" s="344"/>
      <c r="EO762" s="344"/>
      <c r="EP762" s="22"/>
      <c r="EQ762" s="22"/>
      <c r="ER762" s="22"/>
      <c r="ES762" s="344"/>
      <c r="ET762" s="349"/>
      <c r="EU762" s="344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T762" s="27"/>
      <c r="FU762" s="27"/>
    </row>
    <row r="763" spans="24:177" s="9" customFormat="1" x14ac:dyDescent="0.2">
      <c r="X763" s="50"/>
      <c r="AD763" s="22"/>
      <c r="AW763" s="8"/>
      <c r="AX763" s="108"/>
      <c r="AY763" s="102"/>
      <c r="AZ763" s="109"/>
      <c r="BA763" s="11"/>
      <c r="BB763" s="9" t="s">
        <v>558</v>
      </c>
      <c r="BC763" s="22">
        <v>110</v>
      </c>
      <c r="BD763" s="231">
        <v>13</v>
      </c>
      <c r="BE763" s="232" t="s">
        <v>368</v>
      </c>
      <c r="CA763" s="18"/>
      <c r="DH763" s="22"/>
      <c r="DI763" s="22"/>
      <c r="DJ763" s="22"/>
      <c r="DK763" s="344"/>
      <c r="DL763" s="361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22"/>
      <c r="EG763" s="22"/>
      <c r="EH763" s="22"/>
      <c r="EI763" s="22"/>
      <c r="EJ763" s="22"/>
      <c r="EK763" s="22"/>
      <c r="EL763" s="22"/>
      <c r="EM763" s="22"/>
      <c r="EN763" s="344"/>
      <c r="EO763" s="344"/>
      <c r="EP763" s="22"/>
      <c r="EQ763" s="22"/>
      <c r="ER763" s="22"/>
      <c r="ES763" s="344"/>
      <c r="ET763" s="349"/>
      <c r="EU763" s="344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T763" s="27"/>
      <c r="FU763" s="27"/>
    </row>
    <row r="764" spans="24:177" s="9" customFormat="1" x14ac:dyDescent="0.2">
      <c r="X764" s="50"/>
      <c r="AD764" s="22"/>
      <c r="AW764" s="8"/>
      <c r="AX764" s="108"/>
      <c r="AY764" s="102"/>
      <c r="AZ764" s="109"/>
      <c r="BA764" s="11"/>
      <c r="BB764" s="9" t="s">
        <v>558</v>
      </c>
      <c r="BC764" s="22">
        <v>111</v>
      </c>
      <c r="BD764" s="231">
        <v>13</v>
      </c>
      <c r="BE764" s="232" t="s">
        <v>293</v>
      </c>
      <c r="CA764" s="18"/>
      <c r="DH764" s="22"/>
      <c r="DI764" s="22"/>
      <c r="DJ764" s="22"/>
      <c r="DK764" s="344"/>
      <c r="DL764" s="361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22"/>
      <c r="EG764" s="22"/>
      <c r="EH764" s="22"/>
      <c r="EI764" s="22"/>
      <c r="EJ764" s="22"/>
      <c r="EK764" s="22"/>
      <c r="EL764" s="22"/>
      <c r="EM764" s="22"/>
      <c r="EN764" s="344"/>
      <c r="EO764" s="344"/>
      <c r="EP764" s="22"/>
      <c r="EQ764" s="22"/>
      <c r="ER764" s="22"/>
      <c r="ES764" s="344"/>
      <c r="ET764" s="349"/>
      <c r="EU764" s="344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T764" s="27"/>
      <c r="FU764" s="27"/>
    </row>
    <row r="765" spans="24:177" s="9" customFormat="1" x14ac:dyDescent="0.2">
      <c r="X765" s="50"/>
      <c r="AD765" s="22"/>
      <c r="AW765" s="8"/>
      <c r="AX765" s="108"/>
      <c r="AY765" s="102"/>
      <c r="AZ765" s="109"/>
      <c r="BA765" s="11"/>
      <c r="BB765" s="9" t="s">
        <v>558</v>
      </c>
      <c r="BC765" s="22">
        <v>112</v>
      </c>
      <c r="BD765" s="231">
        <v>16</v>
      </c>
      <c r="BE765" s="232" t="s">
        <v>595</v>
      </c>
      <c r="CA765" s="18"/>
      <c r="DH765" s="22"/>
      <c r="DI765" s="22"/>
      <c r="DJ765" s="22"/>
      <c r="DK765" s="344"/>
      <c r="DL765" s="361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22"/>
      <c r="EG765" s="22"/>
      <c r="EH765" s="22"/>
      <c r="EI765" s="22"/>
      <c r="EJ765" s="22"/>
      <c r="EK765" s="22"/>
      <c r="EL765" s="22"/>
      <c r="EM765" s="22"/>
      <c r="EN765" s="344"/>
      <c r="EO765" s="344"/>
      <c r="EP765" s="22"/>
      <c r="EQ765" s="22"/>
      <c r="ER765" s="22"/>
      <c r="ES765" s="344"/>
      <c r="ET765" s="349"/>
      <c r="EU765" s="344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T765" s="27"/>
      <c r="FU765" s="27"/>
    </row>
    <row r="766" spans="24:177" s="9" customFormat="1" x14ac:dyDescent="0.2">
      <c r="X766" s="50"/>
      <c r="AD766" s="22"/>
      <c r="AW766" s="8"/>
      <c r="AX766" s="108"/>
      <c r="AY766" s="102"/>
      <c r="AZ766" s="109"/>
      <c r="BA766" s="11"/>
      <c r="BB766" s="9" t="s">
        <v>558</v>
      </c>
      <c r="BC766" s="22">
        <v>113</v>
      </c>
      <c r="BD766" s="231">
        <v>16</v>
      </c>
      <c r="BE766" s="232" t="s">
        <v>597</v>
      </c>
      <c r="CA766" s="18"/>
      <c r="DH766" s="22"/>
      <c r="DI766" s="22"/>
      <c r="DJ766" s="22"/>
      <c r="DK766" s="344"/>
      <c r="DL766" s="361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22"/>
      <c r="EG766" s="22"/>
      <c r="EH766" s="22"/>
      <c r="EI766" s="22"/>
      <c r="EJ766" s="22"/>
      <c r="EK766" s="22"/>
      <c r="EL766" s="22"/>
      <c r="EM766" s="22"/>
      <c r="EN766" s="344"/>
      <c r="EO766" s="344"/>
      <c r="EP766" s="22"/>
      <c r="EQ766" s="22"/>
      <c r="ER766" s="22"/>
      <c r="ES766" s="344"/>
      <c r="ET766" s="349"/>
      <c r="EU766" s="344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T766" s="27"/>
      <c r="FU766" s="27"/>
    </row>
    <row r="767" spans="24:177" s="9" customFormat="1" x14ac:dyDescent="0.2">
      <c r="X767" s="50"/>
      <c r="AD767" s="22"/>
      <c r="AW767" s="8"/>
      <c r="AX767" s="108"/>
      <c r="AY767" s="102"/>
      <c r="AZ767" s="109"/>
      <c r="BA767" s="11"/>
      <c r="BB767" s="9" t="s">
        <v>558</v>
      </c>
      <c r="BC767" s="22">
        <v>114</v>
      </c>
      <c r="BD767" s="231">
        <v>16</v>
      </c>
      <c r="BE767" s="232" t="s">
        <v>367</v>
      </c>
      <c r="CA767" s="18"/>
      <c r="DH767" s="22"/>
      <c r="DI767" s="22"/>
      <c r="DJ767" s="22"/>
      <c r="DK767" s="344"/>
      <c r="DL767" s="361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22"/>
      <c r="EG767" s="22"/>
      <c r="EH767" s="22"/>
      <c r="EI767" s="22"/>
      <c r="EJ767" s="22"/>
      <c r="EK767" s="22"/>
      <c r="EL767" s="22"/>
      <c r="EM767" s="22"/>
      <c r="EN767" s="344"/>
      <c r="EO767" s="344"/>
      <c r="EP767" s="22"/>
      <c r="EQ767" s="22"/>
      <c r="ER767" s="22"/>
      <c r="ES767" s="344"/>
      <c r="ET767" s="349"/>
      <c r="EU767" s="344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T767" s="27"/>
      <c r="FU767" s="27"/>
    </row>
    <row r="768" spans="24:177" s="9" customFormat="1" x14ac:dyDescent="0.2">
      <c r="X768" s="50"/>
      <c r="AD768" s="22"/>
      <c r="AW768" s="8"/>
      <c r="AX768" s="108"/>
      <c r="AY768" s="102"/>
      <c r="AZ768" s="109"/>
      <c r="BA768" s="11"/>
      <c r="BB768" s="9" t="s">
        <v>558</v>
      </c>
      <c r="BC768" s="22">
        <v>115</v>
      </c>
      <c r="BD768" s="231">
        <v>16</v>
      </c>
      <c r="BE768" s="232" t="s">
        <v>290</v>
      </c>
      <c r="CA768" s="18"/>
      <c r="DH768" s="22"/>
      <c r="DI768" s="22"/>
      <c r="DJ768" s="22"/>
      <c r="DK768" s="344"/>
      <c r="DL768" s="361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22"/>
      <c r="EG768" s="22"/>
      <c r="EH768" s="22"/>
      <c r="EI768" s="22"/>
      <c r="EJ768" s="22"/>
      <c r="EK768" s="22"/>
      <c r="EL768" s="22"/>
      <c r="EM768" s="22"/>
      <c r="EN768" s="344"/>
      <c r="EO768" s="344"/>
      <c r="EP768" s="22"/>
      <c r="EQ768" s="22"/>
      <c r="ER768" s="22"/>
      <c r="ES768" s="344"/>
      <c r="ET768" s="349"/>
      <c r="EU768" s="344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T768" s="27"/>
      <c r="FU768" s="27"/>
    </row>
    <row r="769" spans="24:177" s="9" customFormat="1" x14ac:dyDescent="0.2">
      <c r="X769" s="50"/>
      <c r="AD769" s="22"/>
      <c r="AW769" s="8"/>
      <c r="AX769" s="108"/>
      <c r="AY769" s="102"/>
      <c r="AZ769" s="109"/>
      <c r="BA769" s="11"/>
      <c r="BB769" s="9" t="s">
        <v>558</v>
      </c>
      <c r="BC769" s="22">
        <v>116</v>
      </c>
      <c r="BD769" s="231">
        <v>16</v>
      </c>
      <c r="BE769" s="232" t="s">
        <v>287</v>
      </c>
      <c r="CA769" s="18"/>
      <c r="DH769" s="22"/>
      <c r="DI769" s="22"/>
      <c r="DJ769" s="22"/>
      <c r="DK769" s="344"/>
      <c r="DL769" s="361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22"/>
      <c r="EG769" s="22"/>
      <c r="EH769" s="22"/>
      <c r="EI769" s="22"/>
      <c r="EJ769" s="22"/>
      <c r="EK769" s="22"/>
      <c r="EL769" s="22"/>
      <c r="EM769" s="22"/>
      <c r="EN769" s="344"/>
      <c r="EO769" s="344"/>
      <c r="EP769" s="22"/>
      <c r="EQ769" s="22"/>
      <c r="ER769" s="22"/>
      <c r="ES769" s="344"/>
      <c r="ET769" s="349"/>
      <c r="EU769" s="344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T769" s="27"/>
      <c r="FU769" s="27"/>
    </row>
    <row r="770" spans="24:177" s="9" customFormat="1" x14ac:dyDescent="0.2">
      <c r="X770" s="50"/>
      <c r="AD770" s="22"/>
      <c r="AW770" s="8"/>
      <c r="AX770" s="108"/>
      <c r="AY770" s="102"/>
      <c r="AZ770" s="109"/>
      <c r="BA770" s="11"/>
      <c r="BB770" s="9" t="s">
        <v>558</v>
      </c>
      <c r="BC770" s="22">
        <v>117</v>
      </c>
      <c r="BD770" s="231">
        <v>16</v>
      </c>
      <c r="BE770" s="232" t="s">
        <v>291</v>
      </c>
      <c r="CA770" s="18"/>
      <c r="DH770" s="22"/>
      <c r="DI770" s="22"/>
      <c r="DJ770" s="22"/>
      <c r="DK770" s="344"/>
      <c r="DL770" s="361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22"/>
      <c r="EG770" s="22"/>
      <c r="EH770" s="22"/>
      <c r="EI770" s="22"/>
      <c r="EJ770" s="22"/>
      <c r="EK770" s="22"/>
      <c r="EL770" s="22"/>
      <c r="EM770" s="22"/>
      <c r="EN770" s="344"/>
      <c r="EO770" s="344"/>
      <c r="EP770" s="22"/>
      <c r="EQ770" s="22"/>
      <c r="ER770" s="22"/>
      <c r="ES770" s="344"/>
      <c r="ET770" s="349"/>
      <c r="EU770" s="344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T770" s="27"/>
      <c r="FU770" s="27"/>
    </row>
    <row r="771" spans="24:177" s="9" customFormat="1" x14ac:dyDescent="0.2">
      <c r="X771" s="50"/>
      <c r="AD771" s="22"/>
      <c r="AW771" s="8"/>
      <c r="AX771" s="108"/>
      <c r="AY771" s="102"/>
      <c r="AZ771" s="109"/>
      <c r="BA771" s="11"/>
      <c r="BB771" s="9" t="s">
        <v>558</v>
      </c>
      <c r="BC771" s="22">
        <v>118</v>
      </c>
      <c r="BD771" s="231">
        <v>16</v>
      </c>
      <c r="BE771" s="232" t="s">
        <v>292</v>
      </c>
      <c r="CA771" s="18"/>
      <c r="DH771" s="22"/>
      <c r="DI771" s="22"/>
      <c r="DJ771" s="22"/>
      <c r="DK771" s="344"/>
      <c r="DL771" s="361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22"/>
      <c r="EG771" s="22"/>
      <c r="EH771" s="22"/>
      <c r="EI771" s="22"/>
      <c r="EJ771" s="22"/>
      <c r="EK771" s="22"/>
      <c r="EL771" s="22"/>
      <c r="EM771" s="22"/>
      <c r="EN771" s="344"/>
      <c r="EO771" s="344"/>
      <c r="EP771" s="22"/>
      <c r="EQ771" s="22"/>
      <c r="ER771" s="22"/>
      <c r="ES771" s="344"/>
      <c r="ET771" s="349"/>
      <c r="EU771" s="344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T771" s="27"/>
      <c r="FU771" s="27"/>
    </row>
    <row r="772" spans="24:177" s="9" customFormat="1" x14ac:dyDescent="0.2">
      <c r="X772" s="50"/>
      <c r="AD772" s="22"/>
      <c r="AW772" s="8"/>
      <c r="AX772" s="108"/>
      <c r="AY772" s="102"/>
      <c r="AZ772" s="109"/>
      <c r="BA772" s="11"/>
      <c r="BB772" s="9" t="s">
        <v>558</v>
      </c>
      <c r="BC772" s="22">
        <v>119</v>
      </c>
      <c r="BD772" s="231">
        <v>16</v>
      </c>
      <c r="BE772" s="232" t="s">
        <v>368</v>
      </c>
      <c r="CA772" s="18"/>
      <c r="DH772" s="22"/>
      <c r="DI772" s="22"/>
      <c r="DJ772" s="22"/>
      <c r="DK772" s="344"/>
      <c r="DL772" s="361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22"/>
      <c r="EG772" s="22"/>
      <c r="EH772" s="22"/>
      <c r="EI772" s="22"/>
      <c r="EJ772" s="22"/>
      <c r="EK772" s="22"/>
      <c r="EL772" s="22"/>
      <c r="EM772" s="22"/>
      <c r="EN772" s="344"/>
      <c r="EO772" s="344"/>
      <c r="EP772" s="22"/>
      <c r="EQ772" s="22"/>
      <c r="ER772" s="22"/>
      <c r="ES772" s="344"/>
      <c r="ET772" s="349"/>
      <c r="EU772" s="344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T772" s="27"/>
      <c r="FU772" s="27"/>
    </row>
    <row r="773" spans="24:177" s="9" customFormat="1" x14ac:dyDescent="0.2">
      <c r="X773" s="50"/>
      <c r="AD773" s="22"/>
      <c r="AW773" s="8"/>
      <c r="AX773" s="108"/>
      <c r="AY773" s="102"/>
      <c r="AZ773" s="109"/>
      <c r="BA773" s="11"/>
      <c r="BB773" s="9" t="s">
        <v>558</v>
      </c>
      <c r="BC773" s="22">
        <v>120</v>
      </c>
      <c r="BD773" s="231">
        <v>16</v>
      </c>
      <c r="BE773" s="232" t="s">
        <v>293</v>
      </c>
      <c r="CA773" s="18"/>
      <c r="DH773" s="22"/>
      <c r="DI773" s="22"/>
      <c r="DJ773" s="22"/>
      <c r="DK773" s="344"/>
      <c r="DL773" s="361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22"/>
      <c r="EG773" s="22"/>
      <c r="EH773" s="22"/>
      <c r="EI773" s="22"/>
      <c r="EJ773" s="22"/>
      <c r="EK773" s="22"/>
      <c r="EL773" s="22"/>
      <c r="EM773" s="22"/>
      <c r="EN773" s="344"/>
      <c r="EO773" s="344"/>
      <c r="EP773" s="22"/>
      <c r="EQ773" s="22"/>
      <c r="ER773" s="22"/>
      <c r="ES773" s="344"/>
      <c r="ET773" s="349"/>
      <c r="EU773" s="344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T773" s="27"/>
      <c r="FU773" s="27"/>
    </row>
    <row r="774" spans="24:177" s="9" customFormat="1" x14ac:dyDescent="0.2">
      <c r="X774" s="50"/>
      <c r="AD774" s="22"/>
      <c r="AW774" s="8"/>
      <c r="AX774" s="108"/>
      <c r="AY774" s="102"/>
      <c r="AZ774" s="109"/>
      <c r="BA774" s="11"/>
      <c r="BB774" s="9" t="s">
        <v>558</v>
      </c>
      <c r="BC774" s="22">
        <v>121</v>
      </c>
      <c r="BD774" s="231">
        <v>20</v>
      </c>
      <c r="BE774" s="232" t="s">
        <v>595</v>
      </c>
      <c r="CA774" s="18"/>
      <c r="DH774" s="22"/>
      <c r="DI774" s="22"/>
      <c r="DJ774" s="22"/>
      <c r="DK774" s="344"/>
      <c r="DL774" s="361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22"/>
      <c r="EG774" s="22"/>
      <c r="EH774" s="22"/>
      <c r="EI774" s="22"/>
      <c r="EJ774" s="22"/>
      <c r="EK774" s="22"/>
      <c r="EL774" s="22"/>
      <c r="EM774" s="22"/>
      <c r="EN774" s="344"/>
      <c r="EO774" s="344"/>
      <c r="EP774" s="22"/>
      <c r="EQ774" s="22"/>
      <c r="ER774" s="22"/>
      <c r="ES774" s="344"/>
      <c r="ET774" s="349"/>
      <c r="EU774" s="344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T774" s="27"/>
      <c r="FU774" s="27"/>
    </row>
    <row r="775" spans="24:177" s="9" customFormat="1" x14ac:dyDescent="0.2">
      <c r="X775" s="50"/>
      <c r="AD775" s="22"/>
      <c r="AW775" s="8"/>
      <c r="AX775" s="108"/>
      <c r="AY775" s="102"/>
      <c r="AZ775" s="109"/>
      <c r="BA775" s="11"/>
      <c r="BB775" s="9" t="s">
        <v>558</v>
      </c>
      <c r="BC775" s="22">
        <v>122</v>
      </c>
      <c r="BD775" s="231">
        <v>20</v>
      </c>
      <c r="BE775" s="232" t="s">
        <v>597</v>
      </c>
      <c r="CA775" s="18"/>
      <c r="DH775" s="22"/>
      <c r="DI775" s="22"/>
      <c r="DJ775" s="22"/>
      <c r="DK775" s="344"/>
      <c r="DL775" s="361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22"/>
      <c r="EG775" s="22"/>
      <c r="EH775" s="22"/>
      <c r="EI775" s="22"/>
      <c r="EJ775" s="22"/>
      <c r="EK775" s="22"/>
      <c r="EL775" s="22"/>
      <c r="EM775" s="22"/>
      <c r="EN775" s="344"/>
      <c r="EO775" s="344"/>
      <c r="EP775" s="22"/>
      <c r="EQ775" s="22"/>
      <c r="ER775" s="22"/>
      <c r="ES775" s="344"/>
      <c r="ET775" s="349"/>
      <c r="EU775" s="344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T775" s="27"/>
      <c r="FU775" s="27"/>
    </row>
    <row r="776" spans="24:177" s="9" customFormat="1" x14ac:dyDescent="0.2">
      <c r="X776" s="50"/>
      <c r="AD776" s="22"/>
      <c r="AW776" s="8"/>
      <c r="AX776" s="108"/>
      <c r="AY776" s="102"/>
      <c r="AZ776" s="109"/>
      <c r="BA776" s="11"/>
      <c r="BB776" s="9" t="s">
        <v>558</v>
      </c>
      <c r="BC776" s="22">
        <v>123</v>
      </c>
      <c r="BD776" s="231">
        <v>20</v>
      </c>
      <c r="BE776" s="232" t="s">
        <v>290</v>
      </c>
      <c r="CA776" s="18"/>
      <c r="DH776" s="22"/>
      <c r="DI776" s="22"/>
      <c r="DJ776" s="22"/>
      <c r="DK776" s="344"/>
      <c r="DL776" s="361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22"/>
      <c r="EG776" s="22"/>
      <c r="EH776" s="22"/>
      <c r="EI776" s="22"/>
      <c r="EJ776" s="22"/>
      <c r="EK776" s="22"/>
      <c r="EL776" s="22"/>
      <c r="EM776" s="22"/>
      <c r="EN776" s="344"/>
      <c r="EO776" s="344"/>
      <c r="EP776" s="22"/>
      <c r="EQ776" s="22"/>
      <c r="ER776" s="22"/>
      <c r="ES776" s="344"/>
      <c r="ET776" s="349"/>
      <c r="EU776" s="344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T776" s="27"/>
      <c r="FU776" s="27"/>
    </row>
    <row r="777" spans="24:177" s="9" customFormat="1" x14ac:dyDescent="0.2">
      <c r="X777" s="50"/>
      <c r="AD777" s="22"/>
      <c r="AW777" s="8"/>
      <c r="AX777" s="108"/>
      <c r="AY777" s="102"/>
      <c r="AZ777" s="109"/>
      <c r="BA777" s="11"/>
      <c r="BB777" s="9" t="s">
        <v>558</v>
      </c>
      <c r="BC777" s="22">
        <v>124</v>
      </c>
      <c r="BD777" s="231">
        <v>20</v>
      </c>
      <c r="BE777" s="232" t="s">
        <v>287</v>
      </c>
      <c r="CA777" s="18"/>
      <c r="DH777" s="22"/>
      <c r="DI777" s="22"/>
      <c r="DJ777" s="22"/>
      <c r="DK777" s="344"/>
      <c r="DL777" s="361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22"/>
      <c r="EG777" s="22"/>
      <c r="EH777" s="22"/>
      <c r="EI777" s="22"/>
      <c r="EJ777" s="22"/>
      <c r="EK777" s="22"/>
      <c r="EL777" s="22"/>
      <c r="EM777" s="22"/>
      <c r="EN777" s="344"/>
      <c r="EO777" s="344"/>
      <c r="EP777" s="22"/>
      <c r="EQ777" s="22"/>
      <c r="ER777" s="22"/>
      <c r="ES777" s="344"/>
      <c r="ET777" s="349"/>
      <c r="EU777" s="344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T777" s="27"/>
      <c r="FU777" s="27"/>
    </row>
    <row r="778" spans="24:177" s="9" customFormat="1" x14ac:dyDescent="0.2">
      <c r="X778" s="50"/>
      <c r="AD778" s="22"/>
      <c r="AW778" s="8"/>
      <c r="AX778" s="108"/>
      <c r="AY778" s="102"/>
      <c r="AZ778" s="109"/>
      <c r="BA778" s="11"/>
      <c r="BB778" s="9" t="s">
        <v>558</v>
      </c>
      <c r="BC778" s="22">
        <v>125</v>
      </c>
      <c r="BD778" s="231">
        <v>20</v>
      </c>
      <c r="BE778" s="232" t="s">
        <v>291</v>
      </c>
      <c r="CA778" s="18"/>
      <c r="DH778" s="22"/>
      <c r="DI778" s="22"/>
      <c r="DJ778" s="22"/>
      <c r="DK778" s="344"/>
      <c r="DL778" s="361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22"/>
      <c r="EG778" s="22"/>
      <c r="EH778" s="22"/>
      <c r="EI778" s="22"/>
      <c r="EJ778" s="22"/>
      <c r="EK778" s="22"/>
      <c r="EL778" s="22"/>
      <c r="EM778" s="22"/>
      <c r="EN778" s="344"/>
      <c r="EO778" s="344"/>
      <c r="EP778" s="22"/>
      <c r="EQ778" s="22"/>
      <c r="ER778" s="22"/>
      <c r="ES778" s="344"/>
      <c r="ET778" s="349"/>
      <c r="EU778" s="344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T778" s="27"/>
      <c r="FU778" s="27"/>
    </row>
    <row r="779" spans="24:177" s="9" customFormat="1" x14ac:dyDescent="0.2">
      <c r="X779" s="50"/>
      <c r="AD779" s="22"/>
      <c r="AW779" s="8"/>
      <c r="AX779" s="108"/>
      <c r="AY779" s="102"/>
      <c r="AZ779" s="109"/>
      <c r="BA779" s="11"/>
      <c r="BB779" s="9" t="s">
        <v>558</v>
      </c>
      <c r="BC779" s="22">
        <v>126</v>
      </c>
      <c r="BD779" s="231">
        <v>20</v>
      </c>
      <c r="BE779" s="232" t="s">
        <v>292</v>
      </c>
      <c r="CA779" s="18"/>
      <c r="DH779" s="22"/>
      <c r="DI779" s="22"/>
      <c r="DJ779" s="22"/>
      <c r="DK779" s="344"/>
      <c r="DL779" s="361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22"/>
      <c r="EG779" s="22"/>
      <c r="EH779" s="22"/>
      <c r="EI779" s="22"/>
      <c r="EJ779" s="22"/>
      <c r="EK779" s="22"/>
      <c r="EL779" s="22"/>
      <c r="EM779" s="22"/>
      <c r="EN779" s="344"/>
      <c r="EO779" s="344"/>
      <c r="EP779" s="22"/>
      <c r="EQ779" s="22"/>
      <c r="ER779" s="22"/>
      <c r="ES779" s="344"/>
      <c r="ET779" s="349"/>
      <c r="EU779" s="344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T779" s="27"/>
      <c r="FU779" s="27"/>
    </row>
    <row r="780" spans="24:177" s="9" customFormat="1" x14ac:dyDescent="0.2">
      <c r="X780" s="50"/>
      <c r="AD780" s="22"/>
      <c r="AW780" s="8"/>
      <c r="AX780" s="108"/>
      <c r="AY780" s="102"/>
      <c r="AZ780" s="109"/>
      <c r="BA780" s="11"/>
      <c r="BB780" s="9" t="s">
        <v>558</v>
      </c>
      <c r="BC780" s="22">
        <v>127</v>
      </c>
      <c r="BD780" s="231">
        <v>20</v>
      </c>
      <c r="BE780" s="232" t="s">
        <v>368</v>
      </c>
      <c r="CA780" s="18"/>
      <c r="DH780" s="22"/>
      <c r="DI780" s="22"/>
      <c r="DJ780" s="22"/>
      <c r="DK780" s="344"/>
      <c r="DL780" s="361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22"/>
      <c r="EG780" s="22"/>
      <c r="EH780" s="22"/>
      <c r="EI780" s="22"/>
      <c r="EJ780" s="22"/>
      <c r="EK780" s="22"/>
      <c r="EL780" s="22"/>
      <c r="EM780" s="22"/>
      <c r="EN780" s="344"/>
      <c r="EO780" s="344"/>
      <c r="EP780" s="22"/>
      <c r="EQ780" s="22"/>
      <c r="ER780" s="22"/>
      <c r="ES780" s="344"/>
      <c r="ET780" s="349"/>
      <c r="EU780" s="344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T780" s="27"/>
      <c r="FU780" s="27"/>
    </row>
    <row r="781" spans="24:177" s="9" customFormat="1" x14ac:dyDescent="0.2">
      <c r="X781" s="50"/>
      <c r="AD781" s="22"/>
      <c r="AW781" s="8"/>
      <c r="AX781" s="108"/>
      <c r="AY781" s="102"/>
      <c r="AZ781" s="109"/>
      <c r="BA781" s="11"/>
      <c r="BB781" s="9" t="s">
        <v>558</v>
      </c>
      <c r="BC781" s="22">
        <v>128</v>
      </c>
      <c r="BD781" s="231">
        <v>20</v>
      </c>
      <c r="BE781" s="232" t="s">
        <v>293</v>
      </c>
      <c r="CA781" s="18"/>
      <c r="DH781" s="22"/>
      <c r="DI781" s="22"/>
      <c r="DJ781" s="22"/>
      <c r="DK781" s="344"/>
      <c r="DL781" s="361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22"/>
      <c r="EG781" s="22"/>
      <c r="EH781" s="22"/>
      <c r="EI781" s="22"/>
      <c r="EJ781" s="22"/>
      <c r="EK781" s="22"/>
      <c r="EL781" s="22"/>
      <c r="EM781" s="22"/>
      <c r="EN781" s="344"/>
      <c r="EO781" s="344"/>
      <c r="EP781" s="22"/>
      <c r="EQ781" s="22"/>
      <c r="ER781" s="22"/>
      <c r="ES781" s="344"/>
      <c r="ET781" s="349"/>
      <c r="EU781" s="344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T781" s="27"/>
      <c r="FU781" s="27"/>
    </row>
    <row r="782" spans="24:177" s="9" customFormat="1" x14ac:dyDescent="0.2">
      <c r="X782" s="50"/>
      <c r="AD782" s="22"/>
      <c r="AW782" s="8"/>
      <c r="AX782" s="108"/>
      <c r="AY782" s="102"/>
      <c r="AZ782" s="109"/>
      <c r="BA782" s="11"/>
      <c r="BB782" s="9" t="s">
        <v>558</v>
      </c>
      <c r="BC782" s="22">
        <v>129</v>
      </c>
      <c r="BD782" s="231">
        <v>25</v>
      </c>
      <c r="BE782" s="232" t="s">
        <v>595</v>
      </c>
      <c r="CA782" s="18"/>
      <c r="DH782" s="22"/>
      <c r="DI782" s="22"/>
      <c r="DJ782" s="22"/>
      <c r="DK782" s="344"/>
      <c r="DL782" s="361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22"/>
      <c r="EG782" s="22"/>
      <c r="EH782" s="22"/>
      <c r="EI782" s="22"/>
      <c r="EJ782" s="22"/>
      <c r="EK782" s="22"/>
      <c r="EL782" s="22"/>
      <c r="EM782" s="22"/>
      <c r="EN782" s="344"/>
      <c r="EO782" s="344"/>
      <c r="EP782" s="22"/>
      <c r="EQ782" s="22"/>
      <c r="ER782" s="22"/>
      <c r="ES782" s="344"/>
      <c r="ET782" s="349"/>
      <c r="EU782" s="344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T782" s="27"/>
      <c r="FU782" s="27"/>
    </row>
    <row r="783" spans="24:177" s="9" customFormat="1" x14ac:dyDescent="0.2">
      <c r="X783" s="50"/>
      <c r="AD783" s="22"/>
      <c r="AW783" s="8"/>
      <c r="AX783" s="108"/>
      <c r="AY783" s="102"/>
      <c r="AZ783" s="109"/>
      <c r="BA783" s="11"/>
      <c r="BB783" s="9" t="s">
        <v>558</v>
      </c>
      <c r="BC783" s="22">
        <v>130</v>
      </c>
      <c r="BD783" s="231">
        <v>25</v>
      </c>
      <c r="BE783" s="232" t="s">
        <v>597</v>
      </c>
      <c r="CA783" s="18"/>
      <c r="DH783" s="22"/>
      <c r="DI783" s="22"/>
      <c r="DJ783" s="22"/>
      <c r="DK783" s="344"/>
      <c r="DL783" s="361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22"/>
      <c r="EG783" s="22"/>
      <c r="EH783" s="22"/>
      <c r="EI783" s="22"/>
      <c r="EJ783" s="22"/>
      <c r="EK783" s="22"/>
      <c r="EL783" s="22"/>
      <c r="EM783" s="22"/>
      <c r="EN783" s="344"/>
      <c r="EO783" s="344"/>
      <c r="EP783" s="22"/>
      <c r="EQ783" s="22"/>
      <c r="ER783" s="22"/>
      <c r="ES783" s="344"/>
      <c r="ET783" s="349"/>
      <c r="EU783" s="344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T783" s="27"/>
      <c r="FU783" s="27"/>
    </row>
    <row r="784" spans="24:177" s="9" customFormat="1" x14ac:dyDescent="0.2">
      <c r="X784" s="50"/>
      <c r="AD784" s="22"/>
      <c r="AW784" s="8"/>
      <c r="AX784" s="108"/>
      <c r="AY784" s="102"/>
      <c r="AZ784" s="109"/>
      <c r="BA784" s="11"/>
      <c r="BB784" s="9" t="s">
        <v>558</v>
      </c>
      <c r="BC784" s="22">
        <v>131</v>
      </c>
      <c r="BD784" s="231">
        <v>25</v>
      </c>
      <c r="BE784" s="232" t="s">
        <v>290</v>
      </c>
      <c r="CA784" s="18"/>
      <c r="DH784" s="22"/>
      <c r="DI784" s="22"/>
      <c r="DJ784" s="22"/>
      <c r="DK784" s="344"/>
      <c r="DL784" s="361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22"/>
      <c r="EG784" s="22"/>
      <c r="EH784" s="22"/>
      <c r="EI784" s="22"/>
      <c r="EJ784" s="22"/>
      <c r="EK784" s="22"/>
      <c r="EL784" s="22"/>
      <c r="EM784" s="22"/>
      <c r="EN784" s="344"/>
      <c r="EO784" s="344"/>
      <c r="EP784" s="22"/>
      <c r="EQ784" s="22"/>
      <c r="ER784" s="22"/>
      <c r="ES784" s="344"/>
      <c r="ET784" s="349"/>
      <c r="EU784" s="344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T784" s="27"/>
      <c r="FU784" s="27"/>
    </row>
    <row r="785" spans="24:177" s="9" customFormat="1" x14ac:dyDescent="0.2">
      <c r="X785" s="50"/>
      <c r="AD785" s="22"/>
      <c r="AW785" s="8"/>
      <c r="AX785" s="108"/>
      <c r="AY785" s="102"/>
      <c r="AZ785" s="109"/>
      <c r="BA785" s="11"/>
      <c r="BB785" s="9" t="s">
        <v>558</v>
      </c>
      <c r="BC785" s="22">
        <v>132</v>
      </c>
      <c r="BD785" s="231">
        <v>25</v>
      </c>
      <c r="BE785" s="232" t="s">
        <v>287</v>
      </c>
      <c r="CA785" s="18"/>
      <c r="DH785" s="22"/>
      <c r="DI785" s="22"/>
      <c r="DJ785" s="22"/>
      <c r="DK785" s="344"/>
      <c r="DL785" s="361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22"/>
      <c r="EG785" s="22"/>
      <c r="EH785" s="22"/>
      <c r="EI785" s="22"/>
      <c r="EJ785" s="22"/>
      <c r="EK785" s="22"/>
      <c r="EL785" s="22"/>
      <c r="EM785" s="22"/>
      <c r="EN785" s="344"/>
      <c r="EO785" s="344"/>
      <c r="EP785" s="22"/>
      <c r="EQ785" s="22"/>
      <c r="ER785" s="22"/>
      <c r="ES785" s="344"/>
      <c r="ET785" s="349"/>
      <c r="EU785" s="344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T785" s="27"/>
      <c r="FU785" s="27"/>
    </row>
    <row r="786" spans="24:177" s="9" customFormat="1" x14ac:dyDescent="0.2">
      <c r="X786" s="50"/>
      <c r="AD786" s="22"/>
      <c r="AW786" s="8"/>
      <c r="AX786" s="108"/>
      <c r="AY786" s="102"/>
      <c r="AZ786" s="109"/>
      <c r="BA786" s="11"/>
      <c r="BB786" s="9" t="s">
        <v>558</v>
      </c>
      <c r="BC786" s="22">
        <v>133</v>
      </c>
      <c r="BD786" s="231">
        <v>25</v>
      </c>
      <c r="BE786" s="232" t="s">
        <v>291</v>
      </c>
      <c r="CA786" s="18"/>
      <c r="DH786" s="22"/>
      <c r="DI786" s="22"/>
      <c r="DJ786" s="22"/>
      <c r="DK786" s="344"/>
      <c r="DL786" s="361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22"/>
      <c r="EG786" s="22"/>
      <c r="EH786" s="22"/>
      <c r="EI786" s="22"/>
      <c r="EJ786" s="22"/>
      <c r="EK786" s="22"/>
      <c r="EL786" s="22"/>
      <c r="EM786" s="22"/>
      <c r="EN786" s="344"/>
      <c r="EO786" s="344"/>
      <c r="EP786" s="22"/>
      <c r="EQ786" s="22"/>
      <c r="ER786" s="22"/>
      <c r="ES786" s="344"/>
      <c r="ET786" s="349"/>
      <c r="EU786" s="344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T786" s="27"/>
      <c r="FU786" s="27"/>
    </row>
    <row r="787" spans="24:177" s="9" customFormat="1" x14ac:dyDescent="0.2">
      <c r="X787" s="50"/>
      <c r="AD787" s="22"/>
      <c r="AW787" s="8"/>
      <c r="AX787" s="108"/>
      <c r="AY787" s="102"/>
      <c r="AZ787" s="109"/>
      <c r="BA787" s="11"/>
      <c r="BB787" s="9" t="s">
        <v>558</v>
      </c>
      <c r="BC787" s="22">
        <v>134</v>
      </c>
      <c r="BD787" s="231">
        <v>25</v>
      </c>
      <c r="BE787" s="232" t="s">
        <v>292</v>
      </c>
      <c r="CA787" s="18"/>
      <c r="DH787" s="22"/>
      <c r="DI787" s="22"/>
      <c r="DJ787" s="22"/>
      <c r="DK787" s="344"/>
      <c r="DL787" s="361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22"/>
      <c r="EG787" s="22"/>
      <c r="EH787" s="22"/>
      <c r="EI787" s="22"/>
      <c r="EJ787" s="22"/>
      <c r="EK787" s="22"/>
      <c r="EL787" s="22"/>
      <c r="EM787" s="22"/>
      <c r="EN787" s="344"/>
      <c r="EO787" s="344"/>
      <c r="EP787" s="22"/>
      <c r="EQ787" s="22"/>
      <c r="ER787" s="22"/>
      <c r="ES787" s="344"/>
      <c r="ET787" s="349"/>
      <c r="EU787" s="344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T787" s="27"/>
      <c r="FU787" s="27"/>
    </row>
    <row r="788" spans="24:177" s="9" customFormat="1" x14ac:dyDescent="0.2">
      <c r="X788" s="50"/>
      <c r="AD788" s="22"/>
      <c r="AW788" s="8"/>
      <c r="AX788" s="108"/>
      <c r="AY788" s="102"/>
      <c r="AZ788" s="109"/>
      <c r="BA788" s="11"/>
      <c r="BB788" s="9" t="s">
        <v>558</v>
      </c>
      <c r="BC788" s="22">
        <v>135</v>
      </c>
      <c r="BD788" s="231">
        <v>25</v>
      </c>
      <c r="BE788" s="232" t="s">
        <v>368</v>
      </c>
      <c r="CA788" s="18"/>
      <c r="DH788" s="22"/>
      <c r="DI788" s="22"/>
      <c r="DJ788" s="22"/>
      <c r="DK788" s="344"/>
      <c r="DL788" s="361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22"/>
      <c r="EG788" s="22"/>
      <c r="EH788" s="22"/>
      <c r="EI788" s="22"/>
      <c r="EJ788" s="22"/>
      <c r="EK788" s="22"/>
      <c r="EL788" s="22"/>
      <c r="EM788" s="22"/>
      <c r="EN788" s="344"/>
      <c r="EO788" s="344"/>
      <c r="EP788" s="22"/>
      <c r="EQ788" s="22"/>
      <c r="ER788" s="22"/>
      <c r="ES788" s="344"/>
      <c r="ET788" s="349"/>
      <c r="EU788" s="344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T788" s="27"/>
      <c r="FU788" s="27"/>
    </row>
    <row r="789" spans="24:177" s="9" customFormat="1" x14ac:dyDescent="0.2">
      <c r="X789" s="50"/>
      <c r="AD789" s="22"/>
      <c r="AW789" s="8"/>
      <c r="AX789" s="108"/>
      <c r="AY789" s="102"/>
      <c r="AZ789" s="109"/>
      <c r="BA789" s="11"/>
      <c r="BB789" s="9" t="s">
        <v>558</v>
      </c>
      <c r="BC789" s="22">
        <v>136</v>
      </c>
      <c r="BD789" s="231">
        <v>25</v>
      </c>
      <c r="BE789" s="232" t="s">
        <v>293</v>
      </c>
      <c r="CA789" s="18"/>
      <c r="DH789" s="22"/>
      <c r="DI789" s="22"/>
      <c r="DJ789" s="22"/>
      <c r="DK789" s="344"/>
      <c r="DL789" s="361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22"/>
      <c r="EG789" s="22"/>
      <c r="EH789" s="22"/>
      <c r="EI789" s="22"/>
      <c r="EJ789" s="22"/>
      <c r="EK789" s="22"/>
      <c r="EL789" s="22"/>
      <c r="EM789" s="22"/>
      <c r="EN789" s="344"/>
      <c r="EO789" s="344"/>
      <c r="EP789" s="22"/>
      <c r="EQ789" s="22"/>
      <c r="ER789" s="22"/>
      <c r="ES789" s="344"/>
      <c r="ET789" s="349"/>
      <c r="EU789" s="344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T789" s="27"/>
      <c r="FU789" s="27"/>
    </row>
    <row r="790" spans="24:177" s="9" customFormat="1" x14ac:dyDescent="0.2">
      <c r="X790" s="50"/>
      <c r="AD790" s="22"/>
      <c r="AW790" s="8"/>
      <c r="AX790" s="108"/>
      <c r="AY790" s="102"/>
      <c r="AZ790" s="109"/>
      <c r="BA790" s="11"/>
      <c r="BB790" s="9" t="s">
        <v>558</v>
      </c>
      <c r="BC790" s="22">
        <v>137</v>
      </c>
      <c r="BD790" s="231">
        <v>32</v>
      </c>
      <c r="BE790" s="232" t="s">
        <v>595</v>
      </c>
      <c r="CA790" s="18"/>
      <c r="DH790" s="22"/>
      <c r="DI790" s="22"/>
      <c r="DJ790" s="22"/>
      <c r="DK790" s="344"/>
      <c r="DL790" s="361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22"/>
      <c r="EG790" s="22"/>
      <c r="EH790" s="22"/>
      <c r="EI790" s="22"/>
      <c r="EJ790" s="22"/>
      <c r="EK790" s="22"/>
      <c r="EL790" s="22"/>
      <c r="EM790" s="22"/>
      <c r="EN790" s="344"/>
      <c r="EO790" s="344"/>
      <c r="EP790" s="22"/>
      <c r="EQ790" s="22"/>
      <c r="ER790" s="22"/>
      <c r="ES790" s="344"/>
      <c r="ET790" s="349"/>
      <c r="EU790" s="344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T790" s="27"/>
      <c r="FU790" s="27"/>
    </row>
    <row r="791" spans="24:177" s="9" customFormat="1" x14ac:dyDescent="0.2">
      <c r="X791" s="50"/>
      <c r="AD791" s="22"/>
      <c r="AW791" s="8"/>
      <c r="AX791" s="108"/>
      <c r="AY791" s="102"/>
      <c r="AZ791" s="109"/>
      <c r="BA791" s="11"/>
      <c r="BB791" s="9" t="s">
        <v>558</v>
      </c>
      <c r="BC791" s="22">
        <v>138</v>
      </c>
      <c r="BD791" s="231">
        <v>32</v>
      </c>
      <c r="BE791" s="232" t="s">
        <v>597</v>
      </c>
      <c r="CA791" s="18"/>
      <c r="DH791" s="22"/>
      <c r="DI791" s="22"/>
      <c r="DJ791" s="22"/>
      <c r="DK791" s="344"/>
      <c r="DL791" s="361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22"/>
      <c r="EG791" s="22"/>
      <c r="EH791" s="22"/>
      <c r="EI791" s="22"/>
      <c r="EJ791" s="22"/>
      <c r="EK791" s="22"/>
      <c r="EL791" s="22"/>
      <c r="EM791" s="22"/>
      <c r="EN791" s="344"/>
      <c r="EO791" s="344"/>
      <c r="EP791" s="22"/>
      <c r="EQ791" s="22"/>
      <c r="ER791" s="22"/>
      <c r="ES791" s="344"/>
      <c r="ET791" s="349"/>
      <c r="EU791" s="344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T791" s="27"/>
      <c r="FU791" s="27"/>
    </row>
    <row r="792" spans="24:177" s="9" customFormat="1" x14ac:dyDescent="0.2">
      <c r="X792" s="50"/>
      <c r="AD792" s="22"/>
      <c r="AW792" s="8"/>
      <c r="AX792" s="108"/>
      <c r="AY792" s="102"/>
      <c r="AZ792" s="109"/>
      <c r="BA792" s="11"/>
      <c r="BB792" s="9" t="s">
        <v>558</v>
      </c>
      <c r="BC792" s="22">
        <v>139</v>
      </c>
      <c r="BD792" s="231">
        <v>32</v>
      </c>
      <c r="BE792" s="232" t="s">
        <v>290</v>
      </c>
      <c r="CA792" s="18"/>
      <c r="DH792" s="22"/>
      <c r="DI792" s="22"/>
      <c r="DJ792" s="22"/>
      <c r="DK792" s="344"/>
      <c r="DL792" s="361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22"/>
      <c r="EG792" s="22"/>
      <c r="EH792" s="22"/>
      <c r="EI792" s="22"/>
      <c r="EJ792" s="22"/>
      <c r="EK792" s="22"/>
      <c r="EL792" s="22"/>
      <c r="EM792" s="22"/>
      <c r="EN792" s="344"/>
      <c r="EO792" s="344"/>
      <c r="EP792" s="22"/>
      <c r="EQ792" s="22"/>
      <c r="ER792" s="22"/>
      <c r="ES792" s="344"/>
      <c r="ET792" s="349"/>
      <c r="EU792" s="344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T792" s="27"/>
      <c r="FU792" s="27"/>
    </row>
    <row r="793" spans="24:177" s="9" customFormat="1" x14ac:dyDescent="0.2">
      <c r="X793" s="50"/>
      <c r="AD793" s="22"/>
      <c r="AW793" s="8"/>
      <c r="AX793" s="108"/>
      <c r="AY793" s="102"/>
      <c r="AZ793" s="109"/>
      <c r="BA793" s="11"/>
      <c r="BB793" s="9" t="s">
        <v>558</v>
      </c>
      <c r="BC793" s="22">
        <v>140</v>
      </c>
      <c r="BD793" s="231">
        <v>32</v>
      </c>
      <c r="BE793" s="232" t="s">
        <v>287</v>
      </c>
      <c r="CA793" s="18"/>
      <c r="DH793" s="22"/>
      <c r="DI793" s="22"/>
      <c r="DJ793" s="22"/>
      <c r="DK793" s="344"/>
      <c r="DL793" s="361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22"/>
      <c r="EG793" s="22"/>
      <c r="EH793" s="22"/>
      <c r="EI793" s="22"/>
      <c r="EJ793" s="22"/>
      <c r="EK793" s="22"/>
      <c r="EL793" s="22"/>
      <c r="EM793" s="22"/>
      <c r="EN793" s="344"/>
      <c r="EO793" s="344"/>
      <c r="EP793" s="22"/>
      <c r="EQ793" s="22"/>
      <c r="ER793" s="22"/>
      <c r="ES793" s="344"/>
      <c r="ET793" s="349"/>
      <c r="EU793" s="344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T793" s="27"/>
      <c r="FU793" s="27"/>
    </row>
    <row r="794" spans="24:177" s="9" customFormat="1" x14ac:dyDescent="0.2">
      <c r="X794" s="50"/>
      <c r="AD794" s="22"/>
      <c r="AW794" s="8"/>
      <c r="AX794" s="108"/>
      <c r="AY794" s="102"/>
      <c r="AZ794" s="109"/>
      <c r="BA794" s="11"/>
      <c r="BB794" s="9" t="s">
        <v>558</v>
      </c>
      <c r="BC794" s="22">
        <v>141</v>
      </c>
      <c r="BD794" s="231">
        <v>32</v>
      </c>
      <c r="BE794" s="232" t="s">
        <v>291</v>
      </c>
      <c r="CA794" s="18"/>
      <c r="DH794" s="22"/>
      <c r="DI794" s="22"/>
      <c r="DJ794" s="22"/>
      <c r="DK794" s="344"/>
      <c r="DL794" s="361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22"/>
      <c r="EG794" s="22"/>
      <c r="EH794" s="22"/>
      <c r="EI794" s="22"/>
      <c r="EJ794" s="22"/>
      <c r="EK794" s="22"/>
      <c r="EL794" s="22"/>
      <c r="EM794" s="22"/>
      <c r="EN794" s="344"/>
      <c r="EO794" s="344"/>
      <c r="EP794" s="22"/>
      <c r="EQ794" s="22"/>
      <c r="ER794" s="22"/>
      <c r="ES794" s="344"/>
      <c r="ET794" s="349"/>
      <c r="EU794" s="344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T794" s="27"/>
      <c r="FU794" s="27"/>
    </row>
    <row r="795" spans="24:177" s="9" customFormat="1" x14ac:dyDescent="0.2">
      <c r="X795" s="50"/>
      <c r="AD795" s="22"/>
      <c r="AW795" s="8"/>
      <c r="AX795" s="108"/>
      <c r="AY795" s="102"/>
      <c r="AZ795" s="109"/>
      <c r="BA795" s="11"/>
      <c r="BB795" s="9" t="s">
        <v>558</v>
      </c>
      <c r="BC795" s="22">
        <v>142</v>
      </c>
      <c r="BD795" s="231">
        <v>32</v>
      </c>
      <c r="BE795" s="232" t="s">
        <v>292</v>
      </c>
      <c r="CA795" s="18"/>
      <c r="DH795" s="22"/>
      <c r="DI795" s="22"/>
      <c r="DJ795" s="22"/>
      <c r="DK795" s="344"/>
      <c r="DL795" s="361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22"/>
      <c r="EG795" s="22"/>
      <c r="EH795" s="22"/>
      <c r="EI795" s="22"/>
      <c r="EJ795" s="22"/>
      <c r="EK795" s="22"/>
      <c r="EL795" s="22"/>
      <c r="EM795" s="22"/>
      <c r="EN795" s="344"/>
      <c r="EO795" s="344"/>
      <c r="EP795" s="22"/>
      <c r="EQ795" s="22"/>
      <c r="ER795" s="22"/>
      <c r="ES795" s="344"/>
      <c r="ET795" s="349"/>
      <c r="EU795" s="344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T795" s="27"/>
      <c r="FU795" s="27"/>
    </row>
    <row r="796" spans="24:177" s="9" customFormat="1" x14ac:dyDescent="0.2">
      <c r="X796" s="50"/>
      <c r="AD796" s="22"/>
      <c r="AW796" s="8"/>
      <c r="AX796" s="108"/>
      <c r="AY796" s="102"/>
      <c r="AZ796" s="109"/>
      <c r="BA796" s="11"/>
      <c r="BB796" s="9" t="s">
        <v>558</v>
      </c>
      <c r="BC796" s="22">
        <v>143</v>
      </c>
      <c r="BD796" s="231">
        <v>32</v>
      </c>
      <c r="BE796" s="232" t="s">
        <v>368</v>
      </c>
      <c r="CA796" s="18"/>
      <c r="DH796" s="22"/>
      <c r="DI796" s="22"/>
      <c r="DJ796" s="22"/>
      <c r="DK796" s="344"/>
      <c r="DL796" s="361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22"/>
      <c r="EG796" s="22"/>
      <c r="EH796" s="22"/>
      <c r="EI796" s="22"/>
      <c r="EJ796" s="22"/>
      <c r="EK796" s="22"/>
      <c r="EL796" s="22"/>
      <c r="EM796" s="22"/>
      <c r="EN796" s="344"/>
      <c r="EO796" s="344"/>
      <c r="EP796" s="22"/>
      <c r="EQ796" s="22"/>
      <c r="ER796" s="22"/>
      <c r="ES796" s="344"/>
      <c r="ET796" s="349"/>
      <c r="EU796" s="344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T796" s="27"/>
      <c r="FU796" s="27"/>
    </row>
    <row r="797" spans="24:177" s="9" customFormat="1" x14ac:dyDescent="0.2">
      <c r="X797" s="50"/>
      <c r="AD797" s="22"/>
      <c r="AW797" s="8"/>
      <c r="AX797" s="108"/>
      <c r="AY797" s="102"/>
      <c r="AZ797" s="109"/>
      <c r="BA797" s="11"/>
      <c r="BB797" s="9" t="s">
        <v>558</v>
      </c>
      <c r="BC797" s="22">
        <v>144</v>
      </c>
      <c r="BD797" s="231">
        <v>32</v>
      </c>
      <c r="BE797" s="232" t="s">
        <v>293</v>
      </c>
      <c r="CA797" s="18"/>
      <c r="DH797" s="22"/>
      <c r="DI797" s="22"/>
      <c r="DJ797" s="22"/>
      <c r="DK797" s="344"/>
      <c r="DL797" s="361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22"/>
      <c r="EG797" s="22"/>
      <c r="EH797" s="22"/>
      <c r="EI797" s="22"/>
      <c r="EJ797" s="22"/>
      <c r="EK797" s="22"/>
      <c r="EL797" s="22"/>
      <c r="EM797" s="22"/>
      <c r="EN797" s="344"/>
      <c r="EO797" s="344"/>
      <c r="EP797" s="22"/>
      <c r="EQ797" s="22"/>
      <c r="ER797" s="22"/>
      <c r="ES797" s="344"/>
      <c r="ET797" s="349"/>
      <c r="EU797" s="344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T797" s="27"/>
      <c r="FU797" s="27"/>
    </row>
    <row r="798" spans="24:177" s="9" customFormat="1" x14ac:dyDescent="0.2">
      <c r="X798" s="50"/>
      <c r="AD798" s="22"/>
      <c r="AW798" s="8"/>
      <c r="AX798" s="108"/>
      <c r="AY798" s="102"/>
      <c r="AZ798" s="109"/>
      <c r="BA798" s="11"/>
      <c r="BB798" s="9" t="s">
        <v>558</v>
      </c>
      <c r="BC798" s="22">
        <v>145</v>
      </c>
      <c r="BD798" s="231">
        <v>40</v>
      </c>
      <c r="BE798" s="232" t="s">
        <v>595</v>
      </c>
      <c r="CA798" s="18"/>
      <c r="DH798" s="22"/>
      <c r="DI798" s="22"/>
      <c r="DJ798" s="22"/>
      <c r="DK798" s="344"/>
      <c r="DL798" s="361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22"/>
      <c r="EG798" s="22"/>
      <c r="EH798" s="22"/>
      <c r="EI798" s="22"/>
      <c r="EJ798" s="22"/>
      <c r="EK798" s="22"/>
      <c r="EL798" s="22"/>
      <c r="EM798" s="22"/>
      <c r="EN798" s="344"/>
      <c r="EO798" s="344"/>
      <c r="EP798" s="22"/>
      <c r="EQ798" s="22"/>
      <c r="ER798" s="22"/>
      <c r="ES798" s="344"/>
      <c r="ET798" s="349"/>
      <c r="EU798" s="344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T798" s="27"/>
      <c r="FU798" s="27"/>
    </row>
    <row r="799" spans="24:177" s="9" customFormat="1" x14ac:dyDescent="0.2">
      <c r="X799" s="50"/>
      <c r="AD799" s="22"/>
      <c r="AW799" s="8"/>
      <c r="AX799" s="108"/>
      <c r="AY799" s="102"/>
      <c r="AZ799" s="109"/>
      <c r="BA799" s="11"/>
      <c r="BB799" s="9" t="s">
        <v>558</v>
      </c>
      <c r="BC799" s="22">
        <v>146</v>
      </c>
      <c r="BD799" s="231">
        <v>40</v>
      </c>
      <c r="BE799" s="232" t="s">
        <v>597</v>
      </c>
      <c r="CA799" s="18"/>
      <c r="DH799" s="22"/>
      <c r="DI799" s="22"/>
      <c r="DJ799" s="22"/>
      <c r="DK799" s="344"/>
      <c r="DL799" s="361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22"/>
      <c r="EG799" s="22"/>
      <c r="EH799" s="22"/>
      <c r="EI799" s="22"/>
      <c r="EJ799" s="22"/>
      <c r="EK799" s="22"/>
      <c r="EL799" s="22"/>
      <c r="EM799" s="22"/>
      <c r="EN799" s="344"/>
      <c r="EO799" s="344"/>
      <c r="EP799" s="22"/>
      <c r="EQ799" s="22"/>
      <c r="ER799" s="22"/>
      <c r="ES799" s="344"/>
      <c r="ET799" s="349"/>
      <c r="EU799" s="344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T799" s="27"/>
      <c r="FU799" s="27"/>
    </row>
    <row r="800" spans="24:177" s="9" customFormat="1" x14ac:dyDescent="0.2">
      <c r="X800" s="50"/>
      <c r="AD800" s="22"/>
      <c r="AW800" s="8"/>
      <c r="AX800" s="108"/>
      <c r="AY800" s="102"/>
      <c r="AZ800" s="109"/>
      <c r="BA800" s="11"/>
      <c r="BB800" s="9" t="s">
        <v>558</v>
      </c>
      <c r="BC800" s="22">
        <v>147</v>
      </c>
      <c r="BD800" s="231">
        <v>40</v>
      </c>
      <c r="BE800" s="232" t="s">
        <v>290</v>
      </c>
      <c r="CA800" s="18"/>
      <c r="DH800" s="22"/>
      <c r="DI800" s="22"/>
      <c r="DJ800" s="22"/>
      <c r="DK800" s="344"/>
      <c r="DL800" s="361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22"/>
      <c r="EG800" s="22"/>
      <c r="EH800" s="22"/>
      <c r="EI800" s="22"/>
      <c r="EJ800" s="22"/>
      <c r="EK800" s="22"/>
      <c r="EL800" s="22"/>
      <c r="EM800" s="22"/>
      <c r="EN800" s="344"/>
      <c r="EO800" s="344"/>
      <c r="EP800" s="22"/>
      <c r="EQ800" s="22"/>
      <c r="ER800" s="22"/>
      <c r="ES800" s="344"/>
      <c r="ET800" s="349"/>
      <c r="EU800" s="344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T800" s="27"/>
      <c r="FU800" s="27"/>
    </row>
    <row r="801" spans="24:177" s="9" customFormat="1" x14ac:dyDescent="0.2">
      <c r="X801" s="50"/>
      <c r="AD801" s="22"/>
      <c r="AW801" s="8"/>
      <c r="AX801" s="108"/>
      <c r="AY801" s="102"/>
      <c r="AZ801" s="109"/>
      <c r="BA801" s="11"/>
      <c r="BB801" s="9" t="s">
        <v>558</v>
      </c>
      <c r="BC801" s="22">
        <v>148</v>
      </c>
      <c r="BD801" s="231">
        <v>40</v>
      </c>
      <c r="BE801" s="232" t="s">
        <v>287</v>
      </c>
      <c r="CA801" s="18"/>
      <c r="DH801" s="22"/>
      <c r="DI801" s="22"/>
      <c r="DJ801" s="22"/>
      <c r="DK801" s="344"/>
      <c r="DL801" s="361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22"/>
      <c r="EG801" s="22"/>
      <c r="EH801" s="22"/>
      <c r="EI801" s="22"/>
      <c r="EJ801" s="22"/>
      <c r="EK801" s="22"/>
      <c r="EL801" s="22"/>
      <c r="EM801" s="22"/>
      <c r="EN801" s="344"/>
      <c r="EO801" s="344"/>
      <c r="EP801" s="22"/>
      <c r="EQ801" s="22"/>
      <c r="ER801" s="22"/>
      <c r="ES801" s="344"/>
      <c r="ET801" s="349"/>
      <c r="EU801" s="344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T801" s="27"/>
      <c r="FU801" s="27"/>
    </row>
    <row r="802" spans="24:177" s="9" customFormat="1" x14ac:dyDescent="0.2">
      <c r="X802" s="50"/>
      <c r="AD802" s="22"/>
      <c r="AW802" s="8"/>
      <c r="AX802" s="108"/>
      <c r="AY802" s="102"/>
      <c r="AZ802" s="109"/>
      <c r="BA802" s="11"/>
      <c r="BB802" s="9" t="s">
        <v>558</v>
      </c>
      <c r="BC802" s="22">
        <v>149</v>
      </c>
      <c r="BD802" s="231">
        <v>40</v>
      </c>
      <c r="BE802" s="232" t="s">
        <v>291</v>
      </c>
      <c r="CA802" s="18"/>
      <c r="DH802" s="22"/>
      <c r="DI802" s="22"/>
      <c r="DJ802" s="22"/>
      <c r="DK802" s="344"/>
      <c r="DL802" s="361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22"/>
      <c r="EG802" s="22"/>
      <c r="EH802" s="22"/>
      <c r="EI802" s="22"/>
      <c r="EJ802" s="22"/>
      <c r="EK802" s="22"/>
      <c r="EL802" s="22"/>
      <c r="EM802" s="22"/>
      <c r="EN802" s="344"/>
      <c r="EO802" s="344"/>
      <c r="EP802" s="22"/>
      <c r="EQ802" s="22"/>
      <c r="ER802" s="22"/>
      <c r="ES802" s="344"/>
      <c r="ET802" s="349"/>
      <c r="EU802" s="344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T802" s="27"/>
      <c r="FU802" s="27"/>
    </row>
    <row r="803" spans="24:177" s="9" customFormat="1" x14ac:dyDescent="0.2">
      <c r="X803" s="50"/>
      <c r="AD803" s="22"/>
      <c r="AW803" s="8"/>
      <c r="AX803" s="108"/>
      <c r="AY803" s="102"/>
      <c r="AZ803" s="109"/>
      <c r="BA803" s="11"/>
      <c r="BB803" s="9" t="s">
        <v>558</v>
      </c>
      <c r="BC803" s="22">
        <v>150</v>
      </c>
      <c r="BD803" s="231">
        <v>40</v>
      </c>
      <c r="BE803" s="232" t="s">
        <v>292</v>
      </c>
      <c r="CA803" s="18"/>
      <c r="DH803" s="22"/>
      <c r="DI803" s="22"/>
      <c r="DJ803" s="22"/>
      <c r="DK803" s="344"/>
      <c r="DL803" s="361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22"/>
      <c r="EG803" s="22"/>
      <c r="EH803" s="22"/>
      <c r="EI803" s="22"/>
      <c r="EJ803" s="22"/>
      <c r="EK803" s="22"/>
      <c r="EL803" s="22"/>
      <c r="EM803" s="22"/>
      <c r="EN803" s="344"/>
      <c r="EO803" s="344"/>
      <c r="EP803" s="22"/>
      <c r="EQ803" s="22"/>
      <c r="ER803" s="22"/>
      <c r="ES803" s="344"/>
      <c r="ET803" s="349"/>
      <c r="EU803" s="344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T803" s="27"/>
      <c r="FU803" s="27"/>
    </row>
    <row r="804" spans="24:177" s="9" customFormat="1" x14ac:dyDescent="0.2">
      <c r="X804" s="50"/>
      <c r="AD804" s="22"/>
      <c r="AW804" s="8"/>
      <c r="AX804" s="108"/>
      <c r="AY804" s="102"/>
      <c r="AZ804" s="109"/>
      <c r="BA804" s="11"/>
      <c r="BB804" s="9" t="s">
        <v>558</v>
      </c>
      <c r="BC804" s="22">
        <v>151</v>
      </c>
      <c r="BD804" s="231">
        <v>40</v>
      </c>
      <c r="BE804" s="232" t="s">
        <v>368</v>
      </c>
      <c r="CA804" s="18"/>
      <c r="DH804" s="22"/>
      <c r="DI804" s="22"/>
      <c r="DJ804" s="22"/>
      <c r="DK804" s="344"/>
      <c r="DL804" s="361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22"/>
      <c r="EG804" s="22"/>
      <c r="EH804" s="22"/>
      <c r="EI804" s="22"/>
      <c r="EJ804" s="22"/>
      <c r="EK804" s="22"/>
      <c r="EL804" s="22"/>
      <c r="EM804" s="22"/>
      <c r="EN804" s="344"/>
      <c r="EO804" s="344"/>
      <c r="EP804" s="22"/>
      <c r="EQ804" s="22"/>
      <c r="ER804" s="22"/>
      <c r="ES804" s="344"/>
      <c r="ET804" s="349"/>
      <c r="EU804" s="344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T804" s="27"/>
      <c r="FU804" s="27"/>
    </row>
    <row r="805" spans="24:177" s="9" customFormat="1" ht="13.5" thickBot="1" x14ac:dyDescent="0.25">
      <c r="X805" s="50"/>
      <c r="AD805" s="22"/>
      <c r="AW805" s="8"/>
      <c r="AX805" s="108"/>
      <c r="AY805" s="102"/>
      <c r="AZ805" s="109"/>
      <c r="BA805" s="11"/>
      <c r="BB805" s="9" t="s">
        <v>558</v>
      </c>
      <c r="BC805" s="22">
        <v>152</v>
      </c>
      <c r="BD805" s="231">
        <v>40</v>
      </c>
      <c r="BE805" s="232" t="s">
        <v>293</v>
      </c>
      <c r="CA805" s="18"/>
      <c r="DH805" s="22"/>
      <c r="DI805" s="22"/>
      <c r="DJ805" s="22"/>
      <c r="DK805" s="344"/>
      <c r="DL805" s="361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22"/>
      <c r="EG805" s="22"/>
      <c r="EH805" s="22"/>
      <c r="EI805" s="22"/>
      <c r="EJ805" s="22"/>
      <c r="EK805" s="22"/>
      <c r="EL805" s="22"/>
      <c r="EM805" s="22"/>
      <c r="EN805" s="344"/>
      <c r="EO805" s="344"/>
      <c r="EP805" s="22"/>
      <c r="EQ805" s="22"/>
      <c r="ER805" s="22"/>
      <c r="ES805" s="344"/>
      <c r="ET805" s="349"/>
      <c r="EU805" s="344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T805" s="27"/>
      <c r="FU805" s="27"/>
    </row>
    <row r="806" spans="24:177" s="9" customFormat="1" ht="13.5" thickTop="1" x14ac:dyDescent="0.2">
      <c r="X806" s="50"/>
      <c r="AD806" s="22"/>
      <c r="AW806" s="8"/>
      <c r="AX806" s="108"/>
      <c r="AY806" s="102"/>
      <c r="AZ806" s="109"/>
      <c r="BA806" s="11"/>
      <c r="BB806" s="9" t="s">
        <v>558</v>
      </c>
      <c r="BC806" s="22">
        <v>153</v>
      </c>
      <c r="BD806" s="1463" t="s">
        <v>433</v>
      </c>
      <c r="BE806" s="1464"/>
      <c r="CA806" s="18"/>
      <c r="DH806" s="22"/>
      <c r="DI806" s="22"/>
      <c r="DJ806" s="22"/>
      <c r="DK806" s="344"/>
      <c r="DL806" s="361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22"/>
      <c r="EG806" s="22"/>
      <c r="EH806" s="22"/>
      <c r="EI806" s="22"/>
      <c r="EJ806" s="22"/>
      <c r="EK806" s="22"/>
      <c r="EL806" s="22"/>
      <c r="EM806" s="22"/>
      <c r="EN806" s="344"/>
      <c r="EO806" s="344"/>
      <c r="EP806" s="22"/>
      <c r="EQ806" s="22"/>
      <c r="ER806" s="22"/>
      <c r="ES806" s="344"/>
      <c r="ET806" s="349"/>
      <c r="EU806" s="344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T806" s="27"/>
      <c r="FU806" s="27"/>
    </row>
    <row r="807" spans="24:177" s="9" customFormat="1" x14ac:dyDescent="0.2">
      <c r="X807" s="50"/>
      <c r="AD807" s="22"/>
      <c r="AW807" s="8"/>
      <c r="AX807" s="108"/>
      <c r="AY807" s="102"/>
      <c r="AZ807" s="109"/>
      <c r="BA807" s="11"/>
      <c r="BB807" s="9" t="s">
        <v>558</v>
      </c>
      <c r="BC807" s="22">
        <v>154</v>
      </c>
      <c r="BD807" s="1456" t="s">
        <v>363</v>
      </c>
      <c r="BE807" s="1457"/>
      <c r="CA807" s="18"/>
      <c r="DH807" s="22"/>
      <c r="DI807" s="22"/>
      <c r="DJ807" s="22"/>
      <c r="DK807" s="344"/>
      <c r="DL807" s="361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22"/>
      <c r="EG807" s="22"/>
      <c r="EH807" s="22"/>
      <c r="EI807" s="22"/>
      <c r="EJ807" s="22"/>
      <c r="EK807" s="22"/>
      <c r="EL807" s="22"/>
      <c r="EM807" s="22"/>
      <c r="EN807" s="344"/>
      <c r="EO807" s="344"/>
      <c r="EP807" s="22"/>
      <c r="EQ807" s="22"/>
      <c r="ER807" s="22"/>
      <c r="ES807" s="344"/>
      <c r="ET807" s="349"/>
      <c r="EU807" s="344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T807" s="27"/>
      <c r="FU807" s="27"/>
    </row>
    <row r="808" spans="24:177" s="9" customFormat="1" x14ac:dyDescent="0.2">
      <c r="X808" s="50"/>
      <c r="AD808" s="22"/>
      <c r="AW808" s="8"/>
      <c r="AX808" s="108"/>
      <c r="AY808" s="102"/>
      <c r="AZ808" s="109"/>
      <c r="BA808" s="11"/>
      <c r="BB808" s="9" t="s">
        <v>558</v>
      </c>
      <c r="BC808" s="22">
        <v>155</v>
      </c>
      <c r="BD808" s="231">
        <v>6</v>
      </c>
      <c r="BE808" s="232" t="s">
        <v>290</v>
      </c>
      <c r="CA808" s="18"/>
      <c r="DH808" s="22"/>
      <c r="DI808" s="22"/>
      <c r="DJ808" s="22"/>
      <c r="DK808" s="344"/>
      <c r="DL808" s="361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22"/>
      <c r="EG808" s="22"/>
      <c r="EH808" s="22"/>
      <c r="EI808" s="22"/>
      <c r="EJ808" s="22"/>
      <c r="EK808" s="22"/>
      <c r="EL808" s="22"/>
      <c r="EM808" s="22"/>
      <c r="EN808" s="344"/>
      <c r="EO808" s="344"/>
      <c r="EP808" s="22"/>
      <c r="EQ808" s="22"/>
      <c r="ER808" s="22"/>
      <c r="ES808" s="344"/>
      <c r="ET808" s="349"/>
      <c r="EU808" s="344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T808" s="27"/>
      <c r="FU808" s="27"/>
    </row>
    <row r="809" spans="24:177" s="9" customFormat="1" x14ac:dyDescent="0.2">
      <c r="X809" s="50"/>
      <c r="AD809" s="22"/>
      <c r="AW809" s="8"/>
      <c r="AX809" s="108"/>
      <c r="AY809" s="102"/>
      <c r="AZ809" s="109"/>
      <c r="BA809" s="11"/>
      <c r="BB809" s="9" t="s">
        <v>558</v>
      </c>
      <c r="BC809" s="22">
        <v>156</v>
      </c>
      <c r="BD809" s="231">
        <v>10</v>
      </c>
      <c r="BE809" s="232" t="s">
        <v>290</v>
      </c>
      <c r="CA809" s="18"/>
      <c r="DH809" s="22"/>
      <c r="DI809" s="22"/>
      <c r="DJ809" s="22"/>
      <c r="DK809" s="344"/>
      <c r="DL809" s="361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22"/>
      <c r="EG809" s="22"/>
      <c r="EH809" s="22"/>
      <c r="EI809" s="22"/>
      <c r="EJ809" s="22"/>
      <c r="EK809" s="22"/>
      <c r="EL809" s="22"/>
      <c r="EM809" s="22"/>
      <c r="EN809" s="344"/>
      <c r="EO809" s="344"/>
      <c r="EP809" s="22"/>
      <c r="EQ809" s="22"/>
      <c r="ER809" s="22"/>
      <c r="ES809" s="344"/>
      <c r="ET809" s="349"/>
      <c r="EU809" s="344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T809" s="27"/>
      <c r="FU809" s="27"/>
    </row>
    <row r="810" spans="24:177" s="9" customFormat="1" x14ac:dyDescent="0.2">
      <c r="X810" s="50"/>
      <c r="AD810" s="22"/>
      <c r="AW810" s="8"/>
      <c r="AX810" s="108"/>
      <c r="AY810" s="102"/>
      <c r="AZ810" s="109"/>
      <c r="BA810" s="11"/>
      <c r="BB810" s="9" t="s">
        <v>558</v>
      </c>
      <c r="BC810" s="22">
        <v>157</v>
      </c>
      <c r="BD810" s="231">
        <v>16</v>
      </c>
      <c r="BE810" s="232" t="s">
        <v>290</v>
      </c>
      <c r="CA810" s="18"/>
      <c r="DH810" s="22"/>
      <c r="DI810" s="22"/>
      <c r="DJ810" s="22"/>
      <c r="DK810" s="344"/>
      <c r="DL810" s="361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22"/>
      <c r="EG810" s="22"/>
      <c r="EH810" s="22"/>
      <c r="EI810" s="22"/>
      <c r="EJ810" s="22"/>
      <c r="EK810" s="22"/>
      <c r="EL810" s="22"/>
      <c r="EM810" s="22"/>
      <c r="EN810" s="344"/>
      <c r="EO810" s="344"/>
      <c r="EP810" s="22"/>
      <c r="EQ810" s="22"/>
      <c r="ER810" s="22"/>
      <c r="ES810" s="344"/>
      <c r="ET810" s="349"/>
      <c r="EU810" s="344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T810" s="27"/>
      <c r="FU810" s="27"/>
    </row>
    <row r="811" spans="24:177" s="9" customFormat="1" x14ac:dyDescent="0.2">
      <c r="X811" s="50"/>
      <c r="AD811" s="22"/>
      <c r="AW811" s="8"/>
      <c r="AX811" s="108"/>
      <c r="AY811" s="102"/>
      <c r="AZ811" s="109"/>
      <c r="BA811" s="11"/>
      <c r="BB811" s="9" t="s">
        <v>558</v>
      </c>
      <c r="BC811" s="22">
        <v>158</v>
      </c>
      <c r="BD811" s="231">
        <v>20</v>
      </c>
      <c r="BE811" s="232" t="s">
        <v>290</v>
      </c>
      <c r="CA811" s="18"/>
      <c r="DH811" s="22"/>
      <c r="DI811" s="22"/>
      <c r="DJ811" s="22"/>
      <c r="DK811" s="344"/>
      <c r="DL811" s="361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22"/>
      <c r="EG811" s="22"/>
      <c r="EH811" s="22"/>
      <c r="EI811" s="22"/>
      <c r="EJ811" s="22"/>
      <c r="EK811" s="22"/>
      <c r="EL811" s="22"/>
      <c r="EM811" s="22"/>
      <c r="EN811" s="344"/>
      <c r="EO811" s="344"/>
      <c r="EP811" s="22"/>
      <c r="EQ811" s="22"/>
      <c r="ER811" s="22"/>
      <c r="ES811" s="344"/>
      <c r="ET811" s="349"/>
      <c r="EU811" s="344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T811" s="27"/>
      <c r="FU811" s="27"/>
    </row>
    <row r="812" spans="24:177" s="9" customFormat="1" x14ac:dyDescent="0.2">
      <c r="X812" s="50"/>
      <c r="AD812" s="22"/>
      <c r="AW812" s="8"/>
      <c r="AX812" s="108"/>
      <c r="AY812" s="102"/>
      <c r="AZ812" s="109"/>
      <c r="BA812" s="11"/>
      <c r="BB812" s="9" t="s">
        <v>558</v>
      </c>
      <c r="BC812" s="22">
        <v>159</v>
      </c>
      <c r="BD812" s="231">
        <v>25</v>
      </c>
      <c r="BE812" s="232" t="s">
        <v>290</v>
      </c>
      <c r="CA812" s="18"/>
      <c r="DH812" s="22"/>
      <c r="DI812" s="22"/>
      <c r="DJ812" s="22"/>
      <c r="DK812" s="344"/>
      <c r="DL812" s="361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22"/>
      <c r="EG812" s="22"/>
      <c r="EH812" s="22"/>
      <c r="EI812" s="22"/>
      <c r="EJ812" s="22"/>
      <c r="EK812" s="22"/>
      <c r="EL812" s="22"/>
      <c r="EM812" s="22"/>
      <c r="EN812" s="344"/>
      <c r="EO812" s="344"/>
      <c r="EP812" s="22"/>
      <c r="EQ812" s="22"/>
      <c r="ER812" s="22"/>
      <c r="ES812" s="344"/>
      <c r="ET812" s="349"/>
      <c r="EU812" s="344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T812" s="27"/>
      <c r="FU812" s="27"/>
    </row>
    <row r="813" spans="24:177" s="9" customFormat="1" x14ac:dyDescent="0.2">
      <c r="X813" s="50"/>
      <c r="AD813" s="22"/>
      <c r="AW813" s="8"/>
      <c r="AX813" s="108"/>
      <c r="AY813" s="102"/>
      <c r="AZ813" s="109"/>
      <c r="BA813" s="11"/>
      <c r="BB813" s="9" t="s">
        <v>558</v>
      </c>
      <c r="BC813" s="22">
        <v>160</v>
      </c>
      <c r="BD813" s="231">
        <v>32</v>
      </c>
      <c r="BE813" s="232" t="s">
        <v>290</v>
      </c>
      <c r="CA813" s="18"/>
      <c r="DH813" s="22"/>
      <c r="DI813" s="22"/>
      <c r="DJ813" s="22"/>
      <c r="DK813" s="344"/>
      <c r="DL813" s="361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22"/>
      <c r="EG813" s="22"/>
      <c r="EH813" s="22"/>
      <c r="EI813" s="22"/>
      <c r="EJ813" s="22"/>
      <c r="EK813" s="22"/>
      <c r="EL813" s="22"/>
      <c r="EM813" s="22"/>
      <c r="EN813" s="344"/>
      <c r="EO813" s="344"/>
      <c r="EP813" s="22"/>
      <c r="EQ813" s="22"/>
      <c r="ER813" s="22"/>
      <c r="ES813" s="344"/>
      <c r="ET813" s="349"/>
      <c r="EU813" s="344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T813" s="27"/>
      <c r="FU813" s="27"/>
    </row>
    <row r="814" spans="24:177" s="9" customFormat="1" x14ac:dyDescent="0.2">
      <c r="X814" s="50"/>
      <c r="AD814" s="22"/>
      <c r="AW814" s="8"/>
      <c r="AX814" s="108"/>
      <c r="AY814" s="102"/>
      <c r="AZ814" s="109"/>
      <c r="BA814" s="11"/>
      <c r="BB814" s="9" t="s">
        <v>558</v>
      </c>
      <c r="BC814" s="22">
        <v>161</v>
      </c>
      <c r="BD814" s="1456" t="s">
        <v>364</v>
      </c>
      <c r="BE814" s="1457"/>
      <c r="CA814" s="18"/>
      <c r="DH814" s="22"/>
      <c r="DI814" s="22"/>
      <c r="DJ814" s="22"/>
      <c r="DK814" s="344"/>
      <c r="DL814" s="361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22"/>
      <c r="EG814" s="22"/>
      <c r="EH814" s="22"/>
      <c r="EI814" s="22"/>
      <c r="EJ814" s="22"/>
      <c r="EK814" s="22"/>
      <c r="EL814" s="22"/>
      <c r="EM814" s="22"/>
      <c r="EN814" s="344"/>
      <c r="EO814" s="344"/>
      <c r="EP814" s="22"/>
      <c r="EQ814" s="22"/>
      <c r="ER814" s="22"/>
      <c r="ES814" s="344"/>
      <c r="ET814" s="349"/>
      <c r="EU814" s="344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T814" s="27"/>
      <c r="FU814" s="27"/>
    </row>
    <row r="815" spans="24:177" s="9" customFormat="1" x14ac:dyDescent="0.2">
      <c r="X815" s="50"/>
      <c r="AD815" s="22"/>
      <c r="AW815" s="8"/>
      <c r="AX815" s="108"/>
      <c r="AY815" s="102"/>
      <c r="AZ815" s="109"/>
      <c r="BA815" s="11"/>
      <c r="BB815" s="9" t="s">
        <v>558</v>
      </c>
      <c r="BC815" s="22">
        <v>162</v>
      </c>
      <c r="BD815" s="231">
        <v>6</v>
      </c>
      <c r="BE815" s="232" t="s">
        <v>290</v>
      </c>
      <c r="CA815" s="18"/>
      <c r="DH815" s="22"/>
      <c r="DI815" s="22"/>
      <c r="DJ815" s="22"/>
      <c r="DK815" s="344"/>
      <c r="DL815" s="361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22"/>
      <c r="EG815" s="22"/>
      <c r="EH815" s="22"/>
      <c r="EI815" s="22"/>
      <c r="EJ815" s="22"/>
      <c r="EK815" s="22"/>
      <c r="EL815" s="22"/>
      <c r="EM815" s="22"/>
      <c r="EN815" s="344"/>
      <c r="EO815" s="344"/>
      <c r="EP815" s="22"/>
      <c r="EQ815" s="22"/>
      <c r="ER815" s="22"/>
      <c r="ES815" s="344"/>
      <c r="ET815" s="349"/>
      <c r="EU815" s="344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T815" s="27"/>
      <c r="FU815" s="27"/>
    </row>
    <row r="816" spans="24:177" s="9" customFormat="1" x14ac:dyDescent="0.2">
      <c r="X816" s="50"/>
      <c r="AD816" s="22"/>
      <c r="AW816" s="8"/>
      <c r="AX816" s="108"/>
      <c r="AY816" s="102"/>
      <c r="AZ816" s="109"/>
      <c r="BA816" s="11"/>
      <c r="BB816" s="9" t="s">
        <v>558</v>
      </c>
      <c r="BC816" s="22">
        <v>163</v>
      </c>
      <c r="BD816" s="231">
        <v>6</v>
      </c>
      <c r="BE816" s="232" t="s">
        <v>291</v>
      </c>
      <c r="CA816" s="18"/>
      <c r="DH816" s="22"/>
      <c r="DI816" s="22"/>
      <c r="DJ816" s="22"/>
      <c r="DK816" s="344"/>
      <c r="DL816" s="361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22"/>
      <c r="EG816" s="22"/>
      <c r="EH816" s="22"/>
      <c r="EI816" s="22"/>
      <c r="EJ816" s="22"/>
      <c r="EK816" s="22"/>
      <c r="EL816" s="22"/>
      <c r="EM816" s="22"/>
      <c r="EN816" s="344"/>
      <c r="EO816" s="344"/>
      <c r="EP816" s="22"/>
      <c r="EQ816" s="22"/>
      <c r="ER816" s="22"/>
      <c r="ES816" s="344"/>
      <c r="ET816" s="349"/>
      <c r="EU816" s="344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T816" s="27"/>
      <c r="FU816" s="27"/>
    </row>
    <row r="817" spans="24:177" s="9" customFormat="1" x14ac:dyDescent="0.2">
      <c r="X817" s="50"/>
      <c r="AD817" s="22"/>
      <c r="AW817" s="8"/>
      <c r="AX817" s="108"/>
      <c r="AY817" s="102"/>
      <c r="AZ817" s="109"/>
      <c r="BA817" s="11"/>
      <c r="BB817" s="9" t="s">
        <v>558</v>
      </c>
      <c r="BC817" s="22">
        <v>164</v>
      </c>
      <c r="BD817" s="231">
        <v>6</v>
      </c>
      <c r="BE817" s="232" t="s">
        <v>292</v>
      </c>
      <c r="CA817" s="18"/>
      <c r="DH817" s="22"/>
      <c r="DI817" s="22"/>
      <c r="DJ817" s="22"/>
      <c r="DK817" s="344"/>
      <c r="DL817" s="361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22"/>
      <c r="EG817" s="22"/>
      <c r="EH817" s="22"/>
      <c r="EI817" s="22"/>
      <c r="EJ817" s="22"/>
      <c r="EK817" s="22"/>
      <c r="EL817" s="22"/>
      <c r="EM817" s="22"/>
      <c r="EN817" s="344"/>
      <c r="EO817" s="344"/>
      <c r="EP817" s="22"/>
      <c r="EQ817" s="22"/>
      <c r="ER817" s="22"/>
      <c r="ES817" s="344"/>
      <c r="ET817" s="349"/>
      <c r="EU817" s="344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T817" s="27"/>
      <c r="FU817" s="27"/>
    </row>
    <row r="818" spans="24:177" s="9" customFormat="1" x14ac:dyDescent="0.2">
      <c r="X818" s="50"/>
      <c r="AD818" s="22"/>
      <c r="AW818" s="8"/>
      <c r="AX818" s="108"/>
      <c r="AY818" s="102"/>
      <c r="AZ818" s="109"/>
      <c r="BA818" s="11"/>
      <c r="BB818" s="9" t="s">
        <v>558</v>
      </c>
      <c r="BC818" s="22">
        <v>165</v>
      </c>
      <c r="BD818" s="231">
        <v>6</v>
      </c>
      <c r="BE818" s="232" t="s">
        <v>293</v>
      </c>
      <c r="CA818" s="18"/>
      <c r="DH818" s="22"/>
      <c r="DI818" s="22"/>
      <c r="DJ818" s="22"/>
      <c r="DK818" s="344"/>
      <c r="DL818" s="361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22"/>
      <c r="EG818" s="22"/>
      <c r="EH818" s="22"/>
      <c r="EI818" s="22"/>
      <c r="EJ818" s="22"/>
      <c r="EK818" s="22"/>
      <c r="EL818" s="22"/>
      <c r="EM818" s="22"/>
      <c r="EN818" s="344"/>
      <c r="EO818" s="344"/>
      <c r="EP818" s="22"/>
      <c r="EQ818" s="22"/>
      <c r="ER818" s="22"/>
      <c r="ES818" s="344"/>
      <c r="ET818" s="349"/>
      <c r="EU818" s="344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T818" s="27"/>
      <c r="FU818" s="27"/>
    </row>
    <row r="819" spans="24:177" s="9" customFormat="1" x14ac:dyDescent="0.2">
      <c r="X819" s="50"/>
      <c r="AD819" s="22"/>
      <c r="AW819" s="8"/>
      <c r="AX819" s="108"/>
      <c r="AY819" s="102"/>
      <c r="AZ819" s="109"/>
      <c r="BA819" s="11"/>
      <c r="BB819" s="9" t="s">
        <v>558</v>
      </c>
      <c r="BC819" s="22">
        <v>166</v>
      </c>
      <c r="BD819" s="231">
        <v>10</v>
      </c>
      <c r="BE819" s="232" t="s">
        <v>290</v>
      </c>
      <c r="CA819" s="18"/>
      <c r="DH819" s="22"/>
      <c r="DI819" s="22"/>
      <c r="DJ819" s="22"/>
      <c r="DK819" s="344"/>
      <c r="DL819" s="361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22"/>
      <c r="EG819" s="22"/>
      <c r="EH819" s="22"/>
      <c r="EI819" s="22"/>
      <c r="EJ819" s="22"/>
      <c r="EK819" s="22"/>
      <c r="EL819" s="22"/>
      <c r="EM819" s="22"/>
      <c r="EN819" s="344"/>
      <c r="EO819" s="344"/>
      <c r="EP819" s="22"/>
      <c r="EQ819" s="22"/>
      <c r="ER819" s="22"/>
      <c r="ES819" s="344"/>
      <c r="ET819" s="349"/>
      <c r="EU819" s="344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T819" s="27"/>
      <c r="FU819" s="27"/>
    </row>
    <row r="820" spans="24:177" s="9" customFormat="1" x14ac:dyDescent="0.2">
      <c r="X820" s="50"/>
      <c r="AD820" s="22"/>
      <c r="AW820" s="8"/>
      <c r="AX820" s="108"/>
      <c r="AY820" s="102"/>
      <c r="AZ820" s="109"/>
      <c r="BA820" s="11"/>
      <c r="BB820" s="9" t="s">
        <v>558</v>
      </c>
      <c r="BC820" s="22">
        <v>167</v>
      </c>
      <c r="BD820" s="231">
        <v>10</v>
      </c>
      <c r="BE820" s="232" t="s">
        <v>291</v>
      </c>
      <c r="CA820" s="18"/>
      <c r="DH820" s="22"/>
      <c r="DI820" s="22"/>
      <c r="DJ820" s="22"/>
      <c r="DK820" s="344"/>
      <c r="DL820" s="361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22"/>
      <c r="EG820" s="22"/>
      <c r="EH820" s="22"/>
      <c r="EI820" s="22"/>
      <c r="EJ820" s="22"/>
      <c r="EK820" s="22"/>
      <c r="EL820" s="22"/>
      <c r="EM820" s="22"/>
      <c r="EN820" s="344"/>
      <c r="EO820" s="344"/>
      <c r="EP820" s="22"/>
      <c r="EQ820" s="22"/>
      <c r="ER820" s="22"/>
      <c r="ES820" s="344"/>
      <c r="ET820" s="349"/>
      <c r="EU820" s="344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T820" s="27"/>
      <c r="FU820" s="27"/>
    </row>
    <row r="821" spans="24:177" s="9" customFormat="1" x14ac:dyDescent="0.2">
      <c r="X821" s="50"/>
      <c r="AD821" s="22"/>
      <c r="AW821" s="8"/>
      <c r="AX821" s="108"/>
      <c r="AY821" s="102"/>
      <c r="AZ821" s="109"/>
      <c r="BA821" s="11"/>
      <c r="BB821" s="9" t="s">
        <v>558</v>
      </c>
      <c r="BC821" s="22">
        <v>168</v>
      </c>
      <c r="BD821" s="231">
        <v>10</v>
      </c>
      <c r="BE821" s="232" t="s">
        <v>292</v>
      </c>
      <c r="CA821" s="18"/>
      <c r="DH821" s="22"/>
      <c r="DI821" s="22"/>
      <c r="DJ821" s="22"/>
      <c r="DK821" s="344"/>
      <c r="DL821" s="361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22"/>
      <c r="EG821" s="22"/>
      <c r="EH821" s="22"/>
      <c r="EI821" s="22"/>
      <c r="EJ821" s="22"/>
      <c r="EK821" s="22"/>
      <c r="EL821" s="22"/>
      <c r="EM821" s="22"/>
      <c r="EN821" s="344"/>
      <c r="EO821" s="344"/>
      <c r="EP821" s="22"/>
      <c r="EQ821" s="22"/>
      <c r="ER821" s="22"/>
      <c r="ES821" s="344"/>
      <c r="ET821" s="349"/>
      <c r="EU821" s="344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T821" s="27"/>
      <c r="FU821" s="27"/>
    </row>
    <row r="822" spans="24:177" s="9" customFormat="1" x14ac:dyDescent="0.2">
      <c r="X822" s="50"/>
      <c r="AD822" s="22"/>
      <c r="AW822" s="8"/>
      <c r="AX822" s="108"/>
      <c r="AY822" s="102"/>
      <c r="AZ822" s="109"/>
      <c r="BA822" s="11"/>
      <c r="BB822" s="9" t="s">
        <v>558</v>
      </c>
      <c r="BC822" s="22">
        <v>169</v>
      </c>
      <c r="BD822" s="231">
        <v>10</v>
      </c>
      <c r="BE822" s="232" t="s">
        <v>293</v>
      </c>
      <c r="CA822" s="18"/>
      <c r="DH822" s="22"/>
      <c r="DI822" s="22"/>
      <c r="DJ822" s="22"/>
      <c r="DK822" s="344"/>
      <c r="DL822" s="361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22"/>
      <c r="EG822" s="22"/>
      <c r="EH822" s="22"/>
      <c r="EI822" s="22"/>
      <c r="EJ822" s="22"/>
      <c r="EK822" s="22"/>
      <c r="EL822" s="22"/>
      <c r="EM822" s="22"/>
      <c r="EN822" s="344"/>
      <c r="EO822" s="344"/>
      <c r="EP822" s="22"/>
      <c r="EQ822" s="22"/>
      <c r="ER822" s="22"/>
      <c r="ES822" s="344"/>
      <c r="ET822" s="349"/>
      <c r="EU822" s="344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T822" s="27"/>
      <c r="FU822" s="27"/>
    </row>
    <row r="823" spans="24:177" s="9" customFormat="1" x14ac:dyDescent="0.2">
      <c r="X823" s="50"/>
      <c r="AD823" s="22"/>
      <c r="AW823" s="8"/>
      <c r="AX823" s="108"/>
      <c r="AY823" s="102"/>
      <c r="AZ823" s="109"/>
      <c r="BA823" s="11"/>
      <c r="BB823" s="9" t="s">
        <v>558</v>
      </c>
      <c r="BC823" s="22">
        <v>170</v>
      </c>
      <c r="BD823" s="231">
        <v>16</v>
      </c>
      <c r="BE823" s="232" t="s">
        <v>290</v>
      </c>
      <c r="CA823" s="18"/>
      <c r="DH823" s="22"/>
      <c r="DI823" s="22"/>
      <c r="DJ823" s="22"/>
      <c r="DK823" s="344"/>
      <c r="DL823" s="361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22"/>
      <c r="EG823" s="22"/>
      <c r="EH823" s="22"/>
      <c r="EI823" s="22"/>
      <c r="EJ823" s="22"/>
      <c r="EK823" s="22"/>
      <c r="EL823" s="22"/>
      <c r="EM823" s="22"/>
      <c r="EN823" s="344"/>
      <c r="EO823" s="344"/>
      <c r="EP823" s="22"/>
      <c r="EQ823" s="22"/>
      <c r="ER823" s="22"/>
      <c r="ES823" s="344"/>
      <c r="ET823" s="349"/>
      <c r="EU823" s="344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T823" s="27"/>
      <c r="FU823" s="27"/>
    </row>
    <row r="824" spans="24:177" s="9" customFormat="1" x14ac:dyDescent="0.2">
      <c r="X824" s="50"/>
      <c r="AD824" s="22"/>
      <c r="AW824" s="8"/>
      <c r="AX824" s="108"/>
      <c r="AY824" s="102"/>
      <c r="AZ824" s="109"/>
      <c r="BA824" s="11"/>
      <c r="BB824" s="9" t="s">
        <v>558</v>
      </c>
      <c r="BC824" s="22">
        <v>171</v>
      </c>
      <c r="BD824" s="231">
        <v>16</v>
      </c>
      <c r="BE824" s="232" t="s">
        <v>291</v>
      </c>
      <c r="CA824" s="18"/>
      <c r="DH824" s="22"/>
      <c r="DI824" s="22"/>
      <c r="DJ824" s="22"/>
      <c r="DK824" s="344"/>
      <c r="DL824" s="361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22"/>
      <c r="EG824" s="22"/>
      <c r="EH824" s="22"/>
      <c r="EI824" s="22"/>
      <c r="EJ824" s="22"/>
      <c r="EK824" s="22"/>
      <c r="EL824" s="22"/>
      <c r="EM824" s="22"/>
      <c r="EN824" s="344"/>
      <c r="EO824" s="344"/>
      <c r="EP824" s="22"/>
      <c r="EQ824" s="22"/>
      <c r="ER824" s="22"/>
      <c r="ES824" s="344"/>
      <c r="ET824" s="349"/>
      <c r="EU824" s="344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T824" s="27"/>
      <c r="FU824" s="27"/>
    </row>
    <row r="825" spans="24:177" s="9" customFormat="1" x14ac:dyDescent="0.2">
      <c r="X825" s="50"/>
      <c r="AD825" s="22"/>
      <c r="AW825" s="8"/>
      <c r="AX825" s="108"/>
      <c r="AY825" s="102"/>
      <c r="AZ825" s="109"/>
      <c r="BA825" s="11"/>
      <c r="BB825" s="9" t="s">
        <v>558</v>
      </c>
      <c r="BC825" s="22">
        <v>172</v>
      </c>
      <c r="BD825" s="231">
        <v>16</v>
      </c>
      <c r="BE825" s="232" t="s">
        <v>292</v>
      </c>
      <c r="CA825" s="18"/>
      <c r="DH825" s="22"/>
      <c r="DI825" s="22"/>
      <c r="DJ825" s="22"/>
      <c r="DK825" s="344"/>
      <c r="DL825" s="361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22"/>
      <c r="EG825" s="22"/>
      <c r="EH825" s="22"/>
      <c r="EI825" s="22"/>
      <c r="EJ825" s="22"/>
      <c r="EK825" s="22"/>
      <c r="EL825" s="22"/>
      <c r="EM825" s="22"/>
      <c r="EN825" s="344"/>
      <c r="EO825" s="344"/>
      <c r="EP825" s="22"/>
      <c r="EQ825" s="22"/>
      <c r="ER825" s="22"/>
      <c r="ES825" s="344"/>
      <c r="ET825" s="349"/>
      <c r="EU825" s="344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T825" s="27"/>
      <c r="FU825" s="27"/>
    </row>
    <row r="826" spans="24:177" s="9" customFormat="1" x14ac:dyDescent="0.2">
      <c r="X826" s="50"/>
      <c r="AD826" s="22"/>
      <c r="AW826" s="8"/>
      <c r="AX826" s="108"/>
      <c r="AY826" s="102"/>
      <c r="AZ826" s="109"/>
      <c r="BA826" s="11"/>
      <c r="BB826" s="9" t="s">
        <v>558</v>
      </c>
      <c r="BC826" s="22">
        <v>173</v>
      </c>
      <c r="BD826" s="231">
        <v>16</v>
      </c>
      <c r="BE826" s="232" t="s">
        <v>293</v>
      </c>
      <c r="CA826" s="18"/>
      <c r="DH826" s="22"/>
      <c r="DI826" s="22"/>
      <c r="DJ826" s="22"/>
      <c r="DK826" s="344"/>
      <c r="DL826" s="361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22"/>
      <c r="EG826" s="22"/>
      <c r="EH826" s="22"/>
      <c r="EI826" s="22"/>
      <c r="EJ826" s="22"/>
      <c r="EK826" s="22"/>
      <c r="EL826" s="22"/>
      <c r="EM826" s="22"/>
      <c r="EN826" s="344"/>
      <c r="EO826" s="344"/>
      <c r="EP826" s="22"/>
      <c r="EQ826" s="22"/>
      <c r="ER826" s="22"/>
      <c r="ES826" s="344"/>
      <c r="ET826" s="349"/>
      <c r="EU826" s="344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T826" s="27"/>
      <c r="FU826" s="27"/>
    </row>
    <row r="827" spans="24:177" s="9" customFormat="1" x14ac:dyDescent="0.2">
      <c r="X827" s="50"/>
      <c r="AD827" s="22"/>
      <c r="AW827" s="8"/>
      <c r="AX827" s="108"/>
      <c r="AY827" s="102"/>
      <c r="AZ827" s="109"/>
      <c r="BA827" s="11"/>
      <c r="BB827" s="9" t="s">
        <v>558</v>
      </c>
      <c r="BC827" s="22">
        <v>174</v>
      </c>
      <c r="BD827" s="231">
        <v>20</v>
      </c>
      <c r="BE827" s="232" t="s">
        <v>290</v>
      </c>
      <c r="CA827" s="18"/>
      <c r="DH827" s="22"/>
      <c r="DI827" s="22"/>
      <c r="DJ827" s="22"/>
      <c r="DK827" s="344"/>
      <c r="DL827" s="361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22"/>
      <c r="EG827" s="22"/>
      <c r="EH827" s="22"/>
      <c r="EI827" s="22"/>
      <c r="EJ827" s="22"/>
      <c r="EK827" s="22"/>
      <c r="EL827" s="22"/>
      <c r="EM827" s="22"/>
      <c r="EN827" s="344"/>
      <c r="EO827" s="344"/>
      <c r="EP827" s="22"/>
      <c r="EQ827" s="22"/>
      <c r="ER827" s="22"/>
      <c r="ES827" s="344"/>
      <c r="ET827" s="349"/>
      <c r="EU827" s="344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T827" s="27"/>
      <c r="FU827" s="27"/>
    </row>
    <row r="828" spans="24:177" s="9" customFormat="1" x14ac:dyDescent="0.2">
      <c r="X828" s="50"/>
      <c r="AD828" s="22"/>
      <c r="AW828" s="8"/>
      <c r="AX828" s="108"/>
      <c r="AY828" s="102"/>
      <c r="AZ828" s="109"/>
      <c r="BA828" s="11"/>
      <c r="BB828" s="9" t="s">
        <v>558</v>
      </c>
      <c r="BC828" s="22">
        <v>175</v>
      </c>
      <c r="BD828" s="231">
        <v>20</v>
      </c>
      <c r="BE828" s="232" t="s">
        <v>291</v>
      </c>
      <c r="CA828" s="18"/>
      <c r="DH828" s="22"/>
      <c r="DI828" s="22"/>
      <c r="DJ828" s="22"/>
      <c r="DK828" s="344"/>
      <c r="DL828" s="361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22"/>
      <c r="EG828" s="22"/>
      <c r="EH828" s="22"/>
      <c r="EI828" s="22"/>
      <c r="EJ828" s="22"/>
      <c r="EK828" s="22"/>
      <c r="EL828" s="22"/>
      <c r="EM828" s="22"/>
      <c r="EN828" s="344"/>
      <c r="EO828" s="344"/>
      <c r="EP828" s="22"/>
      <c r="EQ828" s="22"/>
      <c r="ER828" s="22"/>
      <c r="ES828" s="344"/>
      <c r="ET828" s="349"/>
      <c r="EU828" s="344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T828" s="27"/>
      <c r="FU828" s="27"/>
    </row>
    <row r="829" spans="24:177" s="9" customFormat="1" x14ac:dyDescent="0.2">
      <c r="X829" s="50"/>
      <c r="AD829" s="22"/>
      <c r="AW829" s="8"/>
      <c r="AX829" s="108"/>
      <c r="AY829" s="102"/>
      <c r="AZ829" s="109"/>
      <c r="BA829" s="11"/>
      <c r="BB829" s="9" t="s">
        <v>558</v>
      </c>
      <c r="BC829" s="22">
        <v>176</v>
      </c>
      <c r="BD829" s="231">
        <v>20</v>
      </c>
      <c r="BE829" s="232" t="s">
        <v>292</v>
      </c>
      <c r="CA829" s="18"/>
      <c r="DH829" s="22"/>
      <c r="DI829" s="22"/>
      <c r="DJ829" s="22"/>
      <c r="DK829" s="344"/>
      <c r="DL829" s="361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22"/>
      <c r="EG829" s="22"/>
      <c r="EH829" s="22"/>
      <c r="EI829" s="22"/>
      <c r="EJ829" s="22"/>
      <c r="EK829" s="22"/>
      <c r="EL829" s="22"/>
      <c r="EM829" s="22"/>
      <c r="EN829" s="344"/>
      <c r="EO829" s="344"/>
      <c r="EP829" s="22"/>
      <c r="EQ829" s="22"/>
      <c r="ER829" s="22"/>
      <c r="ES829" s="344"/>
      <c r="ET829" s="349"/>
      <c r="EU829" s="344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T829" s="27"/>
      <c r="FU829" s="27"/>
    </row>
    <row r="830" spans="24:177" s="9" customFormat="1" x14ac:dyDescent="0.2">
      <c r="X830" s="50"/>
      <c r="AD830" s="22"/>
      <c r="AW830" s="8"/>
      <c r="AX830" s="108"/>
      <c r="AY830" s="102"/>
      <c r="AZ830" s="109"/>
      <c r="BA830" s="11"/>
      <c r="BB830" s="9" t="s">
        <v>558</v>
      </c>
      <c r="BC830" s="22">
        <v>177</v>
      </c>
      <c r="BD830" s="231">
        <v>20</v>
      </c>
      <c r="BE830" s="232" t="s">
        <v>293</v>
      </c>
      <c r="CA830" s="18"/>
      <c r="DH830" s="22"/>
      <c r="DI830" s="22"/>
      <c r="DJ830" s="22"/>
      <c r="DK830" s="344"/>
      <c r="DL830" s="361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22"/>
      <c r="EG830" s="22"/>
      <c r="EH830" s="22"/>
      <c r="EI830" s="22"/>
      <c r="EJ830" s="22"/>
      <c r="EK830" s="22"/>
      <c r="EL830" s="22"/>
      <c r="EM830" s="22"/>
      <c r="EN830" s="344"/>
      <c r="EO830" s="344"/>
      <c r="EP830" s="22"/>
      <c r="EQ830" s="22"/>
      <c r="ER830" s="22"/>
      <c r="ES830" s="344"/>
      <c r="ET830" s="349"/>
      <c r="EU830" s="344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T830" s="27"/>
      <c r="FU830" s="27"/>
    </row>
    <row r="831" spans="24:177" s="9" customFormat="1" x14ac:dyDescent="0.2">
      <c r="X831" s="50"/>
      <c r="AD831" s="22"/>
      <c r="AW831" s="8"/>
      <c r="AX831" s="108"/>
      <c r="AY831" s="102"/>
      <c r="AZ831" s="109"/>
      <c r="BA831" s="11"/>
      <c r="BB831" s="9" t="s">
        <v>558</v>
      </c>
      <c r="BC831" s="22">
        <v>178</v>
      </c>
      <c r="BD831" s="231">
        <v>25</v>
      </c>
      <c r="BE831" s="232" t="s">
        <v>290</v>
      </c>
      <c r="CA831" s="18"/>
      <c r="DH831" s="22"/>
      <c r="DI831" s="22"/>
      <c r="DJ831" s="22"/>
      <c r="DK831" s="344"/>
      <c r="DL831" s="361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22"/>
      <c r="EG831" s="22"/>
      <c r="EH831" s="22"/>
      <c r="EI831" s="22"/>
      <c r="EJ831" s="22"/>
      <c r="EK831" s="22"/>
      <c r="EL831" s="22"/>
      <c r="EM831" s="22"/>
      <c r="EN831" s="344"/>
      <c r="EO831" s="344"/>
      <c r="EP831" s="22"/>
      <c r="EQ831" s="22"/>
      <c r="ER831" s="22"/>
      <c r="ES831" s="344"/>
      <c r="ET831" s="349"/>
      <c r="EU831" s="344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T831" s="27"/>
      <c r="FU831" s="27"/>
    </row>
    <row r="832" spans="24:177" s="9" customFormat="1" x14ac:dyDescent="0.2">
      <c r="X832" s="50"/>
      <c r="AD832" s="22"/>
      <c r="AW832" s="8"/>
      <c r="AX832" s="108"/>
      <c r="AY832" s="102"/>
      <c r="AZ832" s="109"/>
      <c r="BA832" s="11"/>
      <c r="BB832" s="9" t="s">
        <v>558</v>
      </c>
      <c r="BC832" s="22">
        <v>179</v>
      </c>
      <c r="BD832" s="231">
        <v>25</v>
      </c>
      <c r="BE832" s="232" t="s">
        <v>291</v>
      </c>
      <c r="CA832" s="18"/>
      <c r="DH832" s="22"/>
      <c r="DI832" s="22"/>
      <c r="DJ832" s="22"/>
      <c r="DK832" s="344"/>
      <c r="DL832" s="361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22"/>
      <c r="EG832" s="22"/>
      <c r="EH832" s="22"/>
      <c r="EI832" s="22"/>
      <c r="EJ832" s="22"/>
      <c r="EK832" s="22"/>
      <c r="EL832" s="22"/>
      <c r="EM832" s="22"/>
      <c r="EN832" s="344"/>
      <c r="EO832" s="344"/>
      <c r="EP832" s="22"/>
      <c r="EQ832" s="22"/>
      <c r="ER832" s="22"/>
      <c r="ES832" s="344"/>
      <c r="ET832" s="349"/>
      <c r="EU832" s="344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T832" s="27"/>
      <c r="FU832" s="27"/>
    </row>
    <row r="833" spans="24:177" s="9" customFormat="1" x14ac:dyDescent="0.2">
      <c r="X833" s="50"/>
      <c r="AD833" s="22"/>
      <c r="AW833" s="8"/>
      <c r="AX833" s="108"/>
      <c r="AY833" s="102"/>
      <c r="AZ833" s="109"/>
      <c r="BA833" s="11"/>
      <c r="BB833" s="9" t="s">
        <v>558</v>
      </c>
      <c r="BC833" s="22">
        <v>180</v>
      </c>
      <c r="BD833" s="231">
        <v>25</v>
      </c>
      <c r="BE833" s="232" t="s">
        <v>292</v>
      </c>
      <c r="CA833" s="18"/>
      <c r="DH833" s="22"/>
      <c r="DI833" s="22"/>
      <c r="DJ833" s="22"/>
      <c r="DK833" s="344"/>
      <c r="DL833" s="361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22"/>
      <c r="EG833" s="22"/>
      <c r="EH833" s="22"/>
      <c r="EI833" s="22"/>
      <c r="EJ833" s="22"/>
      <c r="EK833" s="22"/>
      <c r="EL833" s="22"/>
      <c r="EM833" s="22"/>
      <c r="EN833" s="344"/>
      <c r="EO833" s="344"/>
      <c r="EP833" s="22"/>
      <c r="EQ833" s="22"/>
      <c r="ER833" s="22"/>
      <c r="ES833" s="344"/>
      <c r="ET833" s="349"/>
      <c r="EU833" s="344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T833" s="27"/>
      <c r="FU833" s="27"/>
    </row>
    <row r="834" spans="24:177" s="9" customFormat="1" x14ac:dyDescent="0.2">
      <c r="X834" s="50"/>
      <c r="AD834" s="22"/>
      <c r="AW834" s="8"/>
      <c r="AX834" s="108"/>
      <c r="AY834" s="102"/>
      <c r="AZ834" s="109"/>
      <c r="BA834" s="11"/>
      <c r="BB834" s="9" t="s">
        <v>558</v>
      </c>
      <c r="BC834" s="22">
        <v>181</v>
      </c>
      <c r="BD834" s="231">
        <v>25</v>
      </c>
      <c r="BE834" s="232" t="s">
        <v>293</v>
      </c>
      <c r="CA834" s="18"/>
      <c r="DH834" s="22"/>
      <c r="DI834" s="22"/>
      <c r="DJ834" s="22"/>
      <c r="DK834" s="344"/>
      <c r="DL834" s="361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22"/>
      <c r="EG834" s="22"/>
      <c r="EH834" s="22"/>
      <c r="EI834" s="22"/>
      <c r="EJ834" s="22"/>
      <c r="EK834" s="22"/>
      <c r="EL834" s="22"/>
      <c r="EM834" s="22"/>
      <c r="EN834" s="344"/>
      <c r="EO834" s="344"/>
      <c r="EP834" s="22"/>
      <c r="EQ834" s="22"/>
      <c r="ER834" s="22"/>
      <c r="ES834" s="344"/>
      <c r="ET834" s="349"/>
      <c r="EU834" s="344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T834" s="27"/>
      <c r="FU834" s="27"/>
    </row>
    <row r="835" spans="24:177" s="9" customFormat="1" x14ac:dyDescent="0.2">
      <c r="X835" s="50"/>
      <c r="AD835" s="22"/>
      <c r="AW835" s="8"/>
      <c r="AX835" s="108"/>
      <c r="AY835" s="102"/>
      <c r="AZ835" s="109"/>
      <c r="BA835" s="11"/>
      <c r="BB835" s="9" t="s">
        <v>558</v>
      </c>
      <c r="BC835" s="22">
        <v>182</v>
      </c>
      <c r="BD835" s="231">
        <v>32</v>
      </c>
      <c r="BE835" s="232" t="s">
        <v>290</v>
      </c>
      <c r="CA835" s="18"/>
      <c r="DH835" s="22"/>
      <c r="DI835" s="22"/>
      <c r="DJ835" s="22"/>
      <c r="DK835" s="344"/>
      <c r="DL835" s="361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22"/>
      <c r="EG835" s="22"/>
      <c r="EH835" s="22"/>
      <c r="EI835" s="22"/>
      <c r="EJ835" s="22"/>
      <c r="EK835" s="22"/>
      <c r="EL835" s="22"/>
      <c r="EM835" s="22"/>
      <c r="EN835" s="344"/>
      <c r="EO835" s="344"/>
      <c r="EP835" s="22"/>
      <c r="EQ835" s="22"/>
      <c r="ER835" s="22"/>
      <c r="ES835" s="344"/>
      <c r="ET835" s="349"/>
      <c r="EU835" s="344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T835" s="27"/>
      <c r="FU835" s="27"/>
    </row>
    <row r="836" spans="24:177" s="9" customFormat="1" x14ac:dyDescent="0.2">
      <c r="X836" s="50"/>
      <c r="AD836" s="22"/>
      <c r="AW836" s="8"/>
      <c r="AX836" s="108"/>
      <c r="AY836" s="102"/>
      <c r="AZ836" s="109"/>
      <c r="BA836" s="11"/>
      <c r="BB836" s="9" t="s">
        <v>558</v>
      </c>
      <c r="BC836" s="22">
        <v>183</v>
      </c>
      <c r="BD836" s="231">
        <v>32</v>
      </c>
      <c r="BE836" s="232" t="s">
        <v>291</v>
      </c>
      <c r="CA836" s="18"/>
      <c r="DH836" s="22"/>
      <c r="DI836" s="22"/>
      <c r="DJ836" s="22"/>
      <c r="DK836" s="344"/>
      <c r="DL836" s="361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22"/>
      <c r="EG836" s="22"/>
      <c r="EH836" s="22"/>
      <c r="EI836" s="22"/>
      <c r="EJ836" s="22"/>
      <c r="EK836" s="22"/>
      <c r="EL836" s="22"/>
      <c r="EM836" s="22"/>
      <c r="EN836" s="344"/>
      <c r="EO836" s="344"/>
      <c r="EP836" s="22"/>
      <c r="EQ836" s="22"/>
      <c r="ER836" s="22"/>
      <c r="ES836" s="344"/>
      <c r="ET836" s="349"/>
      <c r="EU836" s="344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T836" s="27"/>
      <c r="FU836" s="27"/>
    </row>
    <row r="837" spans="24:177" s="9" customFormat="1" x14ac:dyDescent="0.2">
      <c r="X837" s="50"/>
      <c r="AD837" s="22"/>
      <c r="AW837" s="8"/>
      <c r="AX837" s="108"/>
      <c r="AY837" s="102"/>
      <c r="AZ837" s="109"/>
      <c r="BA837" s="11"/>
      <c r="BB837" s="9" t="s">
        <v>558</v>
      </c>
      <c r="BC837" s="22">
        <v>184</v>
      </c>
      <c r="BD837" s="231">
        <v>32</v>
      </c>
      <c r="BE837" s="232" t="s">
        <v>292</v>
      </c>
      <c r="CA837" s="18"/>
      <c r="DH837" s="22"/>
      <c r="DI837" s="22"/>
      <c r="DJ837" s="22"/>
      <c r="DK837" s="344"/>
      <c r="DL837" s="361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22"/>
      <c r="EG837" s="22"/>
      <c r="EH837" s="22"/>
      <c r="EI837" s="22"/>
      <c r="EJ837" s="22"/>
      <c r="EK837" s="22"/>
      <c r="EL837" s="22"/>
      <c r="EM837" s="22"/>
      <c r="EN837" s="344"/>
      <c r="EO837" s="344"/>
      <c r="EP837" s="22"/>
      <c r="EQ837" s="22"/>
      <c r="ER837" s="22"/>
      <c r="ES837" s="344"/>
      <c r="ET837" s="349"/>
      <c r="EU837" s="344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T837" s="27"/>
      <c r="FU837" s="27"/>
    </row>
    <row r="838" spans="24:177" s="9" customFormat="1" x14ac:dyDescent="0.2">
      <c r="X838" s="50"/>
      <c r="AD838" s="22"/>
      <c r="AW838" s="8"/>
      <c r="AX838" s="108"/>
      <c r="AY838" s="102"/>
      <c r="AZ838" s="109"/>
      <c r="BA838" s="11"/>
      <c r="BB838" s="9" t="s">
        <v>558</v>
      </c>
      <c r="BC838" s="22">
        <v>185</v>
      </c>
      <c r="BD838" s="231">
        <v>32</v>
      </c>
      <c r="BE838" s="232" t="s">
        <v>293</v>
      </c>
      <c r="CA838" s="18"/>
      <c r="DH838" s="22"/>
      <c r="DI838" s="22"/>
      <c r="DJ838" s="22"/>
      <c r="DK838" s="344"/>
      <c r="DL838" s="361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22"/>
      <c r="EG838" s="22"/>
      <c r="EH838" s="22"/>
      <c r="EI838" s="22"/>
      <c r="EJ838" s="22"/>
      <c r="EK838" s="22"/>
      <c r="EL838" s="22"/>
      <c r="EM838" s="22"/>
      <c r="EN838" s="344"/>
      <c r="EO838" s="344"/>
      <c r="EP838" s="22"/>
      <c r="EQ838" s="22"/>
      <c r="ER838" s="22"/>
      <c r="ES838" s="344"/>
      <c r="ET838" s="349"/>
      <c r="EU838" s="344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T838" s="27"/>
      <c r="FU838" s="27"/>
    </row>
    <row r="839" spans="24:177" s="9" customFormat="1" x14ac:dyDescent="0.2">
      <c r="X839" s="50"/>
      <c r="AD839" s="22"/>
      <c r="AW839" s="8"/>
      <c r="AX839" s="108"/>
      <c r="AY839" s="102"/>
      <c r="AZ839" s="109"/>
      <c r="BA839" s="11"/>
      <c r="BB839" s="9" t="s">
        <v>558</v>
      </c>
      <c r="BC839" s="22">
        <v>186</v>
      </c>
      <c r="BD839" s="20"/>
      <c r="BE839" s="8"/>
      <c r="CA839" s="18"/>
      <c r="DH839" s="22"/>
      <c r="DI839" s="22"/>
      <c r="DJ839" s="22"/>
      <c r="DK839" s="344"/>
      <c r="DL839" s="361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22"/>
      <c r="EG839" s="22"/>
      <c r="EH839" s="22"/>
      <c r="EI839" s="22"/>
      <c r="EJ839" s="22"/>
      <c r="EK839" s="22"/>
      <c r="EL839" s="22"/>
      <c r="EM839" s="22"/>
      <c r="EN839" s="344"/>
      <c r="EO839" s="344"/>
      <c r="EP839" s="22"/>
      <c r="EQ839" s="22"/>
      <c r="ER839" s="22"/>
      <c r="ES839" s="344"/>
      <c r="ET839" s="349"/>
      <c r="EU839" s="344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T839" s="27"/>
      <c r="FU839" s="27"/>
    </row>
    <row r="840" spans="24:177" s="9" customFormat="1" x14ac:dyDescent="0.2">
      <c r="X840" s="50"/>
      <c r="AD840" s="22"/>
      <c r="AW840" s="8"/>
      <c r="AX840" s="108"/>
      <c r="AY840" s="102"/>
      <c r="AZ840" s="109"/>
      <c r="BA840" s="11"/>
      <c r="BB840" s="9" t="s">
        <v>558</v>
      </c>
      <c r="BC840" s="22">
        <v>187</v>
      </c>
      <c r="BD840" s="20"/>
      <c r="BE840" s="8"/>
      <c r="CA840" s="18"/>
      <c r="DH840" s="22"/>
      <c r="DI840" s="22"/>
      <c r="DJ840" s="22"/>
      <c r="DK840" s="344"/>
      <c r="DL840" s="361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22"/>
      <c r="EG840" s="22"/>
      <c r="EH840" s="22"/>
      <c r="EI840" s="22"/>
      <c r="EJ840" s="22"/>
      <c r="EK840" s="22"/>
      <c r="EL840" s="22"/>
      <c r="EM840" s="22"/>
      <c r="EN840" s="344"/>
      <c r="EO840" s="344"/>
      <c r="EP840" s="22"/>
      <c r="EQ840" s="22"/>
      <c r="ER840" s="22"/>
      <c r="ES840" s="344"/>
      <c r="ET840" s="349"/>
      <c r="EU840" s="344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T840" s="27"/>
      <c r="FU840" s="27"/>
    </row>
    <row r="841" spans="24:177" s="9" customFormat="1" x14ac:dyDescent="0.2">
      <c r="X841" s="50"/>
      <c r="AD841" s="22"/>
      <c r="AW841" s="8"/>
      <c r="AX841" s="108"/>
      <c r="AY841" s="102"/>
      <c r="AZ841" s="109"/>
      <c r="BA841" s="11"/>
      <c r="BB841" s="9" t="s">
        <v>558</v>
      </c>
      <c r="BC841" s="22">
        <v>188</v>
      </c>
      <c r="BD841" s="20"/>
      <c r="BE841" s="8"/>
      <c r="CA841" s="18"/>
      <c r="DH841" s="22"/>
      <c r="DI841" s="22"/>
      <c r="DJ841" s="22"/>
      <c r="DK841" s="344"/>
      <c r="DL841" s="361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22"/>
      <c r="EG841" s="22"/>
      <c r="EH841" s="22"/>
      <c r="EI841" s="22"/>
      <c r="EJ841" s="22"/>
      <c r="EK841" s="22"/>
      <c r="EL841" s="22"/>
      <c r="EM841" s="22"/>
      <c r="EN841" s="344"/>
      <c r="EO841" s="344"/>
      <c r="EP841" s="22"/>
      <c r="EQ841" s="22"/>
      <c r="ER841" s="22"/>
      <c r="ES841" s="344"/>
      <c r="ET841" s="349"/>
      <c r="EU841" s="344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T841" s="27"/>
      <c r="FU841" s="27"/>
    </row>
    <row r="842" spans="24:177" s="9" customFormat="1" x14ac:dyDescent="0.2">
      <c r="X842" s="50"/>
      <c r="AD842" s="22"/>
      <c r="AW842" s="8"/>
      <c r="AX842" s="108"/>
      <c r="AY842" s="102"/>
      <c r="AZ842" s="109"/>
      <c r="BA842" s="11"/>
      <c r="BB842" s="9" t="s">
        <v>558</v>
      </c>
      <c r="BC842" s="22">
        <v>189</v>
      </c>
      <c r="BD842" s="20"/>
      <c r="BE842" s="8"/>
      <c r="CA842" s="18"/>
      <c r="DH842" s="22"/>
      <c r="DI842" s="22"/>
      <c r="DJ842" s="22"/>
      <c r="DK842" s="344"/>
      <c r="DL842" s="361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22"/>
      <c r="EG842" s="22"/>
      <c r="EH842" s="22"/>
      <c r="EI842" s="22"/>
      <c r="EJ842" s="22"/>
      <c r="EK842" s="22"/>
      <c r="EL842" s="22"/>
      <c r="EM842" s="22"/>
      <c r="EN842" s="344"/>
      <c r="EO842" s="344"/>
      <c r="EP842" s="22"/>
      <c r="EQ842" s="22"/>
      <c r="ER842" s="22"/>
      <c r="ES842" s="344"/>
      <c r="ET842" s="349"/>
      <c r="EU842" s="344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T842" s="27"/>
      <c r="FU842" s="27"/>
    </row>
    <row r="843" spans="24:177" s="9" customFormat="1" x14ac:dyDescent="0.2">
      <c r="X843" s="50"/>
      <c r="AD843" s="22"/>
      <c r="AW843" s="8"/>
      <c r="AX843" s="108"/>
      <c r="AY843" s="102"/>
      <c r="AZ843" s="109"/>
      <c r="BA843" s="11"/>
      <c r="BB843" s="9" t="s">
        <v>558</v>
      </c>
      <c r="BC843" s="22">
        <v>190</v>
      </c>
      <c r="BD843" s="20"/>
      <c r="BE843" s="8"/>
      <c r="CA843" s="18"/>
      <c r="DH843" s="22"/>
      <c r="DI843" s="22"/>
      <c r="DJ843" s="22"/>
      <c r="DK843" s="344"/>
      <c r="DL843" s="361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22"/>
      <c r="EG843" s="22"/>
      <c r="EH843" s="22"/>
      <c r="EI843" s="22"/>
      <c r="EJ843" s="22"/>
      <c r="EK843" s="22"/>
      <c r="EL843" s="22"/>
      <c r="EM843" s="22"/>
      <c r="EN843" s="344"/>
      <c r="EO843" s="344"/>
      <c r="EP843" s="22"/>
      <c r="EQ843" s="22"/>
      <c r="ER843" s="22"/>
      <c r="ES843" s="344"/>
      <c r="ET843" s="349"/>
      <c r="EU843" s="344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T843" s="27"/>
      <c r="FU843" s="27"/>
    </row>
    <row r="844" spans="24:177" s="9" customFormat="1" x14ac:dyDescent="0.2">
      <c r="X844" s="50"/>
      <c r="AD844" s="22"/>
      <c r="AW844" s="8"/>
      <c r="AX844" s="108"/>
      <c r="AY844" s="102"/>
      <c r="AZ844" s="109"/>
      <c r="BA844" s="11"/>
      <c r="BB844" s="9" t="s">
        <v>558</v>
      </c>
      <c r="BC844" s="22">
        <v>191</v>
      </c>
      <c r="BD844" s="20"/>
      <c r="BE844" s="8"/>
      <c r="CA844" s="18"/>
      <c r="DH844" s="22"/>
      <c r="DI844" s="22"/>
      <c r="DJ844" s="22"/>
      <c r="DK844" s="344"/>
      <c r="DL844" s="361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22"/>
      <c r="EG844" s="22"/>
      <c r="EH844" s="22"/>
      <c r="EI844" s="22"/>
      <c r="EJ844" s="22"/>
      <c r="EK844" s="22"/>
      <c r="EL844" s="22"/>
      <c r="EM844" s="22"/>
      <c r="EN844" s="344"/>
      <c r="EO844" s="344"/>
      <c r="EP844" s="22"/>
      <c r="EQ844" s="22"/>
      <c r="ER844" s="22"/>
      <c r="ES844" s="344"/>
      <c r="ET844" s="349"/>
      <c r="EU844" s="344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T844" s="27"/>
      <c r="FU844" s="27"/>
    </row>
    <row r="845" spans="24:177" s="9" customFormat="1" x14ac:dyDescent="0.2">
      <c r="X845" s="50"/>
      <c r="AD845" s="22"/>
      <c r="AW845" s="8"/>
      <c r="AX845" s="108"/>
      <c r="AY845" s="102"/>
      <c r="AZ845" s="109"/>
      <c r="BA845" s="11"/>
      <c r="BB845" s="9" t="s">
        <v>558</v>
      </c>
      <c r="BC845" s="22">
        <v>192</v>
      </c>
      <c r="BD845" s="20"/>
      <c r="BE845" s="8"/>
      <c r="CA845" s="18"/>
      <c r="DH845" s="22"/>
      <c r="DI845" s="22"/>
      <c r="DJ845" s="22"/>
      <c r="DK845" s="344"/>
      <c r="DL845" s="361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22"/>
      <c r="EG845" s="22"/>
      <c r="EH845" s="22"/>
      <c r="EI845" s="22"/>
      <c r="EJ845" s="22"/>
      <c r="EK845" s="22"/>
      <c r="EL845" s="22"/>
      <c r="EM845" s="22"/>
      <c r="EN845" s="344"/>
      <c r="EO845" s="344"/>
      <c r="EP845" s="22"/>
      <c r="EQ845" s="22"/>
      <c r="ER845" s="22"/>
      <c r="ES845" s="344"/>
      <c r="ET845" s="349"/>
      <c r="EU845" s="344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T845" s="27"/>
      <c r="FU845" s="27"/>
    </row>
    <row r="846" spans="24:177" s="9" customFormat="1" x14ac:dyDescent="0.2">
      <c r="X846" s="50"/>
      <c r="AD846" s="22"/>
      <c r="AW846" s="8"/>
      <c r="AX846" s="108"/>
      <c r="AY846" s="102"/>
      <c r="AZ846" s="109"/>
      <c r="BA846" s="11"/>
      <c r="BB846" s="9" t="s">
        <v>558</v>
      </c>
      <c r="BC846" s="22">
        <v>193</v>
      </c>
      <c r="BD846" s="20"/>
      <c r="BE846" s="8"/>
      <c r="CA846" s="18"/>
      <c r="DH846" s="22"/>
      <c r="DI846" s="22"/>
      <c r="DJ846" s="22"/>
      <c r="DK846" s="344"/>
      <c r="DL846" s="361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22"/>
      <c r="EG846" s="22"/>
      <c r="EH846" s="22"/>
      <c r="EI846" s="22"/>
      <c r="EJ846" s="22"/>
      <c r="EK846" s="22"/>
      <c r="EL846" s="22"/>
      <c r="EM846" s="22"/>
      <c r="EN846" s="344"/>
      <c r="EO846" s="344"/>
      <c r="EP846" s="22"/>
      <c r="EQ846" s="22"/>
      <c r="ER846" s="22"/>
      <c r="ES846" s="344"/>
      <c r="ET846" s="349"/>
      <c r="EU846" s="344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T846" s="27"/>
      <c r="FU846" s="27"/>
    </row>
    <row r="847" spans="24:177" s="9" customFormat="1" x14ac:dyDescent="0.2">
      <c r="X847" s="50"/>
      <c r="AD847" s="22"/>
      <c r="AW847" s="8"/>
      <c r="AX847" s="108"/>
      <c r="AY847" s="102"/>
      <c r="AZ847" s="109"/>
      <c r="BA847" s="11"/>
      <c r="BB847" s="9" t="s">
        <v>558</v>
      </c>
      <c r="BC847" s="22">
        <v>194</v>
      </c>
      <c r="BD847" s="20"/>
      <c r="BE847" s="8"/>
      <c r="CA847" s="18"/>
      <c r="DH847" s="22"/>
      <c r="DI847" s="22"/>
      <c r="DJ847" s="22"/>
      <c r="DK847" s="344"/>
      <c r="DL847" s="361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22"/>
      <c r="EG847" s="22"/>
      <c r="EH847" s="22"/>
      <c r="EI847" s="22"/>
      <c r="EJ847" s="22"/>
      <c r="EK847" s="22"/>
      <c r="EL847" s="22"/>
      <c r="EM847" s="22"/>
      <c r="EN847" s="344"/>
      <c r="EO847" s="344"/>
      <c r="EP847" s="22"/>
      <c r="EQ847" s="22"/>
      <c r="ER847" s="22"/>
      <c r="ES847" s="344"/>
      <c r="ET847" s="349"/>
      <c r="EU847" s="344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T847" s="27"/>
      <c r="FU847" s="27"/>
    </row>
    <row r="848" spans="24:177" s="9" customFormat="1" x14ac:dyDescent="0.2">
      <c r="X848" s="50"/>
      <c r="AD848" s="22"/>
      <c r="AW848" s="8"/>
      <c r="AX848" s="108"/>
      <c r="AY848" s="102"/>
      <c r="AZ848" s="109"/>
      <c r="BA848" s="11"/>
      <c r="BB848" s="9" t="s">
        <v>558</v>
      </c>
      <c r="BC848" s="22">
        <v>195</v>
      </c>
      <c r="BD848" s="20"/>
      <c r="BE848" s="8"/>
      <c r="CA848" s="18"/>
      <c r="DH848" s="22"/>
      <c r="DI848" s="22"/>
      <c r="DJ848" s="22"/>
      <c r="DK848" s="344"/>
      <c r="DL848" s="361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22"/>
      <c r="EG848" s="22"/>
      <c r="EH848" s="22"/>
      <c r="EI848" s="22"/>
      <c r="EJ848" s="22"/>
      <c r="EK848" s="22"/>
      <c r="EL848" s="22"/>
      <c r="EM848" s="22"/>
      <c r="EN848" s="344"/>
      <c r="EO848" s="344"/>
      <c r="EP848" s="22"/>
      <c r="EQ848" s="22"/>
      <c r="ER848" s="22"/>
      <c r="ES848" s="344"/>
      <c r="ET848" s="349"/>
      <c r="EU848" s="344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T848" s="27"/>
      <c r="FU848" s="27"/>
    </row>
    <row r="849" spans="24:177" s="9" customFormat="1" x14ac:dyDescent="0.2">
      <c r="X849" s="50"/>
      <c r="AD849" s="22"/>
      <c r="AW849" s="8"/>
      <c r="AX849" s="108"/>
      <c r="AY849" s="102"/>
      <c r="AZ849" s="109"/>
      <c r="BA849" s="11"/>
      <c r="BB849" s="9" t="s">
        <v>558</v>
      </c>
      <c r="BC849" s="22">
        <v>196</v>
      </c>
      <c r="BD849" s="20"/>
      <c r="BE849" s="8"/>
      <c r="CA849" s="18"/>
      <c r="DH849" s="22"/>
      <c r="DI849" s="22"/>
      <c r="DJ849" s="22"/>
      <c r="DK849" s="344"/>
      <c r="DL849" s="361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22"/>
      <c r="EG849" s="22"/>
      <c r="EH849" s="22"/>
      <c r="EI849" s="22"/>
      <c r="EJ849" s="22"/>
      <c r="EK849" s="22"/>
      <c r="EL849" s="22"/>
      <c r="EM849" s="22"/>
      <c r="EN849" s="344"/>
      <c r="EO849" s="344"/>
      <c r="EP849" s="22"/>
      <c r="EQ849" s="22"/>
      <c r="ER849" s="22"/>
      <c r="ES849" s="344"/>
      <c r="ET849" s="349"/>
      <c r="EU849" s="344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T849" s="27"/>
      <c r="FU849" s="27"/>
    </row>
    <row r="850" spans="24:177" s="9" customFormat="1" x14ac:dyDescent="0.2">
      <c r="X850" s="50"/>
      <c r="AD850" s="22"/>
      <c r="AW850" s="8"/>
      <c r="AX850" s="108"/>
      <c r="AY850" s="102"/>
      <c r="AZ850" s="109"/>
      <c r="BA850" s="11"/>
      <c r="BB850" s="9" t="s">
        <v>558</v>
      </c>
      <c r="BC850" s="22">
        <v>197</v>
      </c>
      <c r="BD850" s="20"/>
      <c r="BE850" s="8"/>
      <c r="CA850" s="18"/>
      <c r="DH850" s="22"/>
      <c r="DI850" s="22"/>
      <c r="DJ850" s="22"/>
      <c r="DK850" s="344"/>
      <c r="DL850" s="361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22"/>
      <c r="EG850" s="22"/>
      <c r="EH850" s="22"/>
      <c r="EI850" s="22"/>
      <c r="EJ850" s="22"/>
      <c r="EK850" s="22"/>
      <c r="EL850" s="22"/>
      <c r="EM850" s="22"/>
      <c r="EN850" s="344"/>
      <c r="EO850" s="344"/>
      <c r="EP850" s="22"/>
      <c r="EQ850" s="22"/>
      <c r="ER850" s="22"/>
      <c r="ES850" s="344"/>
      <c r="ET850" s="349"/>
      <c r="EU850" s="344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T850" s="27"/>
      <c r="FU850" s="27"/>
    </row>
    <row r="851" spans="24:177" s="9" customFormat="1" x14ac:dyDescent="0.2">
      <c r="X851" s="50"/>
      <c r="AD851" s="22"/>
      <c r="AW851" s="8"/>
      <c r="AX851" s="108"/>
      <c r="AY851" s="102"/>
      <c r="AZ851" s="109"/>
      <c r="BA851" s="11"/>
      <c r="BB851" s="9" t="s">
        <v>558</v>
      </c>
      <c r="BC851" s="22">
        <v>198</v>
      </c>
      <c r="BD851" s="20"/>
      <c r="BE851" s="8"/>
      <c r="CA851" s="18"/>
      <c r="DH851" s="22"/>
      <c r="DI851" s="22"/>
      <c r="DJ851" s="22"/>
      <c r="DK851" s="344"/>
      <c r="DL851" s="361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22"/>
      <c r="EG851" s="22"/>
      <c r="EH851" s="22"/>
      <c r="EI851" s="22"/>
      <c r="EJ851" s="22"/>
      <c r="EK851" s="22"/>
      <c r="EL851" s="22"/>
      <c r="EM851" s="22"/>
      <c r="EN851" s="344"/>
      <c r="EO851" s="344"/>
      <c r="EP851" s="22"/>
      <c r="EQ851" s="22"/>
      <c r="ER851" s="22"/>
      <c r="ES851" s="344"/>
      <c r="ET851" s="349"/>
      <c r="EU851" s="344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T851" s="27"/>
      <c r="FU851" s="27"/>
    </row>
    <row r="852" spans="24:177" s="9" customFormat="1" x14ac:dyDescent="0.2">
      <c r="X852" s="50"/>
      <c r="AD852" s="22"/>
      <c r="AW852" s="8"/>
      <c r="AX852" s="108"/>
      <c r="AY852" s="102"/>
      <c r="AZ852" s="109"/>
      <c r="BA852" s="11"/>
      <c r="BB852" s="9" t="s">
        <v>558</v>
      </c>
      <c r="BC852" s="22">
        <v>199</v>
      </c>
      <c r="BD852" s="20"/>
      <c r="BE852" s="8"/>
      <c r="CA852" s="18"/>
      <c r="DH852" s="22"/>
      <c r="DI852" s="22"/>
      <c r="DJ852" s="22"/>
      <c r="DK852" s="344"/>
      <c r="DL852" s="361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22"/>
      <c r="EG852" s="22"/>
      <c r="EH852" s="22"/>
      <c r="EI852" s="22"/>
      <c r="EJ852" s="22"/>
      <c r="EK852" s="22"/>
      <c r="EL852" s="22"/>
      <c r="EM852" s="22"/>
      <c r="EN852" s="344"/>
      <c r="EO852" s="344"/>
      <c r="EP852" s="22"/>
      <c r="EQ852" s="22"/>
      <c r="ER852" s="22"/>
      <c r="ES852" s="344"/>
      <c r="ET852" s="349"/>
      <c r="EU852" s="344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T852" s="27"/>
      <c r="FU852" s="27"/>
    </row>
    <row r="853" spans="24:177" s="9" customFormat="1" x14ac:dyDescent="0.2">
      <c r="X853" s="50"/>
      <c r="AD853" s="22"/>
      <c r="AW853" s="8"/>
      <c r="AX853" s="108"/>
      <c r="AY853" s="102"/>
      <c r="AZ853" s="109"/>
      <c r="BA853" s="11"/>
      <c r="BB853" s="9" t="s">
        <v>558</v>
      </c>
      <c r="BC853" s="22">
        <v>200</v>
      </c>
      <c r="CA853" s="18"/>
      <c r="DH853" s="22"/>
      <c r="DI853" s="22"/>
      <c r="DJ853" s="22"/>
      <c r="DK853" s="344"/>
      <c r="DL853" s="361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22"/>
      <c r="EG853" s="22"/>
      <c r="EH853" s="22"/>
      <c r="EI853" s="22"/>
      <c r="EJ853" s="22"/>
      <c r="EK853" s="22"/>
      <c r="EL853" s="22"/>
      <c r="EM853" s="22"/>
      <c r="EN853" s="344"/>
      <c r="EO853" s="344"/>
      <c r="EP853" s="22"/>
      <c r="EQ853" s="22"/>
      <c r="ER853" s="22"/>
      <c r="ES853" s="344"/>
      <c r="ET853" s="349"/>
      <c r="EU853" s="344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T853" s="27"/>
      <c r="FU853" s="27"/>
    </row>
    <row r="854" spans="24:177" s="9" customFormat="1" x14ac:dyDescent="0.2">
      <c r="X854" s="50"/>
      <c r="AD854" s="22"/>
      <c r="AW854" s="8"/>
      <c r="AX854" s="108"/>
      <c r="AY854" s="102"/>
      <c r="AZ854" s="109"/>
      <c r="BA854" s="11"/>
      <c r="BB854" s="9" t="s">
        <v>558</v>
      </c>
      <c r="BC854" s="22">
        <v>201</v>
      </c>
      <c r="BD854" s="22"/>
      <c r="CA854" s="18"/>
      <c r="DH854" s="22"/>
      <c r="DI854" s="22"/>
      <c r="DJ854" s="22"/>
      <c r="DK854" s="344"/>
      <c r="DL854" s="361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22"/>
      <c r="EG854" s="22"/>
      <c r="EH854" s="22"/>
      <c r="EI854" s="22"/>
      <c r="EJ854" s="22"/>
      <c r="EK854" s="22"/>
      <c r="EL854" s="22"/>
      <c r="EM854" s="22"/>
      <c r="EN854" s="344"/>
      <c r="EO854" s="344"/>
      <c r="EP854" s="22"/>
      <c r="EQ854" s="22"/>
      <c r="ER854" s="22"/>
      <c r="ES854" s="344"/>
      <c r="ET854" s="349"/>
      <c r="EU854" s="344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T854" s="27"/>
      <c r="FU854" s="27"/>
    </row>
    <row r="855" spans="24:177" s="9" customFormat="1" x14ac:dyDescent="0.2">
      <c r="X855" s="50"/>
      <c r="AD855" s="22"/>
      <c r="AW855" s="8"/>
      <c r="AX855" s="108"/>
      <c r="AY855" s="102"/>
      <c r="AZ855" s="109"/>
      <c r="BA855" s="11"/>
      <c r="BB855" s="9" t="s">
        <v>558</v>
      </c>
      <c r="BC855" s="22">
        <v>202</v>
      </c>
      <c r="BD855" s="22"/>
      <c r="CA855" s="18"/>
      <c r="DH855" s="22"/>
      <c r="DI855" s="22"/>
      <c r="DJ855" s="22"/>
      <c r="DK855" s="344"/>
      <c r="DL855" s="361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22"/>
      <c r="EG855" s="22"/>
      <c r="EH855" s="22"/>
      <c r="EI855" s="22"/>
      <c r="EJ855" s="22"/>
      <c r="EK855" s="22"/>
      <c r="EL855" s="22"/>
      <c r="EM855" s="22"/>
      <c r="EN855" s="344"/>
      <c r="EO855" s="344"/>
      <c r="EP855" s="22"/>
      <c r="EQ855" s="22"/>
      <c r="ER855" s="22"/>
      <c r="ES855" s="344"/>
      <c r="ET855" s="349"/>
      <c r="EU855" s="344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T855" s="27"/>
      <c r="FU855" s="27"/>
    </row>
    <row r="856" spans="24:177" s="9" customFormat="1" x14ac:dyDescent="0.2">
      <c r="X856" s="50"/>
      <c r="AD856" s="22"/>
      <c r="AW856" s="8"/>
      <c r="AX856" s="108"/>
      <c r="AY856" s="102"/>
      <c r="AZ856" s="109"/>
      <c r="BA856" s="11"/>
      <c r="BB856" s="9" t="s">
        <v>558</v>
      </c>
      <c r="BC856" s="22">
        <v>203</v>
      </c>
      <c r="BD856" s="22"/>
      <c r="CA856" s="18"/>
      <c r="DH856" s="22"/>
      <c r="DI856" s="22"/>
      <c r="DJ856" s="22"/>
      <c r="DK856" s="344"/>
      <c r="DL856" s="361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22"/>
      <c r="EG856" s="22"/>
      <c r="EH856" s="22"/>
      <c r="EI856" s="22"/>
      <c r="EJ856" s="22"/>
      <c r="EK856" s="22"/>
      <c r="EL856" s="22"/>
      <c r="EM856" s="22"/>
      <c r="EN856" s="344"/>
      <c r="EO856" s="344"/>
      <c r="EP856" s="22"/>
      <c r="EQ856" s="22"/>
      <c r="ER856" s="22"/>
      <c r="ES856" s="344"/>
      <c r="ET856" s="349"/>
      <c r="EU856" s="344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T856" s="27"/>
      <c r="FU856" s="27"/>
    </row>
    <row r="857" spans="24:177" s="9" customFormat="1" x14ac:dyDescent="0.2">
      <c r="X857" s="50"/>
      <c r="AD857" s="22"/>
      <c r="AW857" s="8"/>
      <c r="AX857" s="108"/>
      <c r="AY857" s="102"/>
      <c r="AZ857" s="109"/>
      <c r="BA857" s="11"/>
      <c r="BB857" s="9" t="s">
        <v>558</v>
      </c>
      <c r="BC857" s="22">
        <v>204</v>
      </c>
      <c r="BD857" s="22"/>
      <c r="CA857" s="18"/>
      <c r="DH857" s="22"/>
      <c r="DI857" s="22"/>
      <c r="DJ857" s="22"/>
      <c r="DK857" s="344"/>
      <c r="DL857" s="361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22"/>
      <c r="EG857" s="22"/>
      <c r="EH857" s="22"/>
      <c r="EI857" s="22"/>
      <c r="EJ857" s="22"/>
      <c r="EK857" s="22"/>
      <c r="EL857" s="22"/>
      <c r="EM857" s="22"/>
      <c r="EN857" s="344"/>
      <c r="EO857" s="344"/>
      <c r="EP857" s="22"/>
      <c r="EQ857" s="22"/>
      <c r="ER857" s="22"/>
      <c r="ES857" s="344"/>
      <c r="ET857" s="349"/>
      <c r="EU857" s="344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T857" s="27"/>
      <c r="FU857" s="27"/>
    </row>
    <row r="858" spans="24:177" s="9" customFormat="1" x14ac:dyDescent="0.2">
      <c r="X858" s="50"/>
      <c r="AD858" s="22"/>
      <c r="AW858" s="8"/>
      <c r="AX858" s="108"/>
      <c r="AY858" s="102"/>
      <c r="AZ858" s="109"/>
      <c r="BA858" s="11"/>
      <c r="BB858" s="9" t="s">
        <v>558</v>
      </c>
      <c r="BC858" s="22">
        <v>205</v>
      </c>
      <c r="BD858" s="22"/>
      <c r="CA858" s="18"/>
      <c r="DH858" s="22"/>
      <c r="DI858" s="22"/>
      <c r="DJ858" s="22"/>
      <c r="DK858" s="344"/>
      <c r="DL858" s="361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22"/>
      <c r="EG858" s="22"/>
      <c r="EH858" s="22"/>
      <c r="EI858" s="22"/>
      <c r="EJ858" s="22"/>
      <c r="EK858" s="22"/>
      <c r="EL858" s="22"/>
      <c r="EM858" s="22"/>
      <c r="EN858" s="344"/>
      <c r="EO858" s="344"/>
      <c r="EP858" s="22"/>
      <c r="EQ858" s="22"/>
      <c r="ER858" s="22"/>
      <c r="ES858" s="344"/>
      <c r="ET858" s="349"/>
      <c r="EU858" s="344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T858" s="27"/>
      <c r="FU858" s="27"/>
    </row>
    <row r="859" spans="24:177" s="9" customFormat="1" x14ac:dyDescent="0.2">
      <c r="X859" s="50"/>
      <c r="AD859" s="22"/>
      <c r="AW859" s="8"/>
      <c r="AX859" s="108"/>
      <c r="AY859" s="102"/>
      <c r="AZ859" s="109"/>
      <c r="BA859" s="11"/>
      <c r="BB859" s="9" t="s">
        <v>558</v>
      </c>
      <c r="BC859" s="22">
        <v>206</v>
      </c>
      <c r="BD859" s="22"/>
      <c r="CA859" s="18"/>
      <c r="DH859" s="22"/>
      <c r="DI859" s="22"/>
      <c r="DJ859" s="22"/>
      <c r="DK859" s="344"/>
      <c r="DL859" s="361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22"/>
      <c r="EG859" s="22"/>
      <c r="EH859" s="22"/>
      <c r="EI859" s="22"/>
      <c r="EJ859" s="22"/>
      <c r="EK859" s="22"/>
      <c r="EL859" s="22"/>
      <c r="EM859" s="22"/>
      <c r="EN859" s="344"/>
      <c r="EO859" s="344"/>
      <c r="EP859" s="22"/>
      <c r="EQ859" s="22"/>
      <c r="ER859" s="22"/>
      <c r="ES859" s="344"/>
      <c r="ET859" s="349"/>
      <c r="EU859" s="344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T859" s="27"/>
      <c r="FU859" s="27"/>
    </row>
    <row r="860" spans="24:177" s="9" customFormat="1" x14ac:dyDescent="0.2">
      <c r="X860" s="50"/>
      <c r="AD860" s="22"/>
      <c r="AW860" s="8"/>
      <c r="AX860" s="108"/>
      <c r="AY860" s="102"/>
      <c r="AZ860" s="109"/>
      <c r="BA860" s="11"/>
      <c r="BB860" s="9" t="s">
        <v>558</v>
      </c>
      <c r="BC860" s="22">
        <v>207</v>
      </c>
      <c r="BD860" s="22"/>
      <c r="CA860" s="18"/>
      <c r="DH860" s="22"/>
      <c r="DI860" s="22"/>
      <c r="DJ860" s="22"/>
      <c r="DK860" s="344"/>
      <c r="DL860" s="361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22"/>
      <c r="EG860" s="22"/>
      <c r="EH860" s="22"/>
      <c r="EI860" s="22"/>
      <c r="EJ860" s="22"/>
      <c r="EK860" s="22"/>
      <c r="EL860" s="22"/>
      <c r="EM860" s="22"/>
      <c r="EN860" s="344"/>
      <c r="EO860" s="344"/>
      <c r="EP860" s="22"/>
      <c r="EQ860" s="22"/>
      <c r="ER860" s="22"/>
      <c r="ES860" s="344"/>
      <c r="ET860" s="349"/>
      <c r="EU860" s="344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T860" s="27"/>
      <c r="FU860" s="27"/>
    </row>
    <row r="861" spans="24:177" s="9" customFormat="1" x14ac:dyDescent="0.2">
      <c r="X861" s="50"/>
      <c r="AD861" s="22"/>
      <c r="AW861" s="8"/>
      <c r="AX861" s="108"/>
      <c r="AY861" s="102"/>
      <c r="AZ861" s="109"/>
      <c r="BA861" s="11"/>
      <c r="BB861" s="9" t="s">
        <v>558</v>
      </c>
      <c r="BC861" s="22">
        <v>208</v>
      </c>
      <c r="BD861" s="22"/>
      <c r="CA861" s="18"/>
      <c r="DH861" s="22"/>
      <c r="DI861" s="22"/>
      <c r="DJ861" s="22"/>
      <c r="DK861" s="344"/>
      <c r="DL861" s="361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22"/>
      <c r="EG861" s="22"/>
      <c r="EH861" s="22"/>
      <c r="EI861" s="22"/>
      <c r="EJ861" s="22"/>
      <c r="EK861" s="22"/>
      <c r="EL861" s="22"/>
      <c r="EM861" s="22"/>
      <c r="EN861" s="344"/>
      <c r="EO861" s="344"/>
      <c r="EP861" s="22"/>
      <c r="EQ861" s="22"/>
      <c r="ER861" s="22"/>
      <c r="ES861" s="344"/>
      <c r="ET861" s="349"/>
      <c r="EU861" s="344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T861" s="27"/>
      <c r="FU861" s="27"/>
    </row>
    <row r="862" spans="24:177" s="9" customFormat="1" x14ac:dyDescent="0.2">
      <c r="X862" s="50"/>
      <c r="AD862" s="22"/>
      <c r="AW862" s="8"/>
      <c r="AX862" s="108"/>
      <c r="AY862" s="102"/>
      <c r="AZ862" s="109"/>
      <c r="BA862" s="11"/>
      <c r="BB862" s="9" t="s">
        <v>558</v>
      </c>
      <c r="BC862" s="22">
        <v>209</v>
      </c>
      <c r="BD862" s="22"/>
      <c r="CA862" s="18"/>
      <c r="DH862" s="22"/>
      <c r="DI862" s="22"/>
      <c r="DJ862" s="22"/>
      <c r="DK862" s="344"/>
      <c r="DL862" s="361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22"/>
      <c r="EG862" s="22"/>
      <c r="EH862" s="22"/>
      <c r="EI862" s="22"/>
      <c r="EJ862" s="22"/>
      <c r="EK862" s="22"/>
      <c r="EL862" s="22"/>
      <c r="EM862" s="22"/>
      <c r="EN862" s="344"/>
      <c r="EO862" s="344"/>
      <c r="EP862" s="22"/>
      <c r="EQ862" s="22"/>
      <c r="ER862" s="22"/>
      <c r="ES862" s="344"/>
      <c r="ET862" s="349"/>
      <c r="EU862" s="344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T862" s="27"/>
      <c r="FU862" s="27"/>
    </row>
    <row r="863" spans="24:177" s="9" customFormat="1" x14ac:dyDescent="0.2">
      <c r="X863" s="50"/>
      <c r="AD863" s="22"/>
      <c r="AW863" s="8"/>
      <c r="AX863" s="108"/>
      <c r="AY863" s="102"/>
      <c r="AZ863" s="109"/>
      <c r="BA863" s="11"/>
      <c r="BB863" s="9" t="s">
        <v>558</v>
      </c>
      <c r="BC863" s="22">
        <v>210</v>
      </c>
      <c r="BD863" s="22"/>
      <c r="CA863" s="18"/>
      <c r="DH863" s="22"/>
      <c r="DI863" s="22"/>
      <c r="DJ863" s="22"/>
      <c r="DK863" s="344"/>
      <c r="DL863" s="361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22"/>
      <c r="EG863" s="22"/>
      <c r="EH863" s="22"/>
      <c r="EI863" s="22"/>
      <c r="EJ863" s="22"/>
      <c r="EK863" s="22"/>
      <c r="EL863" s="22"/>
      <c r="EM863" s="22"/>
      <c r="EN863" s="344"/>
      <c r="EO863" s="344"/>
      <c r="EP863" s="22"/>
      <c r="EQ863" s="22"/>
      <c r="ER863" s="22"/>
      <c r="ES863" s="344"/>
      <c r="ET863" s="349"/>
      <c r="EU863" s="344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T863" s="27"/>
      <c r="FU863" s="27"/>
    </row>
    <row r="864" spans="24:177" s="9" customFormat="1" x14ac:dyDescent="0.2">
      <c r="X864" s="50"/>
      <c r="AD864" s="22"/>
      <c r="AW864" s="8"/>
      <c r="AX864" s="108"/>
      <c r="AY864" s="102"/>
      <c r="AZ864" s="109"/>
      <c r="BA864" s="11"/>
      <c r="BB864" s="9" t="s">
        <v>558</v>
      </c>
      <c r="BC864" s="22">
        <v>211</v>
      </c>
      <c r="BD864" s="22"/>
      <c r="CA864" s="18"/>
      <c r="DH864" s="22"/>
      <c r="DI864" s="22"/>
      <c r="DJ864" s="22"/>
      <c r="DK864" s="344"/>
      <c r="DL864" s="361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22"/>
      <c r="EG864" s="22"/>
      <c r="EH864" s="22"/>
      <c r="EI864" s="22"/>
      <c r="EJ864" s="22"/>
      <c r="EK864" s="22"/>
      <c r="EL864" s="22"/>
      <c r="EM864" s="22"/>
      <c r="EN864" s="344"/>
      <c r="EO864" s="344"/>
      <c r="EP864" s="22"/>
      <c r="EQ864" s="22"/>
      <c r="ER864" s="22"/>
      <c r="ES864" s="344"/>
      <c r="ET864" s="349"/>
      <c r="EU864" s="344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T864" s="27"/>
      <c r="FU864" s="27"/>
    </row>
    <row r="865" spans="24:177" s="9" customFormat="1" x14ac:dyDescent="0.2">
      <c r="X865" s="50"/>
      <c r="AD865" s="22"/>
      <c r="AW865" s="8"/>
      <c r="AX865" s="108"/>
      <c r="AY865" s="102"/>
      <c r="AZ865" s="109"/>
      <c r="BA865" s="11"/>
      <c r="BB865" s="9" t="s">
        <v>558</v>
      </c>
      <c r="BC865" s="22">
        <v>212</v>
      </c>
      <c r="BD865" s="22"/>
      <c r="CA865" s="18"/>
      <c r="DH865" s="22"/>
      <c r="DI865" s="22"/>
      <c r="DJ865" s="22"/>
      <c r="DK865" s="344"/>
      <c r="DL865" s="361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22"/>
      <c r="EG865" s="22"/>
      <c r="EH865" s="22"/>
      <c r="EI865" s="22"/>
      <c r="EJ865" s="22"/>
      <c r="EK865" s="22"/>
      <c r="EL865" s="22"/>
      <c r="EM865" s="22"/>
      <c r="EN865" s="344"/>
      <c r="EO865" s="344"/>
      <c r="EP865" s="22"/>
      <c r="EQ865" s="22"/>
      <c r="ER865" s="22"/>
      <c r="ES865" s="344"/>
      <c r="ET865" s="349"/>
      <c r="EU865" s="344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T865" s="27"/>
      <c r="FU865" s="27"/>
    </row>
    <row r="866" spans="24:177" s="9" customFormat="1" x14ac:dyDescent="0.2">
      <c r="X866" s="50"/>
      <c r="AD866" s="22"/>
      <c r="AW866" s="8"/>
      <c r="AX866" s="108"/>
      <c r="AY866" s="102"/>
      <c r="AZ866" s="109"/>
      <c r="BA866" s="11"/>
      <c r="BB866" s="9" t="s">
        <v>558</v>
      </c>
      <c r="BC866" s="22">
        <v>213</v>
      </c>
      <c r="BD866" s="22"/>
      <c r="CA866" s="18"/>
      <c r="DH866" s="22"/>
      <c r="DI866" s="22"/>
      <c r="DJ866" s="22"/>
      <c r="DK866" s="344"/>
      <c r="DL866" s="361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22"/>
      <c r="EG866" s="22"/>
      <c r="EH866" s="22"/>
      <c r="EI866" s="22"/>
      <c r="EJ866" s="22"/>
      <c r="EK866" s="22"/>
      <c r="EL866" s="22"/>
      <c r="EM866" s="22"/>
      <c r="EN866" s="344"/>
      <c r="EO866" s="344"/>
      <c r="EP866" s="22"/>
      <c r="EQ866" s="22"/>
      <c r="ER866" s="22"/>
      <c r="ES866" s="344"/>
      <c r="ET866" s="349"/>
      <c r="EU866" s="344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T866" s="27"/>
      <c r="FU866" s="27"/>
    </row>
    <row r="867" spans="24:177" s="9" customFormat="1" x14ac:dyDescent="0.2">
      <c r="X867" s="50"/>
      <c r="AD867" s="22"/>
      <c r="AW867" s="8"/>
      <c r="AX867" s="108"/>
      <c r="AY867" s="102"/>
      <c r="AZ867" s="109"/>
      <c r="BA867" s="11"/>
      <c r="BB867" s="9" t="s">
        <v>558</v>
      </c>
      <c r="BC867" s="22">
        <v>214</v>
      </c>
      <c r="BD867" s="22"/>
      <c r="CA867" s="18"/>
      <c r="DH867" s="22"/>
      <c r="DI867" s="22"/>
      <c r="DJ867" s="22"/>
      <c r="DK867" s="344"/>
      <c r="DL867" s="361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22"/>
      <c r="EG867" s="22"/>
      <c r="EH867" s="22"/>
      <c r="EI867" s="22"/>
      <c r="EJ867" s="22"/>
      <c r="EK867" s="22"/>
      <c r="EL867" s="22"/>
      <c r="EM867" s="22"/>
      <c r="EN867" s="344"/>
      <c r="EO867" s="344"/>
      <c r="EP867" s="22"/>
      <c r="EQ867" s="22"/>
      <c r="ER867" s="22"/>
      <c r="ES867" s="344"/>
      <c r="ET867" s="349"/>
      <c r="EU867" s="344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T867" s="27"/>
      <c r="FU867" s="27"/>
    </row>
    <row r="868" spans="24:177" s="9" customFormat="1" x14ac:dyDescent="0.2">
      <c r="X868" s="50"/>
      <c r="AD868" s="22"/>
      <c r="AW868" s="8"/>
      <c r="AX868" s="108"/>
      <c r="AY868" s="102"/>
      <c r="AZ868" s="109"/>
      <c r="BA868" s="11"/>
      <c r="BB868" s="9" t="s">
        <v>558</v>
      </c>
      <c r="BC868" s="22">
        <v>215</v>
      </c>
      <c r="BD868" s="22"/>
      <c r="CA868" s="18"/>
      <c r="DH868" s="22"/>
      <c r="DI868" s="22"/>
      <c r="DJ868" s="22"/>
      <c r="DK868" s="344"/>
      <c r="DL868" s="361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22"/>
      <c r="EG868" s="22"/>
      <c r="EH868" s="22"/>
      <c r="EI868" s="22"/>
      <c r="EJ868" s="22"/>
      <c r="EK868" s="22"/>
      <c r="EL868" s="22"/>
      <c r="EM868" s="22"/>
      <c r="EN868" s="344"/>
      <c r="EO868" s="344"/>
      <c r="EP868" s="22"/>
      <c r="EQ868" s="22"/>
      <c r="ER868" s="22"/>
      <c r="ES868" s="344"/>
      <c r="ET868" s="349"/>
      <c r="EU868" s="344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T868" s="27"/>
      <c r="FU868" s="27"/>
    </row>
    <row r="869" spans="24:177" s="9" customFormat="1" x14ac:dyDescent="0.2">
      <c r="X869" s="50"/>
      <c r="AD869" s="22"/>
      <c r="AW869" s="8"/>
      <c r="AX869" s="108"/>
      <c r="AY869" s="102"/>
      <c r="AZ869" s="109"/>
      <c r="BA869" s="11"/>
      <c r="BB869" s="9" t="s">
        <v>558</v>
      </c>
      <c r="BC869" s="22">
        <v>216</v>
      </c>
      <c r="BD869" s="22"/>
      <c r="CA869" s="18"/>
      <c r="DH869" s="22"/>
      <c r="DI869" s="22"/>
      <c r="DJ869" s="22"/>
      <c r="DK869" s="344"/>
      <c r="DL869" s="361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22"/>
      <c r="EG869" s="22"/>
      <c r="EH869" s="22"/>
      <c r="EI869" s="22"/>
      <c r="EJ869" s="22"/>
      <c r="EK869" s="22"/>
      <c r="EL869" s="22"/>
      <c r="EM869" s="22"/>
      <c r="EN869" s="344"/>
      <c r="EO869" s="344"/>
      <c r="EP869" s="22"/>
      <c r="EQ869" s="22"/>
      <c r="ER869" s="22"/>
      <c r="ES869" s="344"/>
      <c r="ET869" s="349"/>
      <c r="EU869" s="344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T869" s="27"/>
      <c r="FU869" s="27"/>
    </row>
    <row r="870" spans="24:177" s="9" customFormat="1" x14ac:dyDescent="0.2">
      <c r="X870" s="50"/>
      <c r="AD870" s="22"/>
      <c r="AW870" s="8"/>
      <c r="AX870" s="108"/>
      <c r="AY870" s="102"/>
      <c r="AZ870" s="109"/>
      <c r="BA870" s="11"/>
      <c r="BB870" s="9" t="s">
        <v>558</v>
      </c>
      <c r="BC870" s="22">
        <v>217</v>
      </c>
      <c r="BD870" s="22"/>
      <c r="CA870" s="18"/>
      <c r="DH870" s="22"/>
      <c r="DI870" s="22"/>
      <c r="DJ870" s="22"/>
      <c r="DK870" s="344"/>
      <c r="DL870" s="361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22"/>
      <c r="EG870" s="22"/>
      <c r="EH870" s="22"/>
      <c r="EI870" s="22"/>
      <c r="EJ870" s="22"/>
      <c r="EK870" s="22"/>
      <c r="EL870" s="22"/>
      <c r="EM870" s="22"/>
      <c r="EN870" s="344"/>
      <c r="EO870" s="344"/>
      <c r="EP870" s="22"/>
      <c r="EQ870" s="22"/>
      <c r="ER870" s="22"/>
      <c r="ES870" s="344"/>
      <c r="ET870" s="349"/>
      <c r="EU870" s="344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T870" s="27"/>
      <c r="FU870" s="27"/>
    </row>
    <row r="871" spans="24:177" s="9" customFormat="1" x14ac:dyDescent="0.2">
      <c r="X871" s="50"/>
      <c r="AD871" s="22"/>
      <c r="AW871" s="8"/>
      <c r="AX871" s="108"/>
      <c r="AY871" s="102"/>
      <c r="AZ871" s="109"/>
      <c r="BA871" s="11"/>
      <c r="BB871" s="9" t="s">
        <v>558</v>
      </c>
      <c r="BC871" s="22">
        <v>218</v>
      </c>
      <c r="BD871" s="22"/>
      <c r="CA871" s="18"/>
      <c r="DH871" s="22"/>
      <c r="DI871" s="22"/>
      <c r="DJ871" s="22"/>
      <c r="DK871" s="344"/>
      <c r="DL871" s="361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22"/>
      <c r="EG871" s="22"/>
      <c r="EH871" s="22"/>
      <c r="EI871" s="22"/>
      <c r="EJ871" s="22"/>
      <c r="EK871" s="22"/>
      <c r="EL871" s="22"/>
      <c r="EM871" s="22"/>
      <c r="EN871" s="344"/>
      <c r="EO871" s="344"/>
      <c r="EP871" s="22"/>
      <c r="EQ871" s="22"/>
      <c r="ER871" s="22"/>
      <c r="ES871" s="344"/>
      <c r="ET871" s="349"/>
      <c r="EU871" s="344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T871" s="27"/>
      <c r="FU871" s="27"/>
    </row>
    <row r="872" spans="24:177" s="9" customFormat="1" x14ac:dyDescent="0.2">
      <c r="X872" s="50"/>
      <c r="AD872" s="22"/>
      <c r="AW872" s="8"/>
      <c r="AX872" s="108"/>
      <c r="AY872" s="102"/>
      <c r="AZ872" s="109"/>
      <c r="BA872" s="11"/>
      <c r="BB872" s="9" t="s">
        <v>558</v>
      </c>
      <c r="BC872" s="22">
        <v>219</v>
      </c>
      <c r="BD872" s="22"/>
      <c r="CA872" s="18"/>
      <c r="DH872" s="22"/>
      <c r="DI872" s="22"/>
      <c r="DJ872" s="22"/>
      <c r="DK872" s="344"/>
      <c r="DL872" s="361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22"/>
      <c r="EG872" s="22"/>
      <c r="EH872" s="22"/>
      <c r="EI872" s="22"/>
      <c r="EJ872" s="22"/>
      <c r="EK872" s="22"/>
      <c r="EL872" s="22"/>
      <c r="EM872" s="22"/>
      <c r="EN872" s="344"/>
      <c r="EO872" s="344"/>
      <c r="EP872" s="22"/>
      <c r="EQ872" s="22"/>
      <c r="ER872" s="22"/>
      <c r="ES872" s="344"/>
      <c r="ET872" s="349"/>
      <c r="EU872" s="344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T872" s="27"/>
      <c r="FU872" s="27"/>
    </row>
    <row r="873" spans="24:177" s="9" customFormat="1" x14ac:dyDescent="0.2">
      <c r="X873" s="50"/>
      <c r="AD873" s="22"/>
      <c r="AW873" s="8"/>
      <c r="AX873" s="108"/>
      <c r="AY873" s="102"/>
      <c r="AZ873" s="109"/>
      <c r="BA873" s="11"/>
      <c r="BB873" s="9" t="s">
        <v>558</v>
      </c>
      <c r="BC873" s="22">
        <v>220</v>
      </c>
      <c r="BD873" s="22"/>
      <c r="CA873" s="18"/>
      <c r="DH873" s="22"/>
      <c r="DI873" s="22"/>
      <c r="DJ873" s="22"/>
      <c r="DK873" s="344"/>
      <c r="DL873" s="361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22"/>
      <c r="EG873" s="22"/>
      <c r="EH873" s="22"/>
      <c r="EI873" s="22"/>
      <c r="EJ873" s="22"/>
      <c r="EK873" s="22"/>
      <c r="EL873" s="22"/>
      <c r="EM873" s="22"/>
      <c r="EN873" s="344"/>
      <c r="EO873" s="344"/>
      <c r="EP873" s="22"/>
      <c r="EQ873" s="22"/>
      <c r="ER873" s="22"/>
      <c r="ES873" s="344"/>
      <c r="ET873" s="349"/>
      <c r="EU873" s="344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T873" s="27"/>
      <c r="FU873" s="27"/>
    </row>
    <row r="874" spans="24:177" s="9" customFormat="1" x14ac:dyDescent="0.2">
      <c r="X874" s="50"/>
      <c r="AD874" s="22"/>
      <c r="AW874" s="8"/>
      <c r="AX874" s="108"/>
      <c r="AY874" s="102"/>
      <c r="AZ874" s="109"/>
      <c r="BA874" s="11"/>
      <c r="BB874" s="9" t="s">
        <v>558</v>
      </c>
      <c r="BC874" s="22">
        <v>221</v>
      </c>
      <c r="BD874" s="22"/>
      <c r="CA874" s="18"/>
      <c r="DH874" s="22"/>
      <c r="DI874" s="22"/>
      <c r="DJ874" s="22"/>
      <c r="DK874" s="344"/>
      <c r="DL874" s="361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22"/>
      <c r="EG874" s="22"/>
      <c r="EH874" s="22"/>
      <c r="EI874" s="22"/>
      <c r="EJ874" s="22"/>
      <c r="EK874" s="22"/>
      <c r="EL874" s="22"/>
      <c r="EM874" s="22"/>
      <c r="EN874" s="344"/>
      <c r="EO874" s="344"/>
      <c r="EP874" s="22"/>
      <c r="EQ874" s="22"/>
      <c r="ER874" s="22"/>
      <c r="ES874" s="344"/>
      <c r="ET874" s="349"/>
      <c r="EU874" s="344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T874" s="27"/>
      <c r="FU874" s="27"/>
    </row>
    <row r="875" spans="24:177" s="9" customFormat="1" x14ac:dyDescent="0.2">
      <c r="X875" s="50"/>
      <c r="AD875" s="22"/>
      <c r="AW875" s="8"/>
      <c r="AX875" s="108"/>
      <c r="AY875" s="102"/>
      <c r="AZ875" s="109"/>
      <c r="BA875" s="11"/>
      <c r="BB875" s="9" t="s">
        <v>558</v>
      </c>
      <c r="BC875" s="22">
        <v>222</v>
      </c>
      <c r="BD875" s="22"/>
      <c r="CA875" s="18"/>
      <c r="DH875" s="22"/>
      <c r="DI875" s="22"/>
      <c r="DJ875" s="22"/>
      <c r="DK875" s="344"/>
      <c r="DL875" s="361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22"/>
      <c r="EG875" s="22"/>
      <c r="EH875" s="22"/>
      <c r="EI875" s="22"/>
      <c r="EJ875" s="22"/>
      <c r="EK875" s="22"/>
      <c r="EL875" s="22"/>
      <c r="EM875" s="22"/>
      <c r="EN875" s="344"/>
      <c r="EO875" s="344"/>
      <c r="EP875" s="22"/>
      <c r="EQ875" s="22"/>
      <c r="ER875" s="22"/>
      <c r="ES875" s="344"/>
      <c r="ET875" s="349"/>
      <c r="EU875" s="344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T875" s="27"/>
      <c r="FU875" s="27"/>
    </row>
    <row r="876" spans="24:177" s="9" customFormat="1" x14ac:dyDescent="0.2">
      <c r="X876" s="50"/>
      <c r="AD876" s="22"/>
      <c r="AW876" s="8"/>
      <c r="AX876" s="108"/>
      <c r="AY876" s="102"/>
      <c r="AZ876" s="109"/>
      <c r="BA876" s="11"/>
      <c r="BB876" s="9" t="s">
        <v>558</v>
      </c>
      <c r="BC876" s="22">
        <v>223</v>
      </c>
      <c r="BD876" s="22"/>
      <c r="CA876" s="18"/>
      <c r="DH876" s="22"/>
      <c r="DI876" s="22"/>
      <c r="DJ876" s="22"/>
      <c r="DK876" s="344"/>
      <c r="DL876" s="361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22"/>
      <c r="EG876" s="22"/>
      <c r="EH876" s="22"/>
      <c r="EI876" s="22"/>
      <c r="EJ876" s="22"/>
      <c r="EK876" s="22"/>
      <c r="EL876" s="22"/>
      <c r="EM876" s="22"/>
      <c r="EN876" s="344"/>
      <c r="EO876" s="344"/>
      <c r="EP876" s="22"/>
      <c r="EQ876" s="22"/>
      <c r="ER876" s="22"/>
      <c r="ES876" s="344"/>
      <c r="ET876" s="349"/>
      <c r="EU876" s="344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T876" s="27"/>
      <c r="FU876" s="27"/>
    </row>
    <row r="877" spans="24:177" s="9" customFormat="1" x14ac:dyDescent="0.2">
      <c r="X877" s="50"/>
      <c r="AD877" s="22"/>
      <c r="AW877" s="8"/>
      <c r="AX877" s="108"/>
      <c r="AY877" s="102"/>
      <c r="AZ877" s="109"/>
      <c r="BA877" s="11"/>
      <c r="BB877" s="9" t="s">
        <v>558</v>
      </c>
      <c r="BC877" s="22">
        <v>224</v>
      </c>
      <c r="BD877" s="22"/>
      <c r="CA877" s="18"/>
      <c r="DH877" s="22"/>
      <c r="DI877" s="22"/>
      <c r="DJ877" s="22"/>
      <c r="DK877" s="344"/>
      <c r="DL877" s="361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22"/>
      <c r="EG877" s="22"/>
      <c r="EH877" s="22"/>
      <c r="EI877" s="22"/>
      <c r="EJ877" s="22"/>
      <c r="EK877" s="22"/>
      <c r="EL877" s="22"/>
      <c r="EM877" s="22"/>
      <c r="EN877" s="344"/>
      <c r="EO877" s="344"/>
      <c r="EP877" s="22"/>
      <c r="EQ877" s="22"/>
      <c r="ER877" s="22"/>
      <c r="ES877" s="344"/>
      <c r="ET877" s="349"/>
      <c r="EU877" s="344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T877" s="27"/>
      <c r="FU877" s="27"/>
    </row>
    <row r="878" spans="24:177" s="9" customFormat="1" x14ac:dyDescent="0.2">
      <c r="X878" s="50"/>
      <c r="AD878" s="22"/>
      <c r="AW878" s="8"/>
      <c r="AX878" s="108"/>
      <c r="AY878" s="102"/>
      <c r="AZ878" s="109"/>
      <c r="BA878" s="11"/>
      <c r="BB878" s="9" t="s">
        <v>558</v>
      </c>
      <c r="BC878" s="22">
        <v>225</v>
      </c>
      <c r="BD878" s="22"/>
      <c r="CA878" s="18"/>
      <c r="DH878" s="22"/>
      <c r="DI878" s="22"/>
      <c r="DJ878" s="22"/>
      <c r="DK878" s="344"/>
      <c r="DL878" s="361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22"/>
      <c r="EG878" s="22"/>
      <c r="EH878" s="22"/>
      <c r="EI878" s="22"/>
      <c r="EJ878" s="22"/>
      <c r="EK878" s="22"/>
      <c r="EL878" s="22"/>
      <c r="EM878" s="22"/>
      <c r="EN878" s="344"/>
      <c r="EO878" s="344"/>
      <c r="EP878" s="22"/>
      <c r="EQ878" s="22"/>
      <c r="ER878" s="22"/>
      <c r="ES878" s="344"/>
      <c r="ET878" s="349"/>
      <c r="EU878" s="344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T878" s="27"/>
      <c r="FU878" s="27"/>
    </row>
    <row r="879" spans="24:177" s="9" customFormat="1" x14ac:dyDescent="0.2">
      <c r="X879" s="50"/>
      <c r="AD879" s="22"/>
      <c r="AW879" s="8"/>
      <c r="AX879" s="108"/>
      <c r="AY879" s="102"/>
      <c r="AZ879" s="109"/>
      <c r="BA879" s="11"/>
      <c r="BB879" s="9" t="s">
        <v>558</v>
      </c>
      <c r="BC879" s="22">
        <v>226</v>
      </c>
      <c r="BD879" s="22"/>
      <c r="CA879" s="18"/>
      <c r="DH879" s="22"/>
      <c r="DI879" s="22"/>
      <c r="DJ879" s="22"/>
      <c r="DK879" s="344"/>
      <c r="DL879" s="361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22"/>
      <c r="EG879" s="22"/>
      <c r="EH879" s="22"/>
      <c r="EI879" s="22"/>
      <c r="EJ879" s="22"/>
      <c r="EK879" s="22"/>
      <c r="EL879" s="22"/>
      <c r="EM879" s="22"/>
      <c r="EN879" s="344"/>
      <c r="EO879" s="344"/>
      <c r="EP879" s="22"/>
      <c r="EQ879" s="22"/>
      <c r="ER879" s="22"/>
      <c r="ES879" s="344"/>
      <c r="ET879" s="349"/>
      <c r="EU879" s="344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T879" s="27"/>
      <c r="FU879" s="27"/>
    </row>
    <row r="880" spans="24:177" s="9" customFormat="1" x14ac:dyDescent="0.2">
      <c r="X880" s="50"/>
      <c r="AD880" s="22"/>
      <c r="AW880" s="8"/>
      <c r="AX880" s="108"/>
      <c r="AY880" s="102"/>
      <c r="AZ880" s="109"/>
      <c r="BA880" s="11"/>
      <c r="BB880" s="9" t="s">
        <v>558</v>
      </c>
      <c r="BC880" s="22">
        <v>227</v>
      </c>
      <c r="BD880" s="22"/>
      <c r="CA880" s="18"/>
      <c r="DH880" s="22"/>
      <c r="DI880" s="22"/>
      <c r="DJ880" s="22"/>
      <c r="DK880" s="344"/>
      <c r="DL880" s="361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22"/>
      <c r="EG880" s="22"/>
      <c r="EH880" s="22"/>
      <c r="EI880" s="22"/>
      <c r="EJ880" s="22"/>
      <c r="EK880" s="22"/>
      <c r="EL880" s="22"/>
      <c r="EM880" s="22"/>
      <c r="EN880" s="344"/>
      <c r="EO880" s="344"/>
      <c r="EP880" s="22"/>
      <c r="EQ880" s="22"/>
      <c r="ER880" s="22"/>
      <c r="ES880" s="344"/>
      <c r="ET880" s="349"/>
      <c r="EU880" s="344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T880" s="27"/>
      <c r="FU880" s="27"/>
    </row>
    <row r="881" spans="24:177" s="9" customFormat="1" x14ac:dyDescent="0.2">
      <c r="X881" s="50"/>
      <c r="AD881" s="22"/>
      <c r="AW881" s="8"/>
      <c r="AX881" s="108"/>
      <c r="AY881" s="102"/>
      <c r="AZ881" s="109"/>
      <c r="BA881" s="11"/>
      <c r="BB881" s="9" t="s">
        <v>558</v>
      </c>
      <c r="BC881" s="22">
        <v>228</v>
      </c>
      <c r="BD881" s="22"/>
      <c r="CA881" s="18"/>
      <c r="DH881" s="22"/>
      <c r="DI881" s="22"/>
      <c r="DJ881" s="22"/>
      <c r="DK881" s="344"/>
      <c r="DL881" s="361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22"/>
      <c r="EG881" s="22"/>
      <c r="EH881" s="22"/>
      <c r="EI881" s="22"/>
      <c r="EJ881" s="22"/>
      <c r="EK881" s="22"/>
      <c r="EL881" s="22"/>
      <c r="EM881" s="22"/>
      <c r="EN881" s="344"/>
      <c r="EO881" s="344"/>
      <c r="EP881" s="22"/>
      <c r="EQ881" s="22"/>
      <c r="ER881" s="22"/>
      <c r="ES881" s="344"/>
      <c r="ET881" s="349"/>
      <c r="EU881" s="344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T881" s="27"/>
      <c r="FU881" s="27"/>
    </row>
    <row r="882" spans="24:177" s="9" customFormat="1" x14ac:dyDescent="0.2">
      <c r="X882" s="50"/>
      <c r="AD882" s="22"/>
      <c r="AW882" s="8"/>
      <c r="AX882" s="108"/>
      <c r="AY882" s="102"/>
      <c r="AZ882" s="109"/>
      <c r="BA882" s="11"/>
      <c r="BB882" s="9" t="s">
        <v>558</v>
      </c>
      <c r="BC882" s="22">
        <v>229</v>
      </c>
      <c r="BD882" s="22"/>
      <c r="CA882" s="18"/>
      <c r="DH882" s="22"/>
      <c r="DI882" s="22"/>
      <c r="DJ882" s="22"/>
      <c r="DK882" s="344"/>
      <c r="DL882" s="361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22"/>
      <c r="EG882" s="22"/>
      <c r="EH882" s="22"/>
      <c r="EI882" s="22"/>
      <c r="EJ882" s="22"/>
      <c r="EK882" s="22"/>
      <c r="EL882" s="22"/>
      <c r="EM882" s="22"/>
      <c r="EN882" s="344"/>
      <c r="EO882" s="344"/>
      <c r="EP882" s="22"/>
      <c r="EQ882" s="22"/>
      <c r="ER882" s="22"/>
      <c r="ES882" s="344"/>
      <c r="ET882" s="349"/>
      <c r="EU882" s="344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T882" s="27"/>
      <c r="FU882" s="27"/>
    </row>
    <row r="883" spans="24:177" s="9" customFormat="1" x14ac:dyDescent="0.2">
      <c r="X883" s="50"/>
      <c r="AD883" s="22"/>
      <c r="AW883" s="8"/>
      <c r="AX883" s="108"/>
      <c r="AY883" s="102"/>
      <c r="AZ883" s="109"/>
      <c r="BA883" s="11"/>
      <c r="BB883" s="9" t="s">
        <v>558</v>
      </c>
      <c r="BC883" s="22">
        <v>230</v>
      </c>
      <c r="BD883" s="22"/>
      <c r="CA883" s="18"/>
      <c r="DH883" s="22"/>
      <c r="DI883" s="22"/>
      <c r="DJ883" s="22"/>
      <c r="DK883" s="344"/>
      <c r="DL883" s="361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22"/>
      <c r="EG883" s="22"/>
      <c r="EH883" s="22"/>
      <c r="EI883" s="22"/>
      <c r="EJ883" s="22"/>
      <c r="EK883" s="22"/>
      <c r="EL883" s="22"/>
      <c r="EM883" s="22"/>
      <c r="EN883" s="344"/>
      <c r="EO883" s="344"/>
      <c r="EP883" s="22"/>
      <c r="EQ883" s="22"/>
      <c r="ER883" s="22"/>
      <c r="ES883" s="344"/>
      <c r="ET883" s="349"/>
      <c r="EU883" s="344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T883" s="27"/>
      <c r="FU883" s="27"/>
    </row>
    <row r="884" spans="24:177" s="9" customFormat="1" x14ac:dyDescent="0.2">
      <c r="X884" s="50"/>
      <c r="AD884" s="22"/>
      <c r="AW884" s="8"/>
      <c r="AX884" s="108"/>
      <c r="AY884" s="102"/>
      <c r="AZ884" s="109"/>
      <c r="BA884" s="11"/>
      <c r="BB884" s="9" t="s">
        <v>558</v>
      </c>
      <c r="BC884" s="22">
        <v>231</v>
      </c>
      <c r="BD884" s="22"/>
      <c r="CA884" s="18"/>
      <c r="DH884" s="22"/>
      <c r="DI884" s="22"/>
      <c r="DJ884" s="22"/>
      <c r="DK884" s="344"/>
      <c r="DL884" s="361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22"/>
      <c r="EG884" s="22"/>
      <c r="EH884" s="22"/>
      <c r="EI884" s="22"/>
      <c r="EJ884" s="22"/>
      <c r="EK884" s="22"/>
      <c r="EL884" s="22"/>
      <c r="EM884" s="22"/>
      <c r="EN884" s="344"/>
      <c r="EO884" s="344"/>
      <c r="EP884" s="22"/>
      <c r="EQ884" s="22"/>
      <c r="ER884" s="22"/>
      <c r="ES884" s="344"/>
      <c r="ET884" s="349"/>
      <c r="EU884" s="344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T884" s="27"/>
      <c r="FU884" s="27"/>
    </row>
    <row r="885" spans="24:177" s="9" customFormat="1" x14ac:dyDescent="0.2">
      <c r="X885" s="50"/>
      <c r="AD885" s="22"/>
      <c r="AW885" s="8"/>
      <c r="AX885" s="108"/>
      <c r="AY885" s="102"/>
      <c r="AZ885" s="109"/>
      <c r="BA885" s="11"/>
      <c r="BB885" s="9" t="s">
        <v>558</v>
      </c>
      <c r="BC885" s="22">
        <v>232</v>
      </c>
      <c r="BD885" s="22"/>
      <c r="CA885" s="18"/>
      <c r="DH885" s="22"/>
      <c r="DI885" s="22"/>
      <c r="DJ885" s="22"/>
      <c r="DK885" s="344"/>
      <c r="DL885" s="361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22"/>
      <c r="EG885" s="22"/>
      <c r="EH885" s="22"/>
      <c r="EI885" s="22"/>
      <c r="EJ885" s="22"/>
      <c r="EK885" s="22"/>
      <c r="EL885" s="22"/>
      <c r="EM885" s="22"/>
      <c r="EN885" s="344"/>
      <c r="EO885" s="344"/>
      <c r="EP885" s="22"/>
      <c r="EQ885" s="22"/>
      <c r="ER885" s="22"/>
      <c r="ES885" s="344"/>
      <c r="ET885" s="349"/>
      <c r="EU885" s="344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T885" s="27"/>
      <c r="FU885" s="27"/>
    </row>
    <row r="886" spans="24:177" s="9" customFormat="1" x14ac:dyDescent="0.2">
      <c r="X886" s="50"/>
      <c r="AD886" s="22"/>
      <c r="AW886" s="8"/>
      <c r="AX886" s="108"/>
      <c r="AY886" s="102"/>
      <c r="AZ886" s="109"/>
      <c r="BA886" s="11"/>
      <c r="BB886" s="9" t="s">
        <v>558</v>
      </c>
      <c r="BC886" s="22">
        <v>233</v>
      </c>
      <c r="BD886" s="22"/>
      <c r="CA886" s="18"/>
      <c r="DH886" s="22"/>
      <c r="DI886" s="22"/>
      <c r="DJ886" s="22"/>
      <c r="DK886" s="344"/>
      <c r="DL886" s="361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22"/>
      <c r="EG886" s="22"/>
      <c r="EH886" s="22"/>
      <c r="EI886" s="22"/>
      <c r="EJ886" s="22"/>
      <c r="EK886" s="22"/>
      <c r="EL886" s="22"/>
      <c r="EM886" s="22"/>
      <c r="EN886" s="344"/>
      <c r="EO886" s="344"/>
      <c r="EP886" s="22"/>
      <c r="EQ886" s="22"/>
      <c r="ER886" s="22"/>
      <c r="ES886" s="344"/>
      <c r="ET886" s="349"/>
      <c r="EU886" s="344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T886" s="27"/>
      <c r="FU886" s="27"/>
    </row>
    <row r="887" spans="24:177" s="9" customFormat="1" x14ac:dyDescent="0.2">
      <c r="X887" s="50"/>
      <c r="AD887" s="22"/>
      <c r="AW887" s="8"/>
      <c r="AX887" s="108"/>
      <c r="AY887" s="102"/>
      <c r="AZ887" s="109"/>
      <c r="BA887" s="11"/>
      <c r="BB887" s="9" t="s">
        <v>558</v>
      </c>
      <c r="BC887" s="22">
        <v>234</v>
      </c>
      <c r="BD887" s="22"/>
      <c r="CA887" s="18"/>
      <c r="DH887" s="22"/>
      <c r="DI887" s="22"/>
      <c r="DJ887" s="22"/>
      <c r="DK887" s="344"/>
      <c r="DL887" s="361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22"/>
      <c r="EG887" s="22"/>
      <c r="EH887" s="22"/>
      <c r="EI887" s="22"/>
      <c r="EJ887" s="22"/>
      <c r="EK887" s="22"/>
      <c r="EL887" s="22"/>
      <c r="EM887" s="22"/>
      <c r="EN887" s="344"/>
      <c r="EO887" s="344"/>
      <c r="EP887" s="22"/>
      <c r="EQ887" s="22"/>
      <c r="ER887" s="22"/>
      <c r="ES887" s="344"/>
      <c r="ET887" s="349"/>
      <c r="EU887" s="344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T887" s="27"/>
      <c r="FU887" s="27"/>
    </row>
    <row r="888" spans="24:177" s="9" customFormat="1" x14ac:dyDescent="0.2">
      <c r="X888" s="50"/>
      <c r="AD888" s="22"/>
      <c r="AW888" s="8"/>
      <c r="AX888" s="108"/>
      <c r="AY888" s="102"/>
      <c r="AZ888" s="109"/>
      <c r="BA888" s="11"/>
      <c r="BB888" s="9" t="s">
        <v>558</v>
      </c>
      <c r="BC888" s="22">
        <v>235</v>
      </c>
      <c r="BD888" s="22"/>
      <c r="CA888" s="18"/>
      <c r="DH888" s="22"/>
      <c r="DI888" s="22"/>
      <c r="DJ888" s="22"/>
      <c r="DK888" s="344"/>
      <c r="DL888" s="361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22"/>
      <c r="EG888" s="22"/>
      <c r="EH888" s="22"/>
      <c r="EI888" s="22"/>
      <c r="EJ888" s="22"/>
      <c r="EK888" s="22"/>
      <c r="EL888" s="22"/>
      <c r="EM888" s="22"/>
      <c r="EN888" s="344"/>
      <c r="EO888" s="344"/>
      <c r="EP888" s="22"/>
      <c r="EQ888" s="22"/>
      <c r="ER888" s="22"/>
      <c r="ES888" s="344"/>
      <c r="ET888" s="349"/>
      <c r="EU888" s="344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T888" s="27"/>
      <c r="FU888" s="27"/>
    </row>
    <row r="889" spans="24:177" s="9" customFormat="1" x14ac:dyDescent="0.2">
      <c r="X889" s="50"/>
      <c r="AD889" s="22"/>
      <c r="AW889" s="8"/>
      <c r="AX889" s="108"/>
      <c r="AY889" s="102"/>
      <c r="AZ889" s="109"/>
      <c r="BA889" s="11"/>
      <c r="BB889" s="9" t="s">
        <v>558</v>
      </c>
      <c r="BC889" s="22">
        <v>236</v>
      </c>
      <c r="BD889" s="22"/>
      <c r="CA889" s="18"/>
      <c r="DH889" s="22"/>
      <c r="DI889" s="22"/>
      <c r="DJ889" s="22"/>
      <c r="DK889" s="344"/>
      <c r="DL889" s="361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22"/>
      <c r="EG889" s="22"/>
      <c r="EH889" s="22"/>
      <c r="EI889" s="22"/>
      <c r="EJ889" s="22"/>
      <c r="EK889" s="22"/>
      <c r="EL889" s="22"/>
      <c r="EM889" s="22"/>
      <c r="EN889" s="344"/>
      <c r="EO889" s="344"/>
      <c r="EP889" s="22"/>
      <c r="EQ889" s="22"/>
      <c r="ER889" s="22"/>
      <c r="ES889" s="344"/>
      <c r="ET889" s="349"/>
      <c r="EU889" s="344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T889" s="27"/>
      <c r="FU889" s="27"/>
    </row>
    <row r="890" spans="24:177" s="9" customFormat="1" x14ac:dyDescent="0.2">
      <c r="X890" s="50"/>
      <c r="AD890" s="22"/>
      <c r="AW890" s="8"/>
      <c r="AX890" s="108"/>
      <c r="AY890" s="102"/>
      <c r="AZ890" s="109"/>
      <c r="BA890" s="11"/>
      <c r="BB890" s="9" t="s">
        <v>558</v>
      </c>
      <c r="BC890" s="22">
        <v>237</v>
      </c>
      <c r="BD890" s="22"/>
      <c r="CA890" s="18"/>
      <c r="DH890" s="22"/>
      <c r="DI890" s="22"/>
      <c r="DJ890" s="22"/>
      <c r="DK890" s="344"/>
      <c r="DL890" s="361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22"/>
      <c r="EG890" s="22"/>
      <c r="EH890" s="22"/>
      <c r="EI890" s="22"/>
      <c r="EJ890" s="22"/>
      <c r="EK890" s="22"/>
      <c r="EL890" s="22"/>
      <c r="EM890" s="22"/>
      <c r="EN890" s="344"/>
      <c r="EO890" s="344"/>
      <c r="EP890" s="22"/>
      <c r="EQ890" s="22"/>
      <c r="ER890" s="22"/>
      <c r="ES890" s="344"/>
      <c r="ET890" s="349"/>
      <c r="EU890" s="344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T890" s="27"/>
      <c r="FU890" s="27"/>
    </row>
    <row r="891" spans="24:177" s="9" customFormat="1" x14ac:dyDescent="0.2">
      <c r="X891" s="50"/>
      <c r="AD891" s="22"/>
      <c r="AW891" s="8"/>
      <c r="AX891" s="108"/>
      <c r="AY891" s="102"/>
      <c r="AZ891" s="109"/>
      <c r="BA891" s="11"/>
      <c r="BB891" s="9" t="s">
        <v>558</v>
      </c>
      <c r="BC891" s="22">
        <v>238</v>
      </c>
      <c r="BD891" s="22"/>
      <c r="CA891" s="18"/>
      <c r="DH891" s="22"/>
      <c r="DI891" s="22"/>
      <c r="DJ891" s="22"/>
      <c r="DK891" s="344"/>
      <c r="DL891" s="361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22"/>
      <c r="EG891" s="22"/>
      <c r="EH891" s="22"/>
      <c r="EI891" s="22"/>
      <c r="EJ891" s="22"/>
      <c r="EK891" s="22"/>
      <c r="EL891" s="22"/>
      <c r="EM891" s="22"/>
      <c r="EN891" s="344"/>
      <c r="EO891" s="344"/>
      <c r="EP891" s="22"/>
      <c r="EQ891" s="22"/>
      <c r="ER891" s="22"/>
      <c r="ES891" s="344"/>
      <c r="ET891" s="349"/>
      <c r="EU891" s="344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T891" s="27"/>
      <c r="FU891" s="27"/>
    </row>
    <row r="892" spans="24:177" s="9" customFormat="1" x14ac:dyDescent="0.2">
      <c r="X892" s="50"/>
      <c r="AD892" s="22"/>
      <c r="AW892" s="8"/>
      <c r="AX892" s="108"/>
      <c r="AY892" s="102"/>
      <c r="AZ892" s="109"/>
      <c r="BA892" s="11"/>
      <c r="BB892" s="9" t="s">
        <v>558</v>
      </c>
      <c r="BC892" s="22">
        <v>239</v>
      </c>
      <c r="BD892" s="22"/>
      <c r="CA892" s="18"/>
      <c r="DH892" s="22"/>
      <c r="DI892" s="22"/>
      <c r="DJ892" s="22"/>
      <c r="DK892" s="344"/>
      <c r="DL892" s="361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22"/>
      <c r="EG892" s="22"/>
      <c r="EH892" s="22"/>
      <c r="EI892" s="22"/>
      <c r="EJ892" s="22"/>
      <c r="EK892" s="22"/>
      <c r="EL892" s="22"/>
      <c r="EM892" s="22"/>
      <c r="EN892" s="344"/>
      <c r="EO892" s="344"/>
      <c r="EP892" s="22"/>
      <c r="EQ892" s="22"/>
      <c r="ER892" s="22"/>
      <c r="ES892" s="344"/>
      <c r="ET892" s="349"/>
      <c r="EU892" s="344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T892" s="27"/>
      <c r="FU892" s="27"/>
    </row>
    <row r="893" spans="24:177" s="9" customFormat="1" x14ac:dyDescent="0.2">
      <c r="X893" s="50"/>
      <c r="AD893" s="22"/>
      <c r="AW893" s="8"/>
      <c r="AX893" s="108"/>
      <c r="AY893" s="102"/>
      <c r="AZ893" s="109"/>
      <c r="BA893" s="11"/>
      <c r="BB893" s="9" t="s">
        <v>558</v>
      </c>
      <c r="BC893" s="22">
        <v>240</v>
      </c>
      <c r="BD893" s="22"/>
      <c r="CA893" s="18"/>
      <c r="DH893" s="22"/>
      <c r="DI893" s="22"/>
      <c r="DJ893" s="22"/>
      <c r="DK893" s="344"/>
      <c r="DL893" s="361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22"/>
      <c r="EG893" s="22"/>
      <c r="EH893" s="22"/>
      <c r="EI893" s="22"/>
      <c r="EJ893" s="22"/>
      <c r="EK893" s="22"/>
      <c r="EL893" s="22"/>
      <c r="EM893" s="22"/>
      <c r="EN893" s="344"/>
      <c r="EO893" s="344"/>
      <c r="EP893" s="22"/>
      <c r="EQ893" s="22"/>
      <c r="ER893" s="22"/>
      <c r="ES893" s="344"/>
      <c r="ET893" s="349"/>
      <c r="EU893" s="344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T893" s="27"/>
      <c r="FU893" s="27"/>
    </row>
    <row r="894" spans="24:177" s="9" customFormat="1" x14ac:dyDescent="0.2">
      <c r="X894" s="50"/>
      <c r="AD894" s="22"/>
      <c r="AW894" s="8"/>
      <c r="AX894" s="108"/>
      <c r="AY894" s="102"/>
      <c r="AZ894" s="109"/>
      <c r="BA894" s="11"/>
      <c r="BB894" s="9" t="s">
        <v>558</v>
      </c>
      <c r="BC894" s="22">
        <v>241</v>
      </c>
      <c r="BD894" s="22"/>
      <c r="CA894" s="18"/>
      <c r="DH894" s="22"/>
      <c r="DI894" s="22"/>
      <c r="DJ894" s="22"/>
      <c r="DK894" s="344"/>
      <c r="DL894" s="361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22"/>
      <c r="EG894" s="22"/>
      <c r="EH894" s="22"/>
      <c r="EI894" s="22"/>
      <c r="EJ894" s="22"/>
      <c r="EK894" s="22"/>
      <c r="EL894" s="22"/>
      <c r="EM894" s="22"/>
      <c r="EN894" s="344"/>
      <c r="EO894" s="344"/>
      <c r="EP894" s="22"/>
      <c r="EQ894" s="22"/>
      <c r="ER894" s="22"/>
      <c r="ES894" s="344"/>
      <c r="ET894" s="349"/>
      <c r="EU894" s="344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T894" s="27"/>
      <c r="FU894" s="27"/>
    </row>
    <row r="895" spans="24:177" s="9" customFormat="1" x14ac:dyDescent="0.2">
      <c r="X895" s="50"/>
      <c r="AD895" s="22"/>
      <c r="AW895" s="8"/>
      <c r="AX895" s="108"/>
      <c r="AY895" s="102"/>
      <c r="AZ895" s="109"/>
      <c r="BA895" s="11"/>
      <c r="BB895" s="9" t="s">
        <v>558</v>
      </c>
      <c r="BC895" s="22">
        <v>242</v>
      </c>
      <c r="BD895" s="22"/>
      <c r="CA895" s="18"/>
      <c r="DH895" s="22"/>
      <c r="DI895" s="22"/>
      <c r="DJ895" s="22"/>
      <c r="DK895" s="344"/>
      <c r="DL895" s="361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22"/>
      <c r="EG895" s="22"/>
      <c r="EH895" s="22"/>
      <c r="EI895" s="22"/>
      <c r="EJ895" s="22"/>
      <c r="EK895" s="22"/>
      <c r="EL895" s="22"/>
      <c r="EM895" s="22"/>
      <c r="EN895" s="344"/>
      <c r="EO895" s="344"/>
      <c r="EP895" s="22"/>
      <c r="EQ895" s="22"/>
      <c r="ER895" s="22"/>
      <c r="ES895" s="344"/>
      <c r="ET895" s="349"/>
      <c r="EU895" s="344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T895" s="27"/>
      <c r="FU895" s="27"/>
    </row>
    <row r="896" spans="24:177" s="9" customFormat="1" x14ac:dyDescent="0.2">
      <c r="X896" s="50"/>
      <c r="AD896" s="22"/>
      <c r="AW896" s="8"/>
      <c r="AX896" s="108"/>
      <c r="AY896" s="102"/>
      <c r="AZ896" s="109"/>
      <c r="BA896" s="11"/>
      <c r="BB896" s="9" t="s">
        <v>558</v>
      </c>
      <c r="BC896" s="22">
        <v>243</v>
      </c>
      <c r="BD896" s="22"/>
      <c r="CA896" s="18"/>
      <c r="DH896" s="22"/>
      <c r="DI896" s="22"/>
      <c r="DJ896" s="22"/>
      <c r="DK896" s="344"/>
      <c r="DL896" s="361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22"/>
      <c r="EG896" s="22"/>
      <c r="EH896" s="22"/>
      <c r="EI896" s="22"/>
      <c r="EJ896" s="22"/>
      <c r="EK896" s="22"/>
      <c r="EL896" s="22"/>
      <c r="EM896" s="22"/>
      <c r="EN896" s="344"/>
      <c r="EO896" s="344"/>
      <c r="EP896" s="22"/>
      <c r="EQ896" s="22"/>
      <c r="ER896" s="22"/>
      <c r="ES896" s="344"/>
      <c r="ET896" s="349"/>
      <c r="EU896" s="344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T896" s="27"/>
      <c r="FU896" s="27"/>
    </row>
    <row r="897" spans="24:177" s="9" customFormat="1" x14ac:dyDescent="0.2">
      <c r="X897" s="50"/>
      <c r="AD897" s="22"/>
      <c r="AW897" s="8"/>
      <c r="AX897" s="108"/>
      <c r="AY897" s="102"/>
      <c r="AZ897" s="109"/>
      <c r="BA897" s="11"/>
      <c r="BB897" s="9" t="s">
        <v>558</v>
      </c>
      <c r="BC897" s="22">
        <v>244</v>
      </c>
      <c r="BD897" s="22"/>
      <c r="CA897" s="18"/>
      <c r="DH897" s="22"/>
      <c r="DI897" s="22"/>
      <c r="DJ897" s="22"/>
      <c r="DK897" s="344"/>
      <c r="DL897" s="361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22"/>
      <c r="EG897" s="22"/>
      <c r="EH897" s="22"/>
      <c r="EI897" s="22"/>
      <c r="EJ897" s="22"/>
      <c r="EK897" s="22"/>
      <c r="EL897" s="22"/>
      <c r="EM897" s="22"/>
      <c r="EN897" s="344"/>
      <c r="EO897" s="344"/>
      <c r="EP897" s="22"/>
      <c r="EQ897" s="22"/>
      <c r="ER897" s="22"/>
      <c r="ES897" s="344"/>
      <c r="ET897" s="349"/>
      <c r="EU897" s="344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T897" s="27"/>
      <c r="FU897" s="27"/>
    </row>
    <row r="898" spans="24:177" s="9" customFormat="1" x14ac:dyDescent="0.2">
      <c r="X898" s="50"/>
      <c r="AD898" s="22"/>
      <c r="AW898" s="8"/>
      <c r="AX898" s="108"/>
      <c r="AY898" s="102"/>
      <c r="AZ898" s="109"/>
      <c r="BA898" s="11"/>
      <c r="BB898" s="9" t="s">
        <v>558</v>
      </c>
      <c r="BC898" s="22">
        <v>245</v>
      </c>
      <c r="BD898" s="22"/>
      <c r="CA898" s="18"/>
      <c r="DH898" s="22"/>
      <c r="DI898" s="22"/>
      <c r="DJ898" s="22"/>
      <c r="DK898" s="344"/>
      <c r="DL898" s="361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22"/>
      <c r="EG898" s="22"/>
      <c r="EH898" s="22"/>
      <c r="EI898" s="22"/>
      <c r="EJ898" s="22"/>
      <c r="EK898" s="22"/>
      <c r="EL898" s="22"/>
      <c r="EM898" s="22"/>
      <c r="EN898" s="344"/>
      <c r="EO898" s="344"/>
      <c r="EP898" s="22"/>
      <c r="EQ898" s="22"/>
      <c r="ER898" s="22"/>
      <c r="ES898" s="344"/>
      <c r="ET898" s="349"/>
      <c r="EU898" s="344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T898" s="27"/>
      <c r="FU898" s="27"/>
    </row>
    <row r="899" spans="24:177" s="9" customFormat="1" x14ac:dyDescent="0.2">
      <c r="X899" s="50"/>
      <c r="AD899" s="22"/>
      <c r="AW899" s="8"/>
      <c r="AX899" s="108"/>
      <c r="AY899" s="102"/>
      <c r="AZ899" s="109"/>
      <c r="BA899" s="11"/>
      <c r="BB899" s="9" t="s">
        <v>558</v>
      </c>
      <c r="BC899" s="22">
        <v>246</v>
      </c>
      <c r="BD899" s="22"/>
      <c r="CA899" s="18"/>
      <c r="DH899" s="22"/>
      <c r="DI899" s="22"/>
      <c r="DJ899" s="22"/>
      <c r="DK899" s="344"/>
      <c r="DL899" s="361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22"/>
      <c r="EG899" s="22"/>
      <c r="EH899" s="22"/>
      <c r="EI899" s="22"/>
      <c r="EJ899" s="22"/>
      <c r="EK899" s="22"/>
      <c r="EL899" s="22"/>
      <c r="EM899" s="22"/>
      <c r="EN899" s="344"/>
      <c r="EO899" s="344"/>
      <c r="EP899" s="22"/>
      <c r="EQ899" s="22"/>
      <c r="ER899" s="22"/>
      <c r="ES899" s="344"/>
      <c r="ET899" s="349"/>
      <c r="EU899" s="344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T899" s="27"/>
      <c r="FU899" s="27"/>
    </row>
    <row r="900" spans="24:177" s="9" customFormat="1" x14ac:dyDescent="0.2">
      <c r="X900" s="50"/>
      <c r="AD900" s="22"/>
      <c r="AW900" s="8"/>
      <c r="AX900" s="108"/>
      <c r="AY900" s="102"/>
      <c r="AZ900" s="109"/>
      <c r="BA900" s="11"/>
      <c r="BB900" s="9" t="s">
        <v>558</v>
      </c>
      <c r="BC900" s="22">
        <v>247</v>
      </c>
      <c r="BD900" s="22"/>
      <c r="CA900" s="18"/>
      <c r="DH900" s="22"/>
      <c r="DI900" s="22"/>
      <c r="DJ900" s="22"/>
      <c r="DK900" s="344"/>
      <c r="DL900" s="361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22"/>
      <c r="EG900" s="22"/>
      <c r="EH900" s="22"/>
      <c r="EI900" s="22"/>
      <c r="EJ900" s="22"/>
      <c r="EK900" s="22"/>
      <c r="EL900" s="22"/>
      <c r="EM900" s="22"/>
      <c r="EN900" s="344"/>
      <c r="EO900" s="344"/>
      <c r="EP900" s="22"/>
      <c r="EQ900" s="22"/>
      <c r="ER900" s="22"/>
      <c r="ES900" s="344"/>
      <c r="ET900" s="349"/>
      <c r="EU900" s="344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T900" s="27"/>
      <c r="FU900" s="27"/>
    </row>
    <row r="901" spans="24:177" s="9" customFormat="1" x14ac:dyDescent="0.2">
      <c r="X901" s="50"/>
      <c r="AD901" s="22"/>
      <c r="AW901" s="8"/>
      <c r="AX901" s="108"/>
      <c r="AY901" s="102"/>
      <c r="AZ901" s="109"/>
      <c r="BA901" s="11"/>
      <c r="BB901" s="9" t="s">
        <v>558</v>
      </c>
      <c r="BC901" s="22">
        <v>248</v>
      </c>
      <c r="BD901" s="22"/>
      <c r="CA901" s="18"/>
      <c r="DH901" s="22"/>
      <c r="DI901" s="22"/>
      <c r="DJ901" s="22"/>
      <c r="DK901" s="344"/>
      <c r="DL901" s="361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22"/>
      <c r="EG901" s="22"/>
      <c r="EH901" s="22"/>
      <c r="EI901" s="22"/>
      <c r="EJ901" s="22"/>
      <c r="EK901" s="22"/>
      <c r="EL901" s="22"/>
      <c r="EM901" s="22"/>
      <c r="EN901" s="344"/>
      <c r="EO901" s="344"/>
      <c r="EP901" s="22"/>
      <c r="EQ901" s="22"/>
      <c r="ER901" s="22"/>
      <c r="ES901" s="344"/>
      <c r="ET901" s="349"/>
      <c r="EU901" s="344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T901" s="27"/>
      <c r="FU901" s="27"/>
    </row>
    <row r="902" spans="24:177" s="9" customFormat="1" x14ac:dyDescent="0.2">
      <c r="X902" s="50"/>
      <c r="AD902" s="22"/>
      <c r="AW902" s="8"/>
      <c r="AX902" s="108"/>
      <c r="AY902" s="102"/>
      <c r="AZ902" s="109"/>
      <c r="BA902" s="11"/>
      <c r="BB902" s="9" t="s">
        <v>558</v>
      </c>
      <c r="BC902" s="22">
        <v>249</v>
      </c>
      <c r="BD902" s="22"/>
      <c r="CA902" s="18"/>
      <c r="DH902" s="22"/>
      <c r="DI902" s="22"/>
      <c r="DJ902" s="22"/>
      <c r="DK902" s="344"/>
      <c r="DL902" s="361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22"/>
      <c r="EG902" s="22"/>
      <c r="EH902" s="22"/>
      <c r="EI902" s="22"/>
      <c r="EJ902" s="22"/>
      <c r="EK902" s="22"/>
      <c r="EL902" s="22"/>
      <c r="EM902" s="22"/>
      <c r="EN902" s="344"/>
      <c r="EO902" s="344"/>
      <c r="EP902" s="22"/>
      <c r="EQ902" s="22"/>
      <c r="ER902" s="22"/>
      <c r="ES902" s="344"/>
      <c r="ET902" s="349"/>
      <c r="EU902" s="344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T902" s="27"/>
      <c r="FU902" s="27"/>
    </row>
    <row r="903" spans="24:177" s="9" customFormat="1" x14ac:dyDescent="0.2">
      <c r="X903" s="50"/>
      <c r="AD903" s="22"/>
      <c r="AW903" s="8"/>
      <c r="AX903" s="108"/>
      <c r="AY903" s="102"/>
      <c r="AZ903" s="109"/>
      <c r="BA903" s="11"/>
      <c r="BB903" s="9" t="s">
        <v>558</v>
      </c>
      <c r="BC903" s="22">
        <v>250</v>
      </c>
      <c r="BD903" s="22"/>
      <c r="CA903" s="18"/>
      <c r="DH903" s="22"/>
      <c r="DI903" s="22"/>
      <c r="DJ903" s="22"/>
      <c r="DK903" s="344"/>
      <c r="DL903" s="361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22"/>
      <c r="EG903" s="22"/>
      <c r="EH903" s="22"/>
      <c r="EI903" s="22"/>
      <c r="EJ903" s="22"/>
      <c r="EK903" s="22"/>
      <c r="EL903" s="22"/>
      <c r="EM903" s="22"/>
      <c r="EN903" s="344"/>
      <c r="EO903" s="344"/>
      <c r="EP903" s="22"/>
      <c r="EQ903" s="22"/>
      <c r="ER903" s="22"/>
      <c r="ES903" s="344"/>
      <c r="ET903" s="349"/>
      <c r="EU903" s="344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T903" s="27"/>
      <c r="FU903" s="27"/>
    </row>
    <row r="904" spans="24:177" s="9" customFormat="1" x14ac:dyDescent="0.2">
      <c r="X904" s="50"/>
      <c r="AD904" s="22"/>
      <c r="AW904" s="8"/>
      <c r="AX904" s="108"/>
      <c r="AY904" s="102"/>
      <c r="AZ904" s="109"/>
      <c r="BA904" s="11"/>
      <c r="BB904" s="9" t="s">
        <v>559</v>
      </c>
      <c r="BC904" s="22">
        <v>160</v>
      </c>
      <c r="BD904" s="22"/>
      <c r="CA904" s="18"/>
      <c r="DH904" s="22"/>
      <c r="DI904" s="22"/>
      <c r="DJ904" s="22"/>
      <c r="DK904" s="344"/>
      <c r="DL904" s="361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22"/>
      <c r="EG904" s="22"/>
      <c r="EH904" s="22"/>
      <c r="EI904" s="22"/>
      <c r="EJ904" s="22"/>
      <c r="EK904" s="22"/>
      <c r="EL904" s="22"/>
      <c r="EM904" s="22"/>
      <c r="EN904" s="344"/>
      <c r="EO904" s="344"/>
      <c r="EP904" s="22"/>
      <c r="EQ904" s="22"/>
      <c r="ER904" s="22"/>
      <c r="ES904" s="344"/>
      <c r="ET904" s="349"/>
      <c r="EU904" s="344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T904" s="27"/>
      <c r="FU904" s="27"/>
    </row>
    <row r="905" spans="24:177" s="9" customFormat="1" x14ac:dyDescent="0.2">
      <c r="X905" s="50"/>
      <c r="AD905" s="22"/>
      <c r="AW905" s="8"/>
      <c r="AX905" s="108"/>
      <c r="AY905" s="102"/>
      <c r="AZ905" s="109"/>
      <c r="BA905" s="11"/>
      <c r="BB905" s="9" t="s">
        <v>559</v>
      </c>
      <c r="BC905" s="22">
        <v>161</v>
      </c>
      <c r="BD905" s="22"/>
      <c r="CA905" s="18"/>
      <c r="DH905" s="22"/>
      <c r="DI905" s="22"/>
      <c r="DJ905" s="22"/>
      <c r="DK905" s="344"/>
      <c r="DL905" s="361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22"/>
      <c r="EG905" s="22"/>
      <c r="EH905" s="22"/>
      <c r="EI905" s="22"/>
      <c r="EJ905" s="22"/>
      <c r="EK905" s="22"/>
      <c r="EL905" s="22"/>
      <c r="EM905" s="22"/>
      <c r="EN905" s="344"/>
      <c r="EO905" s="344"/>
      <c r="EP905" s="22"/>
      <c r="EQ905" s="22"/>
      <c r="ER905" s="22"/>
      <c r="ES905" s="344"/>
      <c r="ET905" s="349"/>
      <c r="EU905" s="344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T905" s="27"/>
      <c r="FU905" s="27"/>
    </row>
    <row r="906" spans="24:177" s="9" customFormat="1" x14ac:dyDescent="0.2">
      <c r="X906" s="50"/>
      <c r="AD906" s="22"/>
      <c r="AW906" s="8"/>
      <c r="AX906" s="108"/>
      <c r="AY906" s="102"/>
      <c r="AZ906" s="109"/>
      <c r="BA906" s="11"/>
      <c r="BB906" s="9" t="s">
        <v>559</v>
      </c>
      <c r="BC906" s="22">
        <v>162</v>
      </c>
      <c r="BD906" s="22"/>
      <c r="CA906" s="18"/>
      <c r="DH906" s="22"/>
      <c r="DI906" s="22"/>
      <c r="DJ906" s="22"/>
      <c r="DK906" s="344"/>
      <c r="DL906" s="361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22"/>
      <c r="EG906" s="22"/>
      <c r="EH906" s="22"/>
      <c r="EI906" s="22"/>
      <c r="EJ906" s="22"/>
      <c r="EK906" s="22"/>
      <c r="EL906" s="22"/>
      <c r="EM906" s="22"/>
      <c r="EN906" s="344"/>
      <c r="EO906" s="344"/>
      <c r="EP906" s="22"/>
      <c r="EQ906" s="22"/>
      <c r="ER906" s="22"/>
      <c r="ES906" s="344"/>
      <c r="ET906" s="349"/>
      <c r="EU906" s="344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T906" s="27"/>
      <c r="FU906" s="27"/>
    </row>
    <row r="907" spans="24:177" s="9" customFormat="1" x14ac:dyDescent="0.2">
      <c r="X907" s="50"/>
      <c r="AD907" s="22"/>
      <c r="AW907" s="8"/>
      <c r="AX907" s="108"/>
      <c r="AY907" s="102"/>
      <c r="AZ907" s="109"/>
      <c r="BA907" s="11"/>
      <c r="BB907" s="9" t="s">
        <v>559</v>
      </c>
      <c r="BC907" s="22">
        <v>163</v>
      </c>
      <c r="BD907" s="22"/>
      <c r="CA907" s="18"/>
      <c r="DH907" s="22"/>
      <c r="DI907" s="22"/>
      <c r="DJ907" s="22"/>
      <c r="DK907" s="344"/>
      <c r="DL907" s="361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22"/>
      <c r="EG907" s="22"/>
      <c r="EH907" s="22"/>
      <c r="EI907" s="22"/>
      <c r="EJ907" s="22"/>
      <c r="EK907" s="22"/>
      <c r="EL907" s="22"/>
      <c r="EM907" s="22"/>
      <c r="EN907" s="344"/>
      <c r="EO907" s="344"/>
      <c r="EP907" s="22"/>
      <c r="EQ907" s="22"/>
      <c r="ER907" s="22"/>
      <c r="ES907" s="344"/>
      <c r="ET907" s="349"/>
      <c r="EU907" s="344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T907" s="27"/>
      <c r="FU907" s="27"/>
    </row>
    <row r="908" spans="24:177" s="9" customFormat="1" x14ac:dyDescent="0.2">
      <c r="X908" s="50"/>
      <c r="AD908" s="22"/>
      <c r="AW908" s="8"/>
      <c r="AX908" s="108"/>
      <c r="AY908" s="102"/>
      <c r="AZ908" s="109"/>
      <c r="BA908" s="11"/>
      <c r="BB908" s="9" t="s">
        <v>559</v>
      </c>
      <c r="BC908" s="22">
        <v>164</v>
      </c>
      <c r="BD908" s="22"/>
      <c r="CA908" s="18"/>
      <c r="DH908" s="22"/>
      <c r="DI908" s="22"/>
      <c r="DJ908" s="22"/>
      <c r="DK908" s="344"/>
      <c r="DL908" s="361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22"/>
      <c r="EG908" s="22"/>
      <c r="EH908" s="22"/>
      <c r="EI908" s="22"/>
      <c r="EJ908" s="22"/>
      <c r="EK908" s="22"/>
      <c r="EL908" s="22"/>
      <c r="EM908" s="22"/>
      <c r="EN908" s="344"/>
      <c r="EO908" s="344"/>
      <c r="EP908" s="22"/>
      <c r="EQ908" s="22"/>
      <c r="ER908" s="22"/>
      <c r="ES908" s="344"/>
      <c r="ET908" s="349"/>
      <c r="EU908" s="344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T908" s="27"/>
      <c r="FU908" s="27"/>
    </row>
    <row r="909" spans="24:177" s="9" customFormat="1" x14ac:dyDescent="0.2">
      <c r="X909" s="50"/>
      <c r="AD909" s="22"/>
      <c r="AW909" s="8"/>
      <c r="AX909" s="108"/>
      <c r="AY909" s="102"/>
      <c r="AZ909" s="109"/>
      <c r="BA909" s="11"/>
      <c r="BB909" s="9" t="s">
        <v>559</v>
      </c>
      <c r="BC909" s="22">
        <v>165</v>
      </c>
      <c r="BD909" s="22"/>
      <c r="CA909" s="18"/>
      <c r="DH909" s="22"/>
      <c r="DI909" s="22"/>
      <c r="DJ909" s="22"/>
      <c r="DK909" s="344"/>
      <c r="DL909" s="361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22"/>
      <c r="EG909" s="22"/>
      <c r="EH909" s="22"/>
      <c r="EI909" s="22"/>
      <c r="EJ909" s="22"/>
      <c r="EK909" s="22"/>
      <c r="EL909" s="22"/>
      <c r="EM909" s="22"/>
      <c r="EN909" s="344"/>
      <c r="EO909" s="344"/>
      <c r="EP909" s="22"/>
      <c r="EQ909" s="22"/>
      <c r="ER909" s="22"/>
      <c r="ES909" s="344"/>
      <c r="ET909" s="349"/>
      <c r="EU909" s="344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T909" s="27"/>
      <c r="FU909" s="27"/>
    </row>
    <row r="910" spans="24:177" s="9" customFormat="1" x14ac:dyDescent="0.2">
      <c r="X910" s="50"/>
      <c r="AD910" s="22"/>
      <c r="AW910" s="8"/>
      <c r="AX910" s="108"/>
      <c r="AY910" s="102"/>
      <c r="AZ910" s="109"/>
      <c r="BA910" s="11"/>
      <c r="BB910" s="9" t="s">
        <v>559</v>
      </c>
      <c r="BC910" s="22">
        <v>166</v>
      </c>
      <c r="BD910" s="22"/>
      <c r="CA910" s="18"/>
      <c r="DH910" s="22"/>
      <c r="DI910" s="22"/>
      <c r="DJ910" s="22"/>
      <c r="DK910" s="344"/>
      <c r="DL910" s="361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22"/>
      <c r="EG910" s="22"/>
      <c r="EH910" s="22"/>
      <c r="EI910" s="22"/>
      <c r="EJ910" s="22"/>
      <c r="EK910" s="22"/>
      <c r="EL910" s="22"/>
      <c r="EM910" s="22"/>
      <c r="EN910" s="344"/>
      <c r="EO910" s="344"/>
      <c r="EP910" s="22"/>
      <c r="EQ910" s="22"/>
      <c r="ER910" s="22"/>
      <c r="ES910" s="344"/>
      <c r="ET910" s="349"/>
      <c r="EU910" s="344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T910" s="27"/>
      <c r="FU910" s="27"/>
    </row>
    <row r="911" spans="24:177" s="9" customFormat="1" x14ac:dyDescent="0.2">
      <c r="X911" s="50"/>
      <c r="AD911" s="22"/>
      <c r="AW911" s="8"/>
      <c r="AX911" s="108"/>
      <c r="AY911" s="102"/>
      <c r="AZ911" s="109"/>
      <c r="BA911" s="11"/>
      <c r="BB911" s="9" t="s">
        <v>559</v>
      </c>
      <c r="BC911" s="22">
        <v>167</v>
      </c>
      <c r="BD911" s="22"/>
      <c r="CA911" s="18"/>
      <c r="DH911" s="22"/>
      <c r="DI911" s="22"/>
      <c r="DJ911" s="22"/>
      <c r="DK911" s="344"/>
      <c r="DL911" s="361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22"/>
      <c r="EG911" s="22"/>
      <c r="EH911" s="22"/>
      <c r="EI911" s="22"/>
      <c r="EJ911" s="22"/>
      <c r="EK911" s="22"/>
      <c r="EL911" s="22"/>
      <c r="EM911" s="22"/>
      <c r="EN911" s="344"/>
      <c r="EO911" s="344"/>
      <c r="EP911" s="22"/>
      <c r="EQ911" s="22"/>
      <c r="ER911" s="22"/>
      <c r="ES911" s="344"/>
      <c r="ET911" s="349"/>
      <c r="EU911" s="344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T911" s="27"/>
      <c r="FU911" s="27"/>
    </row>
    <row r="912" spans="24:177" s="9" customFormat="1" x14ac:dyDescent="0.2">
      <c r="X912" s="50"/>
      <c r="AD912" s="22"/>
      <c r="AW912" s="8"/>
      <c r="AX912" s="108"/>
      <c r="AY912" s="102"/>
      <c r="AZ912" s="109"/>
      <c r="BA912" s="11"/>
      <c r="BB912" s="9" t="s">
        <v>559</v>
      </c>
      <c r="BC912" s="22">
        <v>168</v>
      </c>
      <c r="BD912" s="22"/>
      <c r="CA912" s="18"/>
      <c r="DH912" s="22"/>
      <c r="DI912" s="22"/>
      <c r="DJ912" s="22"/>
      <c r="DK912" s="344"/>
      <c r="DL912" s="361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22"/>
      <c r="EG912" s="22"/>
      <c r="EH912" s="22"/>
      <c r="EI912" s="22"/>
      <c r="EJ912" s="22"/>
      <c r="EK912" s="22"/>
      <c r="EL912" s="22"/>
      <c r="EM912" s="22"/>
      <c r="EN912" s="344"/>
      <c r="EO912" s="344"/>
      <c r="EP912" s="22"/>
      <c r="EQ912" s="22"/>
      <c r="ER912" s="22"/>
      <c r="ES912" s="344"/>
      <c r="ET912" s="349"/>
      <c r="EU912" s="344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T912" s="27"/>
      <c r="FU912" s="27"/>
    </row>
    <row r="913" spans="24:177" s="9" customFormat="1" x14ac:dyDescent="0.2">
      <c r="X913" s="50"/>
      <c r="AD913" s="22"/>
      <c r="AW913" s="8"/>
      <c r="AX913" s="108"/>
      <c r="AY913" s="102"/>
      <c r="AZ913" s="109"/>
      <c r="BA913" s="11"/>
      <c r="BB913" s="9" t="s">
        <v>559</v>
      </c>
      <c r="BC913" s="22">
        <v>169</v>
      </c>
      <c r="BD913" s="22"/>
      <c r="CA913" s="18"/>
      <c r="DH913" s="22"/>
      <c r="DI913" s="22"/>
      <c r="DJ913" s="22"/>
      <c r="DK913" s="344"/>
      <c r="DL913" s="361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22"/>
      <c r="EG913" s="22"/>
      <c r="EH913" s="22"/>
      <c r="EI913" s="22"/>
      <c r="EJ913" s="22"/>
      <c r="EK913" s="22"/>
      <c r="EL913" s="22"/>
      <c r="EM913" s="22"/>
      <c r="EN913" s="344"/>
      <c r="EO913" s="344"/>
      <c r="EP913" s="22"/>
      <c r="EQ913" s="22"/>
      <c r="ER913" s="22"/>
      <c r="ES913" s="344"/>
      <c r="ET913" s="349"/>
      <c r="EU913" s="344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T913" s="27"/>
      <c r="FU913" s="27"/>
    </row>
    <row r="914" spans="24:177" s="9" customFormat="1" x14ac:dyDescent="0.2">
      <c r="X914" s="50"/>
      <c r="AD914" s="22"/>
      <c r="AW914" s="8"/>
      <c r="AX914" s="108"/>
      <c r="AY914" s="102"/>
      <c r="AZ914" s="109"/>
      <c r="BA914" s="11"/>
      <c r="BB914" s="9" t="s">
        <v>559</v>
      </c>
      <c r="BC914" s="22">
        <v>170</v>
      </c>
      <c r="BD914" s="22"/>
      <c r="CA914" s="18"/>
      <c r="DH914" s="22"/>
      <c r="DI914" s="22"/>
      <c r="DJ914" s="22"/>
      <c r="DK914" s="344"/>
      <c r="DL914" s="361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22"/>
      <c r="EG914" s="22"/>
      <c r="EH914" s="22"/>
      <c r="EI914" s="22"/>
      <c r="EJ914" s="22"/>
      <c r="EK914" s="22"/>
      <c r="EL914" s="22"/>
      <c r="EM914" s="22"/>
      <c r="EN914" s="344"/>
      <c r="EO914" s="344"/>
      <c r="EP914" s="22"/>
      <c r="EQ914" s="22"/>
      <c r="ER914" s="22"/>
      <c r="ES914" s="344"/>
      <c r="ET914" s="349"/>
      <c r="EU914" s="344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T914" s="27"/>
      <c r="FU914" s="27"/>
    </row>
    <row r="915" spans="24:177" s="9" customFormat="1" x14ac:dyDescent="0.2">
      <c r="X915" s="50"/>
      <c r="AD915" s="22"/>
      <c r="AW915" s="8"/>
      <c r="AX915" s="108"/>
      <c r="AY915" s="102"/>
      <c r="AZ915" s="109"/>
      <c r="BA915" s="11"/>
      <c r="BB915" s="9" t="s">
        <v>559</v>
      </c>
      <c r="BC915" s="22">
        <v>171</v>
      </c>
      <c r="BD915" s="22"/>
      <c r="CA915" s="18"/>
      <c r="DH915" s="22"/>
      <c r="DI915" s="22"/>
      <c r="DJ915" s="22"/>
      <c r="DK915" s="344"/>
      <c r="DL915" s="361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22"/>
      <c r="EG915" s="22"/>
      <c r="EH915" s="22"/>
      <c r="EI915" s="22"/>
      <c r="EJ915" s="22"/>
      <c r="EK915" s="22"/>
      <c r="EL915" s="22"/>
      <c r="EM915" s="22"/>
      <c r="EN915" s="344"/>
      <c r="EO915" s="344"/>
      <c r="EP915" s="22"/>
      <c r="EQ915" s="22"/>
      <c r="ER915" s="22"/>
      <c r="ES915" s="344"/>
      <c r="ET915" s="349"/>
      <c r="EU915" s="344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T915" s="27"/>
      <c r="FU915" s="27"/>
    </row>
    <row r="916" spans="24:177" s="9" customFormat="1" x14ac:dyDescent="0.2">
      <c r="X916" s="50"/>
      <c r="AD916" s="22"/>
      <c r="AW916" s="8"/>
      <c r="AX916" s="108"/>
      <c r="AY916" s="102"/>
      <c r="AZ916" s="109"/>
      <c r="BA916" s="11"/>
      <c r="BB916" s="9" t="s">
        <v>559</v>
      </c>
      <c r="BC916" s="22">
        <v>172</v>
      </c>
      <c r="BD916" s="22"/>
      <c r="CA916" s="18"/>
      <c r="DH916" s="22"/>
      <c r="DI916" s="22"/>
      <c r="DJ916" s="22"/>
      <c r="DK916" s="344"/>
      <c r="DL916" s="361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22"/>
      <c r="EG916" s="22"/>
      <c r="EH916" s="22"/>
      <c r="EI916" s="22"/>
      <c r="EJ916" s="22"/>
      <c r="EK916" s="22"/>
      <c r="EL916" s="22"/>
      <c r="EM916" s="22"/>
      <c r="EN916" s="344"/>
      <c r="EO916" s="344"/>
      <c r="EP916" s="22"/>
      <c r="EQ916" s="22"/>
      <c r="ER916" s="22"/>
      <c r="ES916" s="344"/>
      <c r="ET916" s="349"/>
      <c r="EU916" s="344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T916" s="27"/>
      <c r="FU916" s="27"/>
    </row>
    <row r="917" spans="24:177" s="9" customFormat="1" x14ac:dyDescent="0.2">
      <c r="X917" s="50"/>
      <c r="AD917" s="22"/>
      <c r="AW917" s="8"/>
      <c r="AX917" s="108"/>
      <c r="AY917" s="102"/>
      <c r="AZ917" s="109"/>
      <c r="BA917" s="11"/>
      <c r="BB917" s="9" t="s">
        <v>559</v>
      </c>
      <c r="BC917" s="22">
        <v>173</v>
      </c>
      <c r="BD917" s="22"/>
      <c r="CA917" s="18"/>
      <c r="DH917" s="22"/>
      <c r="DI917" s="22"/>
      <c r="DJ917" s="22"/>
      <c r="DK917" s="344"/>
      <c r="DL917" s="361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22"/>
      <c r="EG917" s="22"/>
      <c r="EH917" s="22"/>
      <c r="EI917" s="22"/>
      <c r="EJ917" s="22"/>
      <c r="EK917" s="22"/>
      <c r="EL917" s="22"/>
      <c r="EM917" s="22"/>
      <c r="EN917" s="344"/>
      <c r="EO917" s="344"/>
      <c r="EP917" s="22"/>
      <c r="EQ917" s="22"/>
      <c r="ER917" s="22"/>
      <c r="ES917" s="344"/>
      <c r="ET917" s="349"/>
      <c r="EU917" s="344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T917" s="27"/>
      <c r="FU917" s="27"/>
    </row>
    <row r="918" spans="24:177" s="9" customFormat="1" x14ac:dyDescent="0.2">
      <c r="X918" s="50"/>
      <c r="AD918" s="22"/>
      <c r="AW918" s="8"/>
      <c r="AX918" s="108"/>
      <c r="AY918" s="102"/>
      <c r="AZ918" s="109"/>
      <c r="BA918" s="11"/>
      <c r="BB918" s="9" t="s">
        <v>559</v>
      </c>
      <c r="BC918" s="22">
        <v>174</v>
      </c>
      <c r="BD918" s="22"/>
      <c r="CA918" s="18"/>
      <c r="DH918" s="22"/>
      <c r="DI918" s="22"/>
      <c r="DJ918" s="22"/>
      <c r="DK918" s="344"/>
      <c r="DL918" s="361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22"/>
      <c r="EG918" s="22"/>
      <c r="EH918" s="22"/>
      <c r="EI918" s="22"/>
      <c r="EJ918" s="22"/>
      <c r="EK918" s="22"/>
      <c r="EL918" s="22"/>
      <c r="EM918" s="22"/>
      <c r="EN918" s="344"/>
      <c r="EO918" s="344"/>
      <c r="EP918" s="22"/>
      <c r="EQ918" s="22"/>
      <c r="ER918" s="22"/>
      <c r="ES918" s="344"/>
      <c r="ET918" s="349"/>
      <c r="EU918" s="344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T918" s="27"/>
      <c r="FU918" s="27"/>
    </row>
    <row r="919" spans="24:177" s="9" customFormat="1" x14ac:dyDescent="0.2">
      <c r="X919" s="50"/>
      <c r="AD919" s="22"/>
      <c r="AW919" s="8"/>
      <c r="AX919" s="108"/>
      <c r="AY919" s="102"/>
      <c r="AZ919" s="109"/>
      <c r="BA919" s="11"/>
      <c r="BB919" s="9" t="s">
        <v>559</v>
      </c>
      <c r="BC919" s="22">
        <v>175</v>
      </c>
      <c r="BD919" s="22"/>
      <c r="CA919" s="18"/>
      <c r="DH919" s="22"/>
      <c r="DI919" s="22"/>
      <c r="DJ919" s="22"/>
      <c r="DK919" s="344"/>
      <c r="DL919" s="361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22"/>
      <c r="EG919" s="22"/>
      <c r="EH919" s="22"/>
      <c r="EI919" s="22"/>
      <c r="EJ919" s="22"/>
      <c r="EK919" s="22"/>
      <c r="EL919" s="22"/>
      <c r="EM919" s="22"/>
      <c r="EN919" s="344"/>
      <c r="EO919" s="344"/>
      <c r="EP919" s="22"/>
      <c r="EQ919" s="22"/>
      <c r="ER919" s="22"/>
      <c r="ES919" s="344"/>
      <c r="ET919" s="349"/>
      <c r="EU919" s="344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T919" s="27"/>
      <c r="FU919" s="27"/>
    </row>
    <row r="920" spans="24:177" s="9" customFormat="1" x14ac:dyDescent="0.2">
      <c r="X920" s="50"/>
      <c r="AD920" s="22"/>
      <c r="AW920" s="8"/>
      <c r="AX920" s="108"/>
      <c r="AY920" s="102"/>
      <c r="AZ920" s="109"/>
      <c r="BA920" s="11"/>
      <c r="BB920" s="9" t="s">
        <v>559</v>
      </c>
      <c r="BC920" s="22">
        <v>176</v>
      </c>
      <c r="BD920" s="22"/>
      <c r="CA920" s="18"/>
      <c r="DH920" s="22"/>
      <c r="DI920" s="22"/>
      <c r="DJ920" s="22"/>
      <c r="DK920" s="344"/>
      <c r="DL920" s="361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22"/>
      <c r="EG920" s="22"/>
      <c r="EH920" s="22"/>
      <c r="EI920" s="22"/>
      <c r="EJ920" s="22"/>
      <c r="EK920" s="22"/>
      <c r="EL920" s="22"/>
      <c r="EM920" s="22"/>
      <c r="EN920" s="344"/>
      <c r="EO920" s="344"/>
      <c r="EP920" s="22"/>
      <c r="EQ920" s="22"/>
      <c r="ER920" s="22"/>
      <c r="ES920" s="344"/>
      <c r="ET920" s="349"/>
      <c r="EU920" s="344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T920" s="27"/>
      <c r="FU920" s="27"/>
    </row>
    <row r="921" spans="24:177" s="9" customFormat="1" x14ac:dyDescent="0.2">
      <c r="X921" s="50"/>
      <c r="AD921" s="22"/>
      <c r="AW921" s="8"/>
      <c r="AX921" s="108"/>
      <c r="AY921" s="102"/>
      <c r="AZ921" s="109"/>
      <c r="BA921" s="11"/>
      <c r="BB921" s="9" t="s">
        <v>559</v>
      </c>
      <c r="BC921" s="22">
        <v>177</v>
      </c>
      <c r="BD921" s="22"/>
      <c r="CA921" s="18"/>
      <c r="DH921" s="22"/>
      <c r="DI921" s="22"/>
      <c r="DJ921" s="22"/>
      <c r="DK921" s="344"/>
      <c r="DL921" s="361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22"/>
      <c r="EG921" s="22"/>
      <c r="EH921" s="22"/>
      <c r="EI921" s="22"/>
      <c r="EJ921" s="22"/>
      <c r="EK921" s="22"/>
      <c r="EL921" s="22"/>
      <c r="EM921" s="22"/>
      <c r="EN921" s="344"/>
      <c r="EO921" s="344"/>
      <c r="EP921" s="22"/>
      <c r="EQ921" s="22"/>
      <c r="ER921" s="22"/>
      <c r="ES921" s="344"/>
      <c r="ET921" s="349"/>
      <c r="EU921" s="344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T921" s="27"/>
      <c r="FU921" s="27"/>
    </row>
    <row r="922" spans="24:177" s="9" customFormat="1" x14ac:dyDescent="0.2">
      <c r="X922" s="50"/>
      <c r="AD922" s="22"/>
      <c r="AW922" s="8"/>
      <c r="AX922" s="108"/>
      <c r="AY922" s="102"/>
      <c r="AZ922" s="109"/>
      <c r="BA922" s="11"/>
      <c r="BB922" s="9" t="s">
        <v>559</v>
      </c>
      <c r="BC922" s="22">
        <v>178</v>
      </c>
      <c r="BD922" s="22"/>
      <c r="CA922" s="18"/>
      <c r="DH922" s="22"/>
      <c r="DI922" s="22"/>
      <c r="DJ922" s="22"/>
      <c r="DK922" s="344"/>
      <c r="DL922" s="361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22"/>
      <c r="EG922" s="22"/>
      <c r="EH922" s="22"/>
      <c r="EI922" s="22"/>
      <c r="EJ922" s="22"/>
      <c r="EK922" s="22"/>
      <c r="EL922" s="22"/>
      <c r="EM922" s="22"/>
      <c r="EN922" s="344"/>
      <c r="EO922" s="344"/>
      <c r="EP922" s="22"/>
      <c r="EQ922" s="22"/>
      <c r="ER922" s="22"/>
      <c r="ES922" s="344"/>
      <c r="ET922" s="349"/>
      <c r="EU922" s="344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T922" s="27"/>
      <c r="FU922" s="27"/>
    </row>
    <row r="923" spans="24:177" s="9" customFormat="1" x14ac:dyDescent="0.2">
      <c r="X923" s="50"/>
      <c r="AD923" s="22"/>
      <c r="AW923" s="8"/>
      <c r="AX923" s="108"/>
      <c r="AY923" s="102"/>
      <c r="AZ923" s="109"/>
      <c r="BA923" s="11"/>
      <c r="BB923" s="9" t="s">
        <v>559</v>
      </c>
      <c r="BC923" s="22">
        <v>179</v>
      </c>
      <c r="BD923" s="22"/>
      <c r="CA923" s="18"/>
      <c r="DH923" s="22"/>
      <c r="DI923" s="22"/>
      <c r="DJ923" s="22"/>
      <c r="DK923" s="344"/>
      <c r="DL923" s="361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22"/>
      <c r="EG923" s="22"/>
      <c r="EH923" s="22"/>
      <c r="EI923" s="22"/>
      <c r="EJ923" s="22"/>
      <c r="EK923" s="22"/>
      <c r="EL923" s="22"/>
      <c r="EM923" s="22"/>
      <c r="EN923" s="344"/>
      <c r="EO923" s="344"/>
      <c r="EP923" s="22"/>
      <c r="EQ923" s="22"/>
      <c r="ER923" s="22"/>
      <c r="ES923" s="344"/>
      <c r="ET923" s="349"/>
      <c r="EU923" s="344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T923" s="27"/>
      <c r="FU923" s="27"/>
    </row>
    <row r="924" spans="24:177" s="9" customFormat="1" x14ac:dyDescent="0.2">
      <c r="X924" s="50"/>
      <c r="AD924" s="22"/>
      <c r="AW924" s="8"/>
      <c r="AX924" s="108"/>
      <c r="AY924" s="102"/>
      <c r="AZ924" s="109"/>
      <c r="BA924" s="11"/>
      <c r="BB924" s="9" t="s">
        <v>559</v>
      </c>
      <c r="BC924" s="22">
        <v>180</v>
      </c>
      <c r="BD924" s="22"/>
      <c r="CA924" s="18"/>
      <c r="DH924" s="22"/>
      <c r="DI924" s="22"/>
      <c r="DJ924" s="22"/>
      <c r="DK924" s="344"/>
      <c r="DL924" s="361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22"/>
      <c r="EG924" s="22"/>
      <c r="EH924" s="22"/>
      <c r="EI924" s="22"/>
      <c r="EJ924" s="22"/>
      <c r="EK924" s="22"/>
      <c r="EL924" s="22"/>
      <c r="EM924" s="22"/>
      <c r="EN924" s="344"/>
      <c r="EO924" s="344"/>
      <c r="EP924" s="22"/>
      <c r="EQ924" s="22"/>
      <c r="ER924" s="22"/>
      <c r="ES924" s="344"/>
      <c r="ET924" s="349"/>
      <c r="EU924" s="344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T924" s="27"/>
      <c r="FU924" s="27"/>
    </row>
    <row r="925" spans="24:177" s="9" customFormat="1" x14ac:dyDescent="0.2">
      <c r="X925" s="50"/>
      <c r="AD925" s="22"/>
      <c r="AW925" s="8"/>
      <c r="AX925" s="108"/>
      <c r="AY925" s="102"/>
      <c r="AZ925" s="109"/>
      <c r="BA925" s="11"/>
      <c r="BB925" s="9" t="s">
        <v>559</v>
      </c>
      <c r="BC925" s="22">
        <v>181</v>
      </c>
      <c r="BD925" s="22"/>
      <c r="CA925" s="18"/>
      <c r="DH925" s="22"/>
      <c r="DI925" s="22"/>
      <c r="DJ925" s="22"/>
      <c r="DK925" s="344"/>
      <c r="DL925" s="361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22"/>
      <c r="EG925" s="22"/>
      <c r="EH925" s="22"/>
      <c r="EI925" s="22"/>
      <c r="EJ925" s="22"/>
      <c r="EK925" s="22"/>
      <c r="EL925" s="22"/>
      <c r="EM925" s="22"/>
      <c r="EN925" s="344"/>
      <c r="EO925" s="344"/>
      <c r="EP925" s="22"/>
      <c r="EQ925" s="22"/>
      <c r="ER925" s="22"/>
      <c r="ES925" s="344"/>
      <c r="ET925" s="349"/>
      <c r="EU925" s="344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T925" s="27"/>
      <c r="FU925" s="27"/>
    </row>
    <row r="926" spans="24:177" s="9" customFormat="1" x14ac:dyDescent="0.2">
      <c r="X926" s="50"/>
      <c r="AD926" s="22"/>
      <c r="AW926" s="8"/>
      <c r="AX926" s="108"/>
      <c r="AY926" s="102"/>
      <c r="AZ926" s="109"/>
      <c r="BA926" s="11"/>
      <c r="BB926" s="9" t="s">
        <v>559</v>
      </c>
      <c r="BC926" s="22">
        <v>182</v>
      </c>
      <c r="BD926" s="22"/>
      <c r="CA926" s="18"/>
      <c r="DH926" s="22"/>
      <c r="DI926" s="22"/>
      <c r="DJ926" s="22"/>
      <c r="DK926" s="344"/>
      <c r="DL926" s="361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22"/>
      <c r="EG926" s="22"/>
      <c r="EH926" s="22"/>
      <c r="EI926" s="22"/>
      <c r="EJ926" s="22"/>
      <c r="EK926" s="22"/>
      <c r="EL926" s="22"/>
      <c r="EM926" s="22"/>
      <c r="EN926" s="344"/>
      <c r="EO926" s="344"/>
      <c r="EP926" s="22"/>
      <c r="EQ926" s="22"/>
      <c r="ER926" s="22"/>
      <c r="ES926" s="344"/>
      <c r="ET926" s="349"/>
      <c r="EU926" s="344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T926" s="27"/>
      <c r="FU926" s="27"/>
    </row>
    <row r="927" spans="24:177" s="9" customFormat="1" x14ac:dyDescent="0.2">
      <c r="X927" s="50"/>
      <c r="AD927" s="22"/>
      <c r="AW927" s="8"/>
      <c r="AX927" s="108"/>
      <c r="AY927" s="102"/>
      <c r="AZ927" s="109"/>
      <c r="BA927" s="11"/>
      <c r="BB927" s="9" t="s">
        <v>559</v>
      </c>
      <c r="BC927" s="22">
        <v>183</v>
      </c>
      <c r="BD927" s="22"/>
      <c r="CA927" s="18"/>
      <c r="DH927" s="22"/>
      <c r="DI927" s="22"/>
      <c r="DJ927" s="22"/>
      <c r="DK927" s="344"/>
      <c r="DL927" s="361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22"/>
      <c r="EG927" s="22"/>
      <c r="EH927" s="22"/>
      <c r="EI927" s="22"/>
      <c r="EJ927" s="22"/>
      <c r="EK927" s="22"/>
      <c r="EL927" s="22"/>
      <c r="EM927" s="22"/>
      <c r="EN927" s="344"/>
      <c r="EO927" s="344"/>
      <c r="EP927" s="22"/>
      <c r="EQ927" s="22"/>
      <c r="ER927" s="22"/>
      <c r="ES927" s="344"/>
      <c r="ET927" s="349"/>
      <c r="EU927" s="344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T927" s="27"/>
      <c r="FU927" s="27"/>
    </row>
    <row r="928" spans="24:177" s="9" customFormat="1" x14ac:dyDescent="0.2">
      <c r="X928" s="50"/>
      <c r="AD928" s="22"/>
      <c r="AW928" s="8"/>
      <c r="AX928" s="108"/>
      <c r="AY928" s="102"/>
      <c r="AZ928" s="109"/>
      <c r="BA928" s="11"/>
      <c r="BB928" s="9" t="s">
        <v>559</v>
      </c>
      <c r="BC928" s="22">
        <v>184</v>
      </c>
      <c r="BD928" s="22"/>
      <c r="CA928" s="18"/>
      <c r="DH928" s="22"/>
      <c r="DI928" s="22"/>
      <c r="DJ928" s="22"/>
      <c r="DK928" s="344"/>
      <c r="DL928" s="361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22"/>
      <c r="EG928" s="22"/>
      <c r="EH928" s="22"/>
      <c r="EI928" s="22"/>
      <c r="EJ928" s="22"/>
      <c r="EK928" s="22"/>
      <c r="EL928" s="22"/>
      <c r="EM928" s="22"/>
      <c r="EN928" s="344"/>
      <c r="EO928" s="344"/>
      <c r="EP928" s="22"/>
      <c r="EQ928" s="22"/>
      <c r="ER928" s="22"/>
      <c r="ES928" s="344"/>
      <c r="ET928" s="349"/>
      <c r="EU928" s="344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T928" s="27"/>
      <c r="FU928" s="27"/>
    </row>
    <row r="929" spans="24:177" s="9" customFormat="1" x14ac:dyDescent="0.2">
      <c r="X929" s="50"/>
      <c r="AD929" s="22"/>
      <c r="AW929" s="8"/>
      <c r="AX929" s="108"/>
      <c r="AY929" s="102"/>
      <c r="AZ929" s="109"/>
      <c r="BA929" s="11"/>
      <c r="BB929" s="9" t="s">
        <v>559</v>
      </c>
      <c r="BC929" s="22">
        <v>185</v>
      </c>
      <c r="BD929" s="22"/>
      <c r="CA929" s="18"/>
      <c r="DH929" s="22"/>
      <c r="DI929" s="22"/>
      <c r="DJ929" s="22"/>
      <c r="DK929" s="344"/>
      <c r="DL929" s="361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22"/>
      <c r="EG929" s="22"/>
      <c r="EH929" s="22"/>
      <c r="EI929" s="22"/>
      <c r="EJ929" s="22"/>
      <c r="EK929" s="22"/>
      <c r="EL929" s="22"/>
      <c r="EM929" s="22"/>
      <c r="EN929" s="344"/>
      <c r="EO929" s="344"/>
      <c r="EP929" s="22"/>
      <c r="EQ929" s="22"/>
      <c r="ER929" s="22"/>
      <c r="ES929" s="344"/>
      <c r="ET929" s="349"/>
      <c r="EU929" s="344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T929" s="27"/>
      <c r="FU929" s="27"/>
    </row>
    <row r="930" spans="24:177" s="9" customFormat="1" x14ac:dyDescent="0.2">
      <c r="X930" s="50"/>
      <c r="AD930" s="22"/>
      <c r="AW930" s="8"/>
      <c r="AX930" s="108"/>
      <c r="AY930" s="102"/>
      <c r="AZ930" s="109"/>
      <c r="BA930" s="11"/>
      <c r="BB930" s="9" t="s">
        <v>559</v>
      </c>
      <c r="BC930" s="22">
        <v>186</v>
      </c>
      <c r="BD930" s="22"/>
      <c r="CA930" s="18"/>
      <c r="DH930" s="22"/>
      <c r="DI930" s="22"/>
      <c r="DJ930" s="22"/>
      <c r="DK930" s="344"/>
      <c r="DL930" s="361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22"/>
      <c r="EG930" s="22"/>
      <c r="EH930" s="22"/>
      <c r="EI930" s="22"/>
      <c r="EJ930" s="22"/>
      <c r="EK930" s="22"/>
      <c r="EL930" s="22"/>
      <c r="EM930" s="22"/>
      <c r="EN930" s="344"/>
      <c r="EO930" s="344"/>
      <c r="EP930" s="22"/>
      <c r="EQ930" s="22"/>
      <c r="ER930" s="22"/>
      <c r="ES930" s="344"/>
      <c r="ET930" s="349"/>
      <c r="EU930" s="344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T930" s="27"/>
      <c r="FU930" s="27"/>
    </row>
    <row r="931" spans="24:177" s="9" customFormat="1" x14ac:dyDescent="0.2">
      <c r="X931" s="50"/>
      <c r="AD931" s="22"/>
      <c r="AW931" s="8"/>
      <c r="AX931" s="108"/>
      <c r="AY931" s="102"/>
      <c r="AZ931" s="109"/>
      <c r="BA931" s="11"/>
      <c r="BB931" s="9" t="s">
        <v>559</v>
      </c>
      <c r="BC931" s="22">
        <v>187</v>
      </c>
      <c r="BD931" s="22"/>
      <c r="CA931" s="18"/>
      <c r="DH931" s="22"/>
      <c r="DI931" s="22"/>
      <c r="DJ931" s="22"/>
      <c r="DK931" s="344"/>
      <c r="DL931" s="361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22"/>
      <c r="EG931" s="22"/>
      <c r="EH931" s="22"/>
      <c r="EI931" s="22"/>
      <c r="EJ931" s="22"/>
      <c r="EK931" s="22"/>
      <c r="EL931" s="22"/>
      <c r="EM931" s="22"/>
      <c r="EN931" s="344"/>
      <c r="EO931" s="344"/>
      <c r="EP931" s="22"/>
      <c r="EQ931" s="22"/>
      <c r="ER931" s="22"/>
      <c r="ES931" s="344"/>
      <c r="ET931" s="349"/>
      <c r="EU931" s="344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T931" s="27"/>
      <c r="FU931" s="27"/>
    </row>
    <row r="932" spans="24:177" s="9" customFormat="1" x14ac:dyDescent="0.2">
      <c r="X932" s="50"/>
      <c r="AD932" s="22"/>
      <c r="AW932" s="8"/>
      <c r="AX932" s="108"/>
      <c r="AY932" s="102"/>
      <c r="AZ932" s="109"/>
      <c r="BA932" s="11"/>
      <c r="BB932" s="9" t="s">
        <v>559</v>
      </c>
      <c r="BC932" s="22">
        <v>188</v>
      </c>
      <c r="BD932" s="22"/>
      <c r="CA932" s="18"/>
      <c r="DH932" s="22"/>
      <c r="DI932" s="22"/>
      <c r="DJ932" s="22"/>
      <c r="DK932" s="344"/>
      <c r="DL932" s="361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22"/>
      <c r="EG932" s="22"/>
      <c r="EH932" s="22"/>
      <c r="EI932" s="22"/>
      <c r="EJ932" s="22"/>
      <c r="EK932" s="22"/>
      <c r="EL932" s="22"/>
      <c r="EM932" s="22"/>
      <c r="EN932" s="344"/>
      <c r="EO932" s="344"/>
      <c r="EP932" s="22"/>
      <c r="EQ932" s="22"/>
      <c r="ER932" s="22"/>
      <c r="ES932" s="344"/>
      <c r="ET932" s="349"/>
      <c r="EU932" s="344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T932" s="27"/>
      <c r="FU932" s="27"/>
    </row>
    <row r="933" spans="24:177" s="9" customFormat="1" x14ac:dyDescent="0.2">
      <c r="X933" s="50"/>
      <c r="AD933" s="22"/>
      <c r="AW933" s="8"/>
      <c r="AX933" s="108"/>
      <c r="AY933" s="102"/>
      <c r="AZ933" s="109"/>
      <c r="BA933" s="11"/>
      <c r="BB933" s="9" t="s">
        <v>559</v>
      </c>
      <c r="BC933" s="22">
        <v>189</v>
      </c>
      <c r="BD933" s="22"/>
      <c r="CA933" s="18"/>
      <c r="DH933" s="22"/>
      <c r="DI933" s="22"/>
      <c r="DJ933" s="22"/>
      <c r="DK933" s="344"/>
      <c r="DL933" s="361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22"/>
      <c r="EG933" s="22"/>
      <c r="EH933" s="22"/>
      <c r="EI933" s="22"/>
      <c r="EJ933" s="22"/>
      <c r="EK933" s="22"/>
      <c r="EL933" s="22"/>
      <c r="EM933" s="22"/>
      <c r="EN933" s="344"/>
      <c r="EO933" s="344"/>
      <c r="EP933" s="22"/>
      <c r="EQ933" s="22"/>
      <c r="ER933" s="22"/>
      <c r="ES933" s="344"/>
      <c r="ET933" s="349"/>
      <c r="EU933" s="344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T933" s="27"/>
      <c r="FU933" s="27"/>
    </row>
    <row r="934" spans="24:177" s="9" customFormat="1" x14ac:dyDescent="0.2">
      <c r="X934" s="50"/>
      <c r="AD934" s="22"/>
      <c r="AW934" s="8"/>
      <c r="AX934" s="108"/>
      <c r="AY934" s="102"/>
      <c r="AZ934" s="109"/>
      <c r="BA934" s="11"/>
      <c r="BB934" s="9" t="s">
        <v>559</v>
      </c>
      <c r="BC934" s="22">
        <v>190</v>
      </c>
      <c r="BD934" s="22"/>
      <c r="CA934" s="18"/>
      <c r="DH934" s="22"/>
      <c r="DI934" s="22"/>
      <c r="DJ934" s="22"/>
      <c r="DK934" s="344"/>
      <c r="DL934" s="361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22"/>
      <c r="EG934" s="22"/>
      <c r="EH934" s="22"/>
      <c r="EI934" s="22"/>
      <c r="EJ934" s="22"/>
      <c r="EK934" s="22"/>
      <c r="EL934" s="22"/>
      <c r="EM934" s="22"/>
      <c r="EN934" s="344"/>
      <c r="EO934" s="344"/>
      <c r="EP934" s="22"/>
      <c r="EQ934" s="22"/>
      <c r="ER934" s="22"/>
      <c r="ES934" s="344"/>
      <c r="ET934" s="349"/>
      <c r="EU934" s="344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T934" s="27"/>
      <c r="FU934" s="27"/>
    </row>
    <row r="935" spans="24:177" s="9" customFormat="1" x14ac:dyDescent="0.2">
      <c r="X935" s="50"/>
      <c r="AD935" s="22"/>
      <c r="AW935" s="8"/>
      <c r="AX935" s="108"/>
      <c r="AY935" s="102"/>
      <c r="AZ935" s="109"/>
      <c r="BA935" s="11"/>
      <c r="BB935" s="9" t="s">
        <v>559</v>
      </c>
      <c r="BC935" s="22">
        <v>191</v>
      </c>
      <c r="BD935" s="22"/>
      <c r="CA935" s="18"/>
      <c r="DH935" s="22"/>
      <c r="DI935" s="22"/>
      <c r="DJ935" s="22"/>
      <c r="DK935" s="344"/>
      <c r="DL935" s="361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22"/>
      <c r="EG935" s="22"/>
      <c r="EH935" s="22"/>
      <c r="EI935" s="22"/>
      <c r="EJ935" s="22"/>
      <c r="EK935" s="22"/>
      <c r="EL935" s="22"/>
      <c r="EM935" s="22"/>
      <c r="EN935" s="344"/>
      <c r="EO935" s="344"/>
      <c r="EP935" s="22"/>
      <c r="EQ935" s="22"/>
      <c r="ER935" s="22"/>
      <c r="ES935" s="344"/>
      <c r="ET935" s="349"/>
      <c r="EU935" s="344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T935" s="27"/>
      <c r="FU935" s="27"/>
    </row>
    <row r="936" spans="24:177" s="9" customFormat="1" x14ac:dyDescent="0.2">
      <c r="X936" s="50"/>
      <c r="AD936" s="22"/>
      <c r="AW936" s="8"/>
      <c r="AX936" s="108"/>
      <c r="AY936" s="102"/>
      <c r="AZ936" s="109"/>
      <c r="BA936" s="11"/>
      <c r="BB936" s="9" t="s">
        <v>559</v>
      </c>
      <c r="BC936" s="22">
        <v>192</v>
      </c>
      <c r="BD936" s="22"/>
      <c r="CA936" s="18"/>
      <c r="DH936" s="22"/>
      <c r="DI936" s="22"/>
      <c r="DJ936" s="22"/>
      <c r="DK936" s="344"/>
      <c r="DL936" s="361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22"/>
      <c r="EG936" s="22"/>
      <c r="EH936" s="22"/>
      <c r="EI936" s="22"/>
      <c r="EJ936" s="22"/>
      <c r="EK936" s="22"/>
      <c r="EL936" s="22"/>
      <c r="EM936" s="22"/>
      <c r="EN936" s="344"/>
      <c r="EO936" s="344"/>
      <c r="EP936" s="22"/>
      <c r="EQ936" s="22"/>
      <c r="ER936" s="22"/>
      <c r="ES936" s="344"/>
      <c r="ET936" s="349"/>
      <c r="EU936" s="344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T936" s="27"/>
      <c r="FU936" s="27"/>
    </row>
    <row r="937" spans="24:177" s="9" customFormat="1" x14ac:dyDescent="0.2">
      <c r="X937" s="50"/>
      <c r="AD937" s="22"/>
      <c r="AW937" s="8"/>
      <c r="AX937" s="108"/>
      <c r="AY937" s="102"/>
      <c r="AZ937" s="109"/>
      <c r="BA937" s="11"/>
      <c r="BB937" s="9" t="s">
        <v>559</v>
      </c>
      <c r="BC937" s="22">
        <v>193</v>
      </c>
      <c r="BD937" s="22"/>
      <c r="CA937" s="18"/>
      <c r="DH937" s="22"/>
      <c r="DI937" s="22"/>
      <c r="DJ937" s="22"/>
      <c r="DK937" s="344"/>
      <c r="DL937" s="361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22"/>
      <c r="EG937" s="22"/>
      <c r="EH937" s="22"/>
      <c r="EI937" s="22"/>
      <c r="EJ937" s="22"/>
      <c r="EK937" s="22"/>
      <c r="EL937" s="22"/>
      <c r="EM937" s="22"/>
      <c r="EN937" s="344"/>
      <c r="EO937" s="344"/>
      <c r="EP937" s="22"/>
      <c r="EQ937" s="22"/>
      <c r="ER937" s="22"/>
      <c r="ES937" s="344"/>
      <c r="ET937" s="349"/>
      <c r="EU937" s="344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T937" s="27"/>
      <c r="FU937" s="27"/>
    </row>
    <row r="938" spans="24:177" s="9" customFormat="1" x14ac:dyDescent="0.2">
      <c r="X938" s="50"/>
      <c r="AD938" s="22"/>
      <c r="AW938" s="8"/>
      <c r="AX938" s="108"/>
      <c r="AY938" s="102"/>
      <c r="AZ938" s="109"/>
      <c r="BA938" s="11"/>
      <c r="BB938" s="9" t="s">
        <v>559</v>
      </c>
      <c r="BC938" s="22">
        <v>194</v>
      </c>
      <c r="BD938" s="22"/>
      <c r="CA938" s="18"/>
      <c r="DH938" s="22"/>
      <c r="DI938" s="22"/>
      <c r="DJ938" s="22"/>
      <c r="DK938" s="344"/>
      <c r="DL938" s="361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22"/>
      <c r="EG938" s="22"/>
      <c r="EH938" s="22"/>
      <c r="EI938" s="22"/>
      <c r="EJ938" s="22"/>
      <c r="EK938" s="22"/>
      <c r="EL938" s="22"/>
      <c r="EM938" s="22"/>
      <c r="EN938" s="344"/>
      <c r="EO938" s="344"/>
      <c r="EP938" s="22"/>
      <c r="EQ938" s="22"/>
      <c r="ER938" s="22"/>
      <c r="ES938" s="344"/>
      <c r="ET938" s="349"/>
      <c r="EU938" s="344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T938" s="27"/>
      <c r="FU938" s="27"/>
    </row>
    <row r="939" spans="24:177" s="9" customFormat="1" x14ac:dyDescent="0.2">
      <c r="X939" s="50"/>
      <c r="AD939" s="22"/>
      <c r="AW939" s="8"/>
      <c r="AX939" s="108"/>
      <c r="AY939" s="102"/>
      <c r="AZ939" s="109"/>
      <c r="BA939" s="11"/>
      <c r="BB939" s="9" t="s">
        <v>559</v>
      </c>
      <c r="BC939" s="22">
        <v>195</v>
      </c>
      <c r="BD939" s="22"/>
      <c r="CA939" s="18"/>
      <c r="DH939" s="22"/>
      <c r="DI939" s="22"/>
      <c r="DJ939" s="22"/>
      <c r="DK939" s="344"/>
      <c r="DL939" s="361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22"/>
      <c r="EG939" s="22"/>
      <c r="EH939" s="22"/>
      <c r="EI939" s="22"/>
      <c r="EJ939" s="22"/>
      <c r="EK939" s="22"/>
      <c r="EL939" s="22"/>
      <c r="EM939" s="22"/>
      <c r="EN939" s="344"/>
      <c r="EO939" s="344"/>
      <c r="EP939" s="22"/>
      <c r="EQ939" s="22"/>
      <c r="ER939" s="22"/>
      <c r="ES939" s="344"/>
      <c r="ET939" s="349"/>
      <c r="EU939" s="344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T939" s="27"/>
      <c r="FU939" s="27"/>
    </row>
    <row r="940" spans="24:177" s="9" customFormat="1" x14ac:dyDescent="0.2">
      <c r="X940" s="50"/>
      <c r="AD940" s="22"/>
      <c r="AW940" s="8"/>
      <c r="AX940" s="108"/>
      <c r="AY940" s="102"/>
      <c r="AZ940" s="109"/>
      <c r="BA940" s="11"/>
      <c r="BB940" s="9" t="s">
        <v>559</v>
      </c>
      <c r="BC940" s="22">
        <v>196</v>
      </c>
      <c r="BD940" s="22"/>
      <c r="CA940" s="18"/>
      <c r="DH940" s="22"/>
      <c r="DI940" s="22"/>
      <c r="DJ940" s="22"/>
      <c r="DK940" s="344"/>
      <c r="DL940" s="361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22"/>
      <c r="EG940" s="22"/>
      <c r="EH940" s="22"/>
      <c r="EI940" s="22"/>
      <c r="EJ940" s="22"/>
      <c r="EK940" s="22"/>
      <c r="EL940" s="22"/>
      <c r="EM940" s="22"/>
      <c r="EN940" s="344"/>
      <c r="EO940" s="344"/>
      <c r="EP940" s="22"/>
      <c r="EQ940" s="22"/>
      <c r="ER940" s="22"/>
      <c r="ES940" s="344"/>
      <c r="ET940" s="349"/>
      <c r="EU940" s="344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T940" s="27"/>
      <c r="FU940" s="27"/>
    </row>
    <row r="941" spans="24:177" s="9" customFormat="1" x14ac:dyDescent="0.2">
      <c r="X941" s="50"/>
      <c r="AD941" s="22"/>
      <c r="AW941" s="8"/>
      <c r="AX941" s="108"/>
      <c r="AY941" s="102"/>
      <c r="AZ941" s="109"/>
      <c r="BA941" s="11"/>
      <c r="BB941" s="9" t="s">
        <v>559</v>
      </c>
      <c r="BC941" s="22">
        <v>197</v>
      </c>
      <c r="BD941" s="22"/>
      <c r="CA941" s="18"/>
      <c r="DH941" s="22"/>
      <c r="DI941" s="22"/>
      <c r="DJ941" s="22"/>
      <c r="DK941" s="344"/>
      <c r="DL941" s="361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22"/>
      <c r="EG941" s="22"/>
      <c r="EH941" s="22"/>
      <c r="EI941" s="22"/>
      <c r="EJ941" s="22"/>
      <c r="EK941" s="22"/>
      <c r="EL941" s="22"/>
      <c r="EM941" s="22"/>
      <c r="EN941" s="344"/>
      <c r="EO941" s="344"/>
      <c r="EP941" s="22"/>
      <c r="EQ941" s="22"/>
      <c r="ER941" s="22"/>
      <c r="ES941" s="344"/>
      <c r="ET941" s="349"/>
      <c r="EU941" s="344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T941" s="27"/>
      <c r="FU941" s="27"/>
    </row>
    <row r="942" spans="24:177" s="9" customFormat="1" x14ac:dyDescent="0.2">
      <c r="X942" s="50"/>
      <c r="AD942" s="22"/>
      <c r="AW942" s="8"/>
      <c r="AX942" s="108"/>
      <c r="AY942" s="102"/>
      <c r="AZ942" s="109"/>
      <c r="BA942" s="11"/>
      <c r="BB942" s="9" t="s">
        <v>559</v>
      </c>
      <c r="BC942" s="22">
        <v>198</v>
      </c>
      <c r="BD942" s="22"/>
      <c r="CA942" s="18"/>
      <c r="DH942" s="22"/>
      <c r="DI942" s="22"/>
      <c r="DJ942" s="22"/>
      <c r="DK942" s="344"/>
      <c r="DL942" s="361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22"/>
      <c r="EG942" s="22"/>
      <c r="EH942" s="22"/>
      <c r="EI942" s="22"/>
      <c r="EJ942" s="22"/>
      <c r="EK942" s="22"/>
      <c r="EL942" s="22"/>
      <c r="EM942" s="22"/>
      <c r="EN942" s="344"/>
      <c r="EO942" s="344"/>
      <c r="EP942" s="22"/>
      <c r="EQ942" s="22"/>
      <c r="ER942" s="22"/>
      <c r="ES942" s="344"/>
      <c r="ET942" s="349"/>
      <c r="EU942" s="344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T942" s="27"/>
      <c r="FU942" s="27"/>
    </row>
    <row r="943" spans="24:177" s="9" customFormat="1" x14ac:dyDescent="0.2">
      <c r="X943" s="50"/>
      <c r="AD943" s="22"/>
      <c r="AW943" s="8"/>
      <c r="AX943" s="108"/>
      <c r="AY943" s="102"/>
      <c r="AZ943" s="109"/>
      <c r="BA943" s="11"/>
      <c r="BB943" s="9" t="s">
        <v>559</v>
      </c>
      <c r="BC943" s="22">
        <v>199</v>
      </c>
      <c r="BD943" s="22"/>
      <c r="CA943" s="18"/>
      <c r="DH943" s="22"/>
      <c r="DI943" s="22"/>
      <c r="DJ943" s="22"/>
      <c r="DK943" s="344"/>
      <c r="DL943" s="361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22"/>
      <c r="EG943" s="22"/>
      <c r="EH943" s="22"/>
      <c r="EI943" s="22"/>
      <c r="EJ943" s="22"/>
      <c r="EK943" s="22"/>
      <c r="EL943" s="22"/>
      <c r="EM943" s="22"/>
      <c r="EN943" s="344"/>
      <c r="EO943" s="344"/>
      <c r="EP943" s="22"/>
      <c r="EQ943" s="22"/>
      <c r="ER943" s="22"/>
      <c r="ES943" s="344"/>
      <c r="ET943" s="349"/>
      <c r="EU943" s="344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T943" s="27"/>
      <c r="FU943" s="27"/>
    </row>
    <row r="944" spans="24:177" s="9" customFormat="1" x14ac:dyDescent="0.2">
      <c r="X944" s="50"/>
      <c r="AD944" s="22"/>
      <c r="AW944" s="8"/>
      <c r="AX944" s="108"/>
      <c r="AY944" s="102"/>
      <c r="AZ944" s="109"/>
      <c r="BA944" s="11"/>
      <c r="BB944" s="9" t="s">
        <v>559</v>
      </c>
      <c r="BC944" s="22">
        <v>200</v>
      </c>
      <c r="BD944" s="22"/>
      <c r="CA944" s="18"/>
      <c r="DH944" s="22"/>
      <c r="DI944" s="22"/>
      <c r="DJ944" s="22"/>
      <c r="DK944" s="344"/>
      <c r="DL944" s="361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22"/>
      <c r="EG944" s="22"/>
      <c r="EH944" s="22"/>
      <c r="EI944" s="22"/>
      <c r="EJ944" s="22"/>
      <c r="EK944" s="22"/>
      <c r="EL944" s="22"/>
      <c r="EM944" s="22"/>
      <c r="EN944" s="344"/>
      <c r="EO944" s="344"/>
      <c r="EP944" s="22"/>
      <c r="EQ944" s="22"/>
      <c r="ER944" s="22"/>
      <c r="ES944" s="344"/>
      <c r="ET944" s="349"/>
      <c r="EU944" s="344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T944" s="27"/>
      <c r="FU944" s="27"/>
    </row>
    <row r="945" spans="24:177" s="9" customFormat="1" x14ac:dyDescent="0.2">
      <c r="X945" s="50"/>
      <c r="AD945" s="22"/>
      <c r="AW945" s="8"/>
      <c r="AX945" s="108"/>
      <c r="AY945" s="102"/>
      <c r="AZ945" s="109"/>
      <c r="BA945" s="11"/>
      <c r="BB945" s="9" t="s">
        <v>559</v>
      </c>
      <c r="BC945" s="22">
        <v>201</v>
      </c>
      <c r="BD945" s="22"/>
      <c r="CA945" s="18"/>
      <c r="DH945" s="22"/>
      <c r="DI945" s="22"/>
      <c r="DJ945" s="22"/>
      <c r="DK945" s="344"/>
      <c r="DL945" s="361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22"/>
      <c r="EG945" s="22"/>
      <c r="EH945" s="22"/>
      <c r="EI945" s="22"/>
      <c r="EJ945" s="22"/>
      <c r="EK945" s="22"/>
      <c r="EL945" s="22"/>
      <c r="EM945" s="22"/>
      <c r="EN945" s="344"/>
      <c r="EO945" s="344"/>
      <c r="EP945" s="22"/>
      <c r="EQ945" s="22"/>
      <c r="ER945" s="22"/>
      <c r="ES945" s="344"/>
      <c r="ET945" s="349"/>
      <c r="EU945" s="344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T945" s="27"/>
      <c r="FU945" s="27"/>
    </row>
    <row r="946" spans="24:177" s="9" customFormat="1" x14ac:dyDescent="0.2">
      <c r="X946" s="50"/>
      <c r="AD946" s="22"/>
      <c r="AW946" s="8"/>
      <c r="AX946" s="108"/>
      <c r="AY946" s="102"/>
      <c r="AZ946" s="109"/>
      <c r="BA946" s="11"/>
      <c r="BB946" s="9" t="s">
        <v>559</v>
      </c>
      <c r="BC946" s="22">
        <v>202</v>
      </c>
      <c r="BD946" s="22"/>
      <c r="CA946" s="18"/>
      <c r="DH946" s="22"/>
      <c r="DI946" s="22"/>
      <c r="DJ946" s="22"/>
      <c r="DK946" s="344"/>
      <c r="DL946" s="361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22"/>
      <c r="EG946" s="22"/>
      <c r="EH946" s="22"/>
      <c r="EI946" s="22"/>
      <c r="EJ946" s="22"/>
      <c r="EK946" s="22"/>
      <c r="EL946" s="22"/>
      <c r="EM946" s="22"/>
      <c r="EN946" s="344"/>
      <c r="EO946" s="344"/>
      <c r="EP946" s="22"/>
      <c r="EQ946" s="22"/>
      <c r="ER946" s="22"/>
      <c r="ES946" s="344"/>
      <c r="ET946" s="349"/>
      <c r="EU946" s="344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T946" s="27"/>
      <c r="FU946" s="27"/>
    </row>
    <row r="947" spans="24:177" s="9" customFormat="1" x14ac:dyDescent="0.2">
      <c r="X947" s="50"/>
      <c r="AD947" s="22"/>
      <c r="AW947" s="8"/>
      <c r="AX947" s="108"/>
      <c r="AY947" s="102"/>
      <c r="AZ947" s="109"/>
      <c r="BA947" s="11"/>
      <c r="BB947" s="9" t="s">
        <v>559</v>
      </c>
      <c r="BC947" s="22">
        <v>203</v>
      </c>
      <c r="BD947" s="22"/>
      <c r="CA947" s="18"/>
      <c r="DH947" s="22"/>
      <c r="DI947" s="22"/>
      <c r="DJ947" s="22"/>
      <c r="DK947" s="344"/>
      <c r="DL947" s="361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22"/>
      <c r="EG947" s="22"/>
      <c r="EH947" s="22"/>
      <c r="EI947" s="22"/>
      <c r="EJ947" s="22"/>
      <c r="EK947" s="22"/>
      <c r="EL947" s="22"/>
      <c r="EM947" s="22"/>
      <c r="EN947" s="344"/>
      <c r="EO947" s="344"/>
      <c r="EP947" s="22"/>
      <c r="EQ947" s="22"/>
      <c r="ER947" s="22"/>
      <c r="ES947" s="344"/>
      <c r="ET947" s="349"/>
      <c r="EU947" s="344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T947" s="27"/>
      <c r="FU947" s="27"/>
    </row>
    <row r="948" spans="24:177" s="9" customFormat="1" x14ac:dyDescent="0.2">
      <c r="X948" s="50"/>
      <c r="AD948" s="22"/>
      <c r="AW948" s="8"/>
      <c r="AX948" s="108"/>
      <c r="AY948" s="102"/>
      <c r="AZ948" s="109"/>
      <c r="BA948" s="11"/>
      <c r="BB948" s="9" t="s">
        <v>559</v>
      </c>
      <c r="BC948" s="22">
        <v>204</v>
      </c>
      <c r="BD948" s="22"/>
      <c r="CA948" s="18"/>
      <c r="DH948" s="22"/>
      <c r="DI948" s="22"/>
      <c r="DJ948" s="22"/>
      <c r="DK948" s="344"/>
      <c r="DL948" s="361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22"/>
      <c r="EG948" s="22"/>
      <c r="EH948" s="22"/>
      <c r="EI948" s="22"/>
      <c r="EJ948" s="22"/>
      <c r="EK948" s="22"/>
      <c r="EL948" s="22"/>
      <c r="EM948" s="22"/>
      <c r="EN948" s="344"/>
      <c r="EO948" s="344"/>
      <c r="EP948" s="22"/>
      <c r="EQ948" s="22"/>
      <c r="ER948" s="22"/>
      <c r="ES948" s="344"/>
      <c r="ET948" s="349"/>
      <c r="EU948" s="344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T948" s="27"/>
      <c r="FU948" s="27"/>
    </row>
    <row r="949" spans="24:177" s="9" customFormat="1" x14ac:dyDescent="0.2">
      <c r="X949" s="50"/>
      <c r="AD949" s="22"/>
      <c r="AW949" s="8"/>
      <c r="AX949" s="108"/>
      <c r="AY949" s="102"/>
      <c r="AZ949" s="109"/>
      <c r="BA949" s="11"/>
      <c r="BB949" s="9" t="s">
        <v>559</v>
      </c>
      <c r="BC949" s="22">
        <v>205</v>
      </c>
      <c r="BD949" s="22"/>
      <c r="CA949" s="18"/>
      <c r="DH949" s="22"/>
      <c r="DI949" s="22"/>
      <c r="DJ949" s="22"/>
      <c r="DK949" s="344"/>
      <c r="DL949" s="361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22"/>
      <c r="EG949" s="22"/>
      <c r="EH949" s="22"/>
      <c r="EI949" s="22"/>
      <c r="EJ949" s="22"/>
      <c r="EK949" s="22"/>
      <c r="EL949" s="22"/>
      <c r="EM949" s="22"/>
      <c r="EN949" s="344"/>
      <c r="EO949" s="344"/>
      <c r="EP949" s="22"/>
      <c r="EQ949" s="22"/>
      <c r="ER949" s="22"/>
      <c r="ES949" s="344"/>
      <c r="ET949" s="349"/>
      <c r="EU949" s="344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T949" s="27"/>
      <c r="FU949" s="27"/>
    </row>
    <row r="950" spans="24:177" s="9" customFormat="1" x14ac:dyDescent="0.2">
      <c r="X950" s="50"/>
      <c r="AD950" s="22"/>
      <c r="AW950" s="8"/>
      <c r="AX950" s="108"/>
      <c r="AY950" s="102"/>
      <c r="AZ950" s="109"/>
      <c r="BA950" s="11"/>
      <c r="BB950" s="9" t="s">
        <v>559</v>
      </c>
      <c r="BC950" s="22">
        <v>206</v>
      </c>
      <c r="BD950" s="22"/>
      <c r="CA950" s="18"/>
      <c r="DH950" s="22"/>
      <c r="DI950" s="22"/>
      <c r="DJ950" s="22"/>
      <c r="DK950" s="344"/>
      <c r="DL950" s="361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22"/>
      <c r="EG950" s="22"/>
      <c r="EH950" s="22"/>
      <c r="EI950" s="22"/>
      <c r="EJ950" s="22"/>
      <c r="EK950" s="22"/>
      <c r="EL950" s="22"/>
      <c r="EM950" s="22"/>
      <c r="EN950" s="344"/>
      <c r="EO950" s="344"/>
      <c r="EP950" s="22"/>
      <c r="EQ950" s="22"/>
      <c r="ER950" s="22"/>
      <c r="ES950" s="344"/>
      <c r="ET950" s="349"/>
      <c r="EU950" s="344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T950" s="27"/>
      <c r="FU950" s="27"/>
    </row>
    <row r="951" spans="24:177" s="9" customFormat="1" x14ac:dyDescent="0.2">
      <c r="X951" s="50"/>
      <c r="AD951" s="22"/>
      <c r="AW951" s="8"/>
      <c r="AX951" s="108"/>
      <c r="AY951" s="102"/>
      <c r="AZ951" s="109"/>
      <c r="BA951" s="11"/>
      <c r="BB951" s="9" t="s">
        <v>559</v>
      </c>
      <c r="BC951" s="22">
        <v>207</v>
      </c>
      <c r="BD951" s="22"/>
      <c r="CA951" s="18"/>
      <c r="DH951" s="22"/>
      <c r="DI951" s="22"/>
      <c r="DJ951" s="22"/>
      <c r="DK951" s="344"/>
      <c r="DL951" s="361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22"/>
      <c r="EG951" s="22"/>
      <c r="EH951" s="22"/>
      <c r="EI951" s="22"/>
      <c r="EJ951" s="22"/>
      <c r="EK951" s="22"/>
      <c r="EL951" s="22"/>
      <c r="EM951" s="22"/>
      <c r="EN951" s="344"/>
      <c r="EO951" s="344"/>
      <c r="EP951" s="22"/>
      <c r="EQ951" s="22"/>
      <c r="ER951" s="22"/>
      <c r="ES951" s="344"/>
      <c r="ET951" s="349"/>
      <c r="EU951" s="344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T951" s="27"/>
      <c r="FU951" s="27"/>
    </row>
    <row r="952" spans="24:177" s="9" customFormat="1" x14ac:dyDescent="0.2">
      <c r="X952" s="50"/>
      <c r="AD952" s="22"/>
      <c r="AW952" s="8"/>
      <c r="AX952" s="108"/>
      <c r="AY952" s="102"/>
      <c r="AZ952" s="109"/>
      <c r="BA952" s="11"/>
      <c r="BB952" s="9" t="s">
        <v>559</v>
      </c>
      <c r="BC952" s="22">
        <v>208</v>
      </c>
      <c r="BD952" s="22"/>
      <c r="CA952" s="18"/>
      <c r="DH952" s="22"/>
      <c r="DI952" s="22"/>
      <c r="DJ952" s="22"/>
      <c r="DK952" s="344"/>
      <c r="DL952" s="361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22"/>
      <c r="EG952" s="22"/>
      <c r="EH952" s="22"/>
      <c r="EI952" s="22"/>
      <c r="EJ952" s="22"/>
      <c r="EK952" s="22"/>
      <c r="EL952" s="22"/>
      <c r="EM952" s="22"/>
      <c r="EN952" s="344"/>
      <c r="EO952" s="344"/>
      <c r="EP952" s="22"/>
      <c r="EQ952" s="22"/>
      <c r="ER952" s="22"/>
      <c r="ES952" s="344"/>
      <c r="ET952" s="349"/>
      <c r="EU952" s="344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T952" s="27"/>
      <c r="FU952" s="27"/>
    </row>
    <row r="953" spans="24:177" s="9" customFormat="1" x14ac:dyDescent="0.2">
      <c r="X953" s="50"/>
      <c r="AD953" s="22"/>
      <c r="AW953" s="8"/>
      <c r="AX953" s="108"/>
      <c r="AY953" s="102"/>
      <c r="AZ953" s="109"/>
      <c r="BA953" s="11"/>
      <c r="BB953" s="9" t="s">
        <v>559</v>
      </c>
      <c r="BC953" s="22">
        <v>209</v>
      </c>
      <c r="BD953" s="22"/>
      <c r="CA953" s="18"/>
      <c r="DH953" s="22"/>
      <c r="DI953" s="22"/>
      <c r="DJ953" s="22"/>
      <c r="DK953" s="344"/>
      <c r="DL953" s="361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22"/>
      <c r="EG953" s="22"/>
      <c r="EH953" s="22"/>
      <c r="EI953" s="22"/>
      <c r="EJ953" s="22"/>
      <c r="EK953" s="22"/>
      <c r="EL953" s="22"/>
      <c r="EM953" s="22"/>
      <c r="EN953" s="344"/>
      <c r="EO953" s="344"/>
      <c r="EP953" s="22"/>
      <c r="EQ953" s="22"/>
      <c r="ER953" s="22"/>
      <c r="ES953" s="344"/>
      <c r="ET953" s="349"/>
      <c r="EU953" s="344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T953" s="27"/>
      <c r="FU953" s="27"/>
    </row>
    <row r="954" spans="24:177" s="9" customFormat="1" x14ac:dyDescent="0.2">
      <c r="X954" s="50"/>
      <c r="AD954" s="22"/>
      <c r="AW954" s="8"/>
      <c r="AX954" s="108"/>
      <c r="AY954" s="102"/>
      <c r="AZ954" s="109"/>
      <c r="BA954" s="11"/>
      <c r="BB954" s="9" t="s">
        <v>559</v>
      </c>
      <c r="BC954" s="22">
        <v>210</v>
      </c>
      <c r="BD954" s="22"/>
      <c r="CA954" s="18"/>
      <c r="DH954" s="22"/>
      <c r="DI954" s="22"/>
      <c r="DJ954" s="22"/>
      <c r="DK954" s="344"/>
      <c r="DL954" s="361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22"/>
      <c r="EG954" s="22"/>
      <c r="EH954" s="22"/>
      <c r="EI954" s="22"/>
      <c r="EJ954" s="22"/>
      <c r="EK954" s="22"/>
      <c r="EL954" s="22"/>
      <c r="EM954" s="22"/>
      <c r="EN954" s="344"/>
      <c r="EO954" s="344"/>
      <c r="EP954" s="22"/>
      <c r="EQ954" s="22"/>
      <c r="ER954" s="22"/>
      <c r="ES954" s="344"/>
      <c r="ET954" s="349"/>
      <c r="EU954" s="344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T954" s="27"/>
      <c r="FU954" s="27"/>
    </row>
    <row r="955" spans="24:177" s="9" customFormat="1" x14ac:dyDescent="0.2">
      <c r="X955" s="50"/>
      <c r="AD955" s="22"/>
      <c r="AW955" s="8"/>
      <c r="AX955" s="108"/>
      <c r="AY955" s="102"/>
      <c r="AZ955" s="109"/>
      <c r="BA955" s="11"/>
      <c r="BB955" s="9" t="s">
        <v>559</v>
      </c>
      <c r="BC955" s="22">
        <v>211</v>
      </c>
      <c r="BD955" s="22"/>
      <c r="CA955" s="18"/>
      <c r="DH955" s="22"/>
      <c r="DI955" s="22"/>
      <c r="DJ955" s="22"/>
      <c r="DK955" s="344"/>
      <c r="DL955" s="361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22"/>
      <c r="EG955" s="22"/>
      <c r="EH955" s="22"/>
      <c r="EI955" s="22"/>
      <c r="EJ955" s="22"/>
      <c r="EK955" s="22"/>
      <c r="EL955" s="22"/>
      <c r="EM955" s="22"/>
      <c r="EN955" s="344"/>
      <c r="EO955" s="344"/>
      <c r="EP955" s="22"/>
      <c r="EQ955" s="22"/>
      <c r="ER955" s="22"/>
      <c r="ES955" s="344"/>
      <c r="ET955" s="349"/>
      <c r="EU955" s="344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T955" s="27"/>
      <c r="FU955" s="27"/>
    </row>
    <row r="956" spans="24:177" s="9" customFormat="1" x14ac:dyDescent="0.2">
      <c r="X956" s="50"/>
      <c r="AD956" s="22"/>
      <c r="AW956" s="8"/>
      <c r="AX956" s="108"/>
      <c r="AY956" s="102"/>
      <c r="AZ956" s="109"/>
      <c r="BA956" s="11"/>
      <c r="BB956" s="9" t="s">
        <v>559</v>
      </c>
      <c r="BC956" s="22">
        <v>212</v>
      </c>
      <c r="BD956" s="22"/>
      <c r="CA956" s="18"/>
      <c r="DH956" s="22"/>
      <c r="DI956" s="22"/>
      <c r="DJ956" s="22"/>
      <c r="DK956" s="344"/>
      <c r="DL956" s="361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22"/>
      <c r="EG956" s="22"/>
      <c r="EH956" s="22"/>
      <c r="EI956" s="22"/>
      <c r="EJ956" s="22"/>
      <c r="EK956" s="22"/>
      <c r="EL956" s="22"/>
      <c r="EM956" s="22"/>
      <c r="EN956" s="344"/>
      <c r="EO956" s="344"/>
      <c r="EP956" s="22"/>
      <c r="EQ956" s="22"/>
      <c r="ER956" s="22"/>
      <c r="ES956" s="344"/>
      <c r="ET956" s="349"/>
      <c r="EU956" s="344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T956" s="27"/>
      <c r="FU956" s="27"/>
    </row>
    <row r="957" spans="24:177" s="9" customFormat="1" x14ac:dyDescent="0.2">
      <c r="X957" s="50"/>
      <c r="AD957" s="22"/>
      <c r="AW957" s="8"/>
      <c r="AX957" s="108"/>
      <c r="AY957" s="102"/>
      <c r="AZ957" s="109"/>
      <c r="BA957" s="11"/>
      <c r="BB957" s="9" t="s">
        <v>559</v>
      </c>
      <c r="BC957" s="22">
        <v>213</v>
      </c>
      <c r="BD957" s="22"/>
      <c r="CA957" s="18"/>
      <c r="DH957" s="22"/>
      <c r="DI957" s="22"/>
      <c r="DJ957" s="22"/>
      <c r="DK957" s="344"/>
      <c r="DL957" s="361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22"/>
      <c r="EG957" s="22"/>
      <c r="EH957" s="22"/>
      <c r="EI957" s="22"/>
      <c r="EJ957" s="22"/>
      <c r="EK957" s="22"/>
      <c r="EL957" s="22"/>
      <c r="EM957" s="22"/>
      <c r="EN957" s="344"/>
      <c r="EO957" s="344"/>
      <c r="EP957" s="22"/>
      <c r="EQ957" s="22"/>
      <c r="ER957" s="22"/>
      <c r="ES957" s="344"/>
      <c r="ET957" s="349"/>
      <c r="EU957" s="344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T957" s="27"/>
      <c r="FU957" s="27"/>
    </row>
    <row r="958" spans="24:177" s="9" customFormat="1" x14ac:dyDescent="0.2">
      <c r="X958" s="50"/>
      <c r="AD958" s="22"/>
      <c r="AW958" s="8"/>
      <c r="AX958" s="108"/>
      <c r="AY958" s="102"/>
      <c r="AZ958" s="109"/>
      <c r="BA958" s="11"/>
      <c r="BB958" s="9" t="s">
        <v>559</v>
      </c>
      <c r="BC958" s="22">
        <v>214</v>
      </c>
      <c r="BD958" s="22"/>
      <c r="CA958" s="18"/>
      <c r="DH958" s="22"/>
      <c r="DI958" s="22"/>
      <c r="DJ958" s="22"/>
      <c r="DK958" s="344"/>
      <c r="DL958" s="361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22"/>
      <c r="EG958" s="22"/>
      <c r="EH958" s="22"/>
      <c r="EI958" s="22"/>
      <c r="EJ958" s="22"/>
      <c r="EK958" s="22"/>
      <c r="EL958" s="22"/>
      <c r="EM958" s="22"/>
      <c r="EN958" s="344"/>
      <c r="EO958" s="344"/>
      <c r="EP958" s="22"/>
      <c r="EQ958" s="22"/>
      <c r="ER958" s="22"/>
      <c r="ES958" s="344"/>
      <c r="ET958" s="349"/>
      <c r="EU958" s="344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T958" s="27"/>
      <c r="FU958" s="27"/>
    </row>
    <row r="959" spans="24:177" s="9" customFormat="1" x14ac:dyDescent="0.2">
      <c r="X959" s="50"/>
      <c r="AD959" s="22"/>
      <c r="AW959" s="8"/>
      <c r="AX959" s="108"/>
      <c r="AY959" s="102"/>
      <c r="AZ959" s="109"/>
      <c r="BA959" s="11"/>
      <c r="BB959" s="9" t="s">
        <v>559</v>
      </c>
      <c r="BC959" s="22">
        <v>215</v>
      </c>
      <c r="BD959" s="22"/>
      <c r="CA959" s="18"/>
      <c r="DH959" s="22"/>
      <c r="DI959" s="22"/>
      <c r="DJ959" s="22"/>
      <c r="DK959" s="344"/>
      <c r="DL959" s="361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22"/>
      <c r="EG959" s="22"/>
      <c r="EH959" s="22"/>
      <c r="EI959" s="22"/>
      <c r="EJ959" s="22"/>
      <c r="EK959" s="22"/>
      <c r="EL959" s="22"/>
      <c r="EM959" s="22"/>
      <c r="EN959" s="344"/>
      <c r="EO959" s="344"/>
      <c r="EP959" s="22"/>
      <c r="EQ959" s="22"/>
      <c r="ER959" s="22"/>
      <c r="ES959" s="344"/>
      <c r="ET959" s="349"/>
      <c r="EU959" s="344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T959" s="27"/>
      <c r="FU959" s="27"/>
    </row>
    <row r="960" spans="24:177" s="9" customFormat="1" x14ac:dyDescent="0.2">
      <c r="X960" s="50"/>
      <c r="AD960" s="22"/>
      <c r="AW960" s="8"/>
      <c r="AX960" s="108"/>
      <c r="AY960" s="102"/>
      <c r="AZ960" s="109"/>
      <c r="BA960" s="11"/>
      <c r="BB960" s="9" t="s">
        <v>559</v>
      </c>
      <c r="BC960" s="22">
        <v>216</v>
      </c>
      <c r="BD960" s="22"/>
      <c r="CA960" s="18"/>
      <c r="DH960" s="22"/>
      <c r="DI960" s="22"/>
      <c r="DJ960" s="22"/>
      <c r="DK960" s="344"/>
      <c r="DL960" s="361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22"/>
      <c r="EG960" s="22"/>
      <c r="EH960" s="22"/>
      <c r="EI960" s="22"/>
      <c r="EJ960" s="22"/>
      <c r="EK960" s="22"/>
      <c r="EL960" s="22"/>
      <c r="EM960" s="22"/>
      <c r="EN960" s="344"/>
      <c r="EO960" s="344"/>
      <c r="EP960" s="22"/>
      <c r="EQ960" s="22"/>
      <c r="ER960" s="22"/>
      <c r="ES960" s="344"/>
      <c r="ET960" s="349"/>
      <c r="EU960" s="344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T960" s="27"/>
      <c r="FU960" s="27"/>
    </row>
    <row r="961" spans="24:177" s="9" customFormat="1" x14ac:dyDescent="0.2">
      <c r="X961" s="50"/>
      <c r="AD961" s="22"/>
      <c r="AW961" s="8"/>
      <c r="AX961" s="108"/>
      <c r="AY961" s="102"/>
      <c r="AZ961" s="109"/>
      <c r="BA961" s="11"/>
      <c r="BB961" s="9" t="s">
        <v>559</v>
      </c>
      <c r="BC961" s="22">
        <v>217</v>
      </c>
      <c r="BD961" s="22"/>
      <c r="CA961" s="18"/>
      <c r="DH961" s="22"/>
      <c r="DI961" s="22"/>
      <c r="DJ961" s="22"/>
      <c r="DK961" s="344"/>
      <c r="DL961" s="361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22"/>
      <c r="EG961" s="22"/>
      <c r="EH961" s="22"/>
      <c r="EI961" s="22"/>
      <c r="EJ961" s="22"/>
      <c r="EK961" s="22"/>
      <c r="EL961" s="22"/>
      <c r="EM961" s="22"/>
      <c r="EN961" s="344"/>
      <c r="EO961" s="344"/>
      <c r="EP961" s="22"/>
      <c r="EQ961" s="22"/>
      <c r="ER961" s="22"/>
      <c r="ES961" s="344"/>
      <c r="ET961" s="349"/>
      <c r="EU961" s="344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T961" s="27"/>
      <c r="FU961" s="27"/>
    </row>
    <row r="962" spans="24:177" s="9" customFormat="1" x14ac:dyDescent="0.2">
      <c r="X962" s="50"/>
      <c r="AD962" s="22"/>
      <c r="AW962" s="8"/>
      <c r="AX962" s="108"/>
      <c r="AY962" s="102"/>
      <c r="AZ962" s="109"/>
      <c r="BA962" s="11"/>
      <c r="BB962" s="9" t="s">
        <v>559</v>
      </c>
      <c r="BC962" s="22">
        <v>218</v>
      </c>
      <c r="BD962" s="22"/>
      <c r="CA962" s="18"/>
      <c r="DH962" s="22"/>
      <c r="DI962" s="22"/>
      <c r="DJ962" s="22"/>
      <c r="DK962" s="344"/>
      <c r="DL962" s="361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22"/>
      <c r="EG962" s="22"/>
      <c r="EH962" s="22"/>
      <c r="EI962" s="22"/>
      <c r="EJ962" s="22"/>
      <c r="EK962" s="22"/>
      <c r="EL962" s="22"/>
      <c r="EM962" s="22"/>
      <c r="EN962" s="344"/>
      <c r="EO962" s="344"/>
      <c r="EP962" s="22"/>
      <c r="EQ962" s="22"/>
      <c r="ER962" s="22"/>
      <c r="ES962" s="344"/>
      <c r="ET962" s="349"/>
      <c r="EU962" s="344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T962" s="27"/>
      <c r="FU962" s="27"/>
    </row>
    <row r="963" spans="24:177" s="9" customFormat="1" x14ac:dyDescent="0.2">
      <c r="X963" s="50"/>
      <c r="AD963" s="22"/>
      <c r="AW963" s="8"/>
      <c r="AX963" s="108"/>
      <c r="AY963" s="102"/>
      <c r="AZ963" s="109"/>
      <c r="BA963" s="11"/>
      <c r="BB963" s="9" t="s">
        <v>559</v>
      </c>
      <c r="BC963" s="22">
        <v>219</v>
      </c>
      <c r="BD963" s="22"/>
      <c r="CA963" s="18"/>
      <c r="DH963" s="22"/>
      <c r="DI963" s="22"/>
      <c r="DJ963" s="22"/>
      <c r="DK963" s="344"/>
      <c r="DL963" s="361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22"/>
      <c r="EG963" s="22"/>
      <c r="EH963" s="22"/>
      <c r="EI963" s="22"/>
      <c r="EJ963" s="22"/>
      <c r="EK963" s="22"/>
      <c r="EL963" s="22"/>
      <c r="EM963" s="22"/>
      <c r="EN963" s="344"/>
      <c r="EO963" s="344"/>
      <c r="EP963" s="22"/>
      <c r="EQ963" s="22"/>
      <c r="ER963" s="22"/>
      <c r="ES963" s="344"/>
      <c r="ET963" s="349"/>
      <c r="EU963" s="344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T963" s="27"/>
      <c r="FU963" s="27"/>
    </row>
    <row r="964" spans="24:177" s="9" customFormat="1" x14ac:dyDescent="0.2">
      <c r="X964" s="50"/>
      <c r="AD964" s="22"/>
      <c r="AW964" s="8"/>
      <c r="AX964" s="108"/>
      <c r="AY964" s="102"/>
      <c r="AZ964" s="109"/>
      <c r="BA964" s="11"/>
      <c r="BB964" s="9" t="s">
        <v>559</v>
      </c>
      <c r="BC964" s="22">
        <v>220</v>
      </c>
      <c r="BD964" s="22"/>
      <c r="CA964" s="18"/>
      <c r="DH964" s="22"/>
      <c r="DI964" s="22"/>
      <c r="DJ964" s="22"/>
      <c r="DK964" s="344"/>
      <c r="DL964" s="361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22"/>
      <c r="EG964" s="22"/>
      <c r="EH964" s="22"/>
      <c r="EI964" s="22"/>
      <c r="EJ964" s="22"/>
      <c r="EK964" s="22"/>
      <c r="EL964" s="22"/>
      <c r="EM964" s="22"/>
      <c r="EN964" s="344"/>
      <c r="EO964" s="344"/>
      <c r="EP964" s="22"/>
      <c r="EQ964" s="22"/>
      <c r="ER964" s="22"/>
      <c r="ES964" s="344"/>
      <c r="ET964" s="349"/>
      <c r="EU964" s="344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T964" s="27"/>
      <c r="FU964" s="27"/>
    </row>
    <row r="965" spans="24:177" s="9" customFormat="1" x14ac:dyDescent="0.2">
      <c r="X965" s="50"/>
      <c r="AD965" s="22"/>
      <c r="AW965" s="8"/>
      <c r="AX965" s="108"/>
      <c r="AY965" s="102"/>
      <c r="AZ965" s="109"/>
      <c r="BA965" s="11"/>
      <c r="BB965" s="9" t="s">
        <v>559</v>
      </c>
      <c r="BC965" s="22">
        <v>221</v>
      </c>
      <c r="BD965" s="22"/>
      <c r="CA965" s="18"/>
      <c r="DH965" s="22"/>
      <c r="DI965" s="22"/>
      <c r="DJ965" s="22"/>
      <c r="DK965" s="344"/>
      <c r="DL965" s="361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22"/>
      <c r="EG965" s="22"/>
      <c r="EH965" s="22"/>
      <c r="EI965" s="22"/>
      <c r="EJ965" s="22"/>
      <c r="EK965" s="22"/>
      <c r="EL965" s="22"/>
      <c r="EM965" s="22"/>
      <c r="EN965" s="344"/>
      <c r="EO965" s="344"/>
      <c r="EP965" s="22"/>
      <c r="EQ965" s="22"/>
      <c r="ER965" s="22"/>
      <c r="ES965" s="344"/>
      <c r="ET965" s="349"/>
      <c r="EU965" s="344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T965" s="27"/>
      <c r="FU965" s="27"/>
    </row>
    <row r="966" spans="24:177" s="9" customFormat="1" x14ac:dyDescent="0.2">
      <c r="X966" s="50"/>
      <c r="AD966" s="22"/>
      <c r="AW966" s="8"/>
      <c r="AX966" s="108"/>
      <c r="AY966" s="102"/>
      <c r="AZ966" s="109"/>
      <c r="BA966" s="11"/>
      <c r="BB966" s="9" t="s">
        <v>559</v>
      </c>
      <c r="BC966" s="22">
        <v>222</v>
      </c>
      <c r="BD966" s="22"/>
      <c r="CA966" s="18"/>
      <c r="DH966" s="22"/>
      <c r="DI966" s="22"/>
      <c r="DJ966" s="22"/>
      <c r="DK966" s="344"/>
      <c r="DL966" s="361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22"/>
      <c r="EG966" s="22"/>
      <c r="EH966" s="22"/>
      <c r="EI966" s="22"/>
      <c r="EJ966" s="22"/>
      <c r="EK966" s="22"/>
      <c r="EL966" s="22"/>
      <c r="EM966" s="22"/>
      <c r="EN966" s="344"/>
      <c r="EO966" s="344"/>
      <c r="EP966" s="22"/>
      <c r="EQ966" s="22"/>
      <c r="ER966" s="22"/>
      <c r="ES966" s="344"/>
      <c r="ET966" s="349"/>
      <c r="EU966" s="344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T966" s="27"/>
      <c r="FU966" s="27"/>
    </row>
    <row r="967" spans="24:177" s="9" customFormat="1" x14ac:dyDescent="0.2">
      <c r="X967" s="50"/>
      <c r="AD967" s="22"/>
      <c r="AW967" s="8"/>
      <c r="AX967" s="108"/>
      <c r="AY967" s="102"/>
      <c r="AZ967" s="109"/>
      <c r="BA967" s="11"/>
      <c r="BB967" s="9" t="s">
        <v>559</v>
      </c>
      <c r="BC967" s="22">
        <v>223</v>
      </c>
      <c r="BD967" s="22"/>
      <c r="CA967" s="18"/>
      <c r="DH967" s="22"/>
      <c r="DI967" s="22"/>
      <c r="DJ967" s="22"/>
      <c r="DK967" s="344"/>
      <c r="DL967" s="361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22"/>
      <c r="EG967" s="22"/>
      <c r="EH967" s="22"/>
      <c r="EI967" s="22"/>
      <c r="EJ967" s="22"/>
      <c r="EK967" s="22"/>
      <c r="EL967" s="22"/>
      <c r="EM967" s="22"/>
      <c r="EN967" s="344"/>
      <c r="EO967" s="344"/>
      <c r="EP967" s="22"/>
      <c r="EQ967" s="22"/>
      <c r="ER967" s="22"/>
      <c r="ES967" s="344"/>
      <c r="ET967" s="349"/>
      <c r="EU967" s="344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T967" s="27"/>
      <c r="FU967" s="27"/>
    </row>
    <row r="968" spans="24:177" s="9" customFormat="1" x14ac:dyDescent="0.2">
      <c r="X968" s="50"/>
      <c r="AD968" s="22"/>
      <c r="AW968" s="8"/>
      <c r="AX968" s="108"/>
      <c r="AY968" s="102"/>
      <c r="AZ968" s="109"/>
      <c r="BA968" s="11"/>
      <c r="BB968" s="9" t="s">
        <v>559</v>
      </c>
      <c r="BC968" s="22">
        <v>224</v>
      </c>
      <c r="BD968" s="22"/>
      <c r="CA968" s="18"/>
      <c r="DH968" s="22"/>
      <c r="DI968" s="22"/>
      <c r="DJ968" s="22"/>
      <c r="DK968" s="344"/>
      <c r="DL968" s="361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22"/>
      <c r="EG968" s="22"/>
      <c r="EH968" s="22"/>
      <c r="EI968" s="22"/>
      <c r="EJ968" s="22"/>
      <c r="EK968" s="22"/>
      <c r="EL968" s="22"/>
      <c r="EM968" s="22"/>
      <c r="EN968" s="344"/>
      <c r="EO968" s="344"/>
      <c r="EP968" s="22"/>
      <c r="EQ968" s="22"/>
      <c r="ER968" s="22"/>
      <c r="ES968" s="344"/>
      <c r="ET968" s="349"/>
      <c r="EU968" s="344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T968" s="27"/>
      <c r="FU968" s="27"/>
    </row>
    <row r="969" spans="24:177" s="9" customFormat="1" x14ac:dyDescent="0.2">
      <c r="X969" s="50"/>
      <c r="AD969" s="22"/>
      <c r="AW969" s="8"/>
      <c r="AX969" s="108"/>
      <c r="AY969" s="102"/>
      <c r="AZ969" s="109"/>
      <c r="BA969" s="11"/>
      <c r="BB969" s="9" t="s">
        <v>559</v>
      </c>
      <c r="BC969" s="22">
        <v>225</v>
      </c>
      <c r="BD969" s="22"/>
      <c r="CA969" s="18"/>
      <c r="DH969" s="22"/>
      <c r="DI969" s="22"/>
      <c r="DJ969" s="22"/>
      <c r="DK969" s="344"/>
      <c r="DL969" s="361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22"/>
      <c r="EG969" s="22"/>
      <c r="EH969" s="22"/>
      <c r="EI969" s="22"/>
      <c r="EJ969" s="22"/>
      <c r="EK969" s="22"/>
      <c r="EL969" s="22"/>
      <c r="EM969" s="22"/>
      <c r="EN969" s="344"/>
      <c r="EO969" s="344"/>
      <c r="EP969" s="22"/>
      <c r="EQ969" s="22"/>
      <c r="ER969" s="22"/>
      <c r="ES969" s="344"/>
      <c r="ET969" s="349"/>
      <c r="EU969" s="344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T969" s="27"/>
      <c r="FU969" s="27"/>
    </row>
    <row r="970" spans="24:177" s="9" customFormat="1" x14ac:dyDescent="0.2">
      <c r="X970" s="50"/>
      <c r="AD970" s="22"/>
      <c r="AW970" s="8"/>
      <c r="AX970" s="108"/>
      <c r="AY970" s="102"/>
      <c r="AZ970" s="109"/>
      <c r="BA970" s="11"/>
      <c r="BB970" s="9" t="s">
        <v>559</v>
      </c>
      <c r="BC970" s="22">
        <v>226</v>
      </c>
      <c r="BD970" s="22"/>
      <c r="CA970" s="18"/>
      <c r="DH970" s="22"/>
      <c r="DI970" s="22"/>
      <c r="DJ970" s="22"/>
      <c r="DK970" s="344"/>
      <c r="DL970" s="361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22"/>
      <c r="EG970" s="22"/>
      <c r="EH970" s="22"/>
      <c r="EI970" s="22"/>
      <c r="EJ970" s="22"/>
      <c r="EK970" s="22"/>
      <c r="EL970" s="22"/>
      <c r="EM970" s="22"/>
      <c r="EN970" s="344"/>
      <c r="EO970" s="344"/>
      <c r="EP970" s="22"/>
      <c r="EQ970" s="22"/>
      <c r="ER970" s="22"/>
      <c r="ES970" s="344"/>
      <c r="ET970" s="349"/>
      <c r="EU970" s="344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T970" s="27"/>
      <c r="FU970" s="27"/>
    </row>
    <row r="971" spans="24:177" s="9" customFormat="1" x14ac:dyDescent="0.2">
      <c r="X971" s="50"/>
      <c r="AD971" s="22"/>
      <c r="AW971" s="8"/>
      <c r="AX971" s="108"/>
      <c r="AY971" s="102"/>
      <c r="AZ971" s="109"/>
      <c r="BA971" s="11"/>
      <c r="BB971" s="9" t="s">
        <v>559</v>
      </c>
      <c r="BC971" s="22">
        <v>227</v>
      </c>
      <c r="BD971" s="22"/>
      <c r="CA971" s="18"/>
      <c r="DH971" s="22"/>
      <c r="DI971" s="22"/>
      <c r="DJ971" s="22"/>
      <c r="DK971" s="344"/>
      <c r="DL971" s="361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22"/>
      <c r="EG971" s="22"/>
      <c r="EH971" s="22"/>
      <c r="EI971" s="22"/>
      <c r="EJ971" s="22"/>
      <c r="EK971" s="22"/>
      <c r="EL971" s="22"/>
      <c r="EM971" s="22"/>
      <c r="EN971" s="344"/>
      <c r="EO971" s="344"/>
      <c r="EP971" s="22"/>
      <c r="EQ971" s="22"/>
      <c r="ER971" s="22"/>
      <c r="ES971" s="344"/>
      <c r="ET971" s="349"/>
      <c r="EU971" s="344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T971" s="27"/>
      <c r="FU971" s="27"/>
    </row>
    <row r="972" spans="24:177" s="9" customFormat="1" x14ac:dyDescent="0.2">
      <c r="X972" s="50"/>
      <c r="AD972" s="22"/>
      <c r="AW972" s="8"/>
      <c r="AX972" s="108"/>
      <c r="AY972" s="102"/>
      <c r="AZ972" s="109"/>
      <c r="BA972" s="11"/>
      <c r="BB972" s="9" t="s">
        <v>559</v>
      </c>
      <c r="BC972" s="22">
        <v>228</v>
      </c>
      <c r="BD972" s="22"/>
      <c r="CA972" s="18"/>
      <c r="DH972" s="22"/>
      <c r="DI972" s="22"/>
      <c r="DJ972" s="22"/>
      <c r="DK972" s="344"/>
      <c r="DL972" s="361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22"/>
      <c r="EG972" s="22"/>
      <c r="EH972" s="22"/>
      <c r="EI972" s="22"/>
      <c r="EJ972" s="22"/>
      <c r="EK972" s="22"/>
      <c r="EL972" s="22"/>
      <c r="EM972" s="22"/>
      <c r="EN972" s="344"/>
      <c r="EO972" s="344"/>
      <c r="EP972" s="22"/>
      <c r="EQ972" s="22"/>
      <c r="ER972" s="22"/>
      <c r="ES972" s="344"/>
      <c r="ET972" s="349"/>
      <c r="EU972" s="344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T972" s="27"/>
      <c r="FU972" s="27"/>
    </row>
    <row r="973" spans="24:177" s="9" customFormat="1" x14ac:dyDescent="0.2">
      <c r="X973" s="50"/>
      <c r="AD973" s="22"/>
      <c r="AW973" s="8"/>
      <c r="AX973" s="108"/>
      <c r="AY973" s="102"/>
      <c r="AZ973" s="109"/>
      <c r="BA973" s="11"/>
      <c r="BB973" s="9" t="s">
        <v>559</v>
      </c>
      <c r="BC973" s="22">
        <v>229</v>
      </c>
      <c r="BD973" s="22"/>
      <c r="CA973" s="18"/>
      <c r="DH973" s="22"/>
      <c r="DI973" s="22"/>
      <c r="DJ973" s="22"/>
      <c r="DK973" s="344"/>
      <c r="DL973" s="361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22"/>
      <c r="EG973" s="22"/>
      <c r="EH973" s="22"/>
      <c r="EI973" s="22"/>
      <c r="EJ973" s="22"/>
      <c r="EK973" s="22"/>
      <c r="EL973" s="22"/>
      <c r="EM973" s="22"/>
      <c r="EN973" s="344"/>
      <c r="EO973" s="344"/>
      <c r="EP973" s="22"/>
      <c r="EQ973" s="22"/>
      <c r="ER973" s="22"/>
      <c r="ES973" s="344"/>
      <c r="ET973" s="349"/>
      <c r="EU973" s="344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T973" s="27"/>
      <c r="FU973" s="27"/>
    </row>
    <row r="974" spans="24:177" s="9" customFormat="1" x14ac:dyDescent="0.2">
      <c r="X974" s="50"/>
      <c r="AD974" s="22"/>
      <c r="AW974" s="8"/>
      <c r="AX974" s="108"/>
      <c r="AY974" s="102"/>
      <c r="AZ974" s="109"/>
      <c r="BA974" s="11"/>
      <c r="BB974" s="9" t="s">
        <v>559</v>
      </c>
      <c r="BC974" s="22">
        <v>230</v>
      </c>
      <c r="BD974" s="22"/>
      <c r="CA974" s="18"/>
      <c r="DH974" s="22"/>
      <c r="DI974" s="22"/>
      <c r="DJ974" s="22"/>
      <c r="DK974" s="344"/>
      <c r="DL974" s="361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22"/>
      <c r="EG974" s="22"/>
      <c r="EH974" s="22"/>
      <c r="EI974" s="22"/>
      <c r="EJ974" s="22"/>
      <c r="EK974" s="22"/>
      <c r="EL974" s="22"/>
      <c r="EM974" s="22"/>
      <c r="EN974" s="344"/>
      <c r="EO974" s="344"/>
      <c r="EP974" s="22"/>
      <c r="EQ974" s="22"/>
      <c r="ER974" s="22"/>
      <c r="ES974" s="344"/>
      <c r="ET974" s="349"/>
      <c r="EU974" s="344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T974" s="27"/>
      <c r="FU974" s="27"/>
    </row>
    <row r="975" spans="24:177" s="9" customFormat="1" x14ac:dyDescent="0.2">
      <c r="X975" s="50"/>
      <c r="AD975" s="22"/>
      <c r="AW975" s="8"/>
      <c r="AX975" s="108"/>
      <c r="AY975" s="102"/>
      <c r="AZ975" s="109"/>
      <c r="BA975" s="11"/>
      <c r="BB975" s="9" t="s">
        <v>559</v>
      </c>
      <c r="BC975" s="22">
        <v>231</v>
      </c>
      <c r="BD975" s="22"/>
      <c r="CA975" s="18"/>
      <c r="DH975" s="22"/>
      <c r="DI975" s="22"/>
      <c r="DJ975" s="22"/>
      <c r="DK975" s="344"/>
      <c r="DL975" s="361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22"/>
      <c r="EG975" s="22"/>
      <c r="EH975" s="22"/>
      <c r="EI975" s="22"/>
      <c r="EJ975" s="22"/>
      <c r="EK975" s="22"/>
      <c r="EL975" s="22"/>
      <c r="EM975" s="22"/>
      <c r="EN975" s="344"/>
      <c r="EO975" s="344"/>
      <c r="EP975" s="22"/>
      <c r="EQ975" s="22"/>
      <c r="ER975" s="22"/>
      <c r="ES975" s="344"/>
      <c r="ET975" s="349"/>
      <c r="EU975" s="344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T975" s="27"/>
      <c r="FU975" s="27"/>
    </row>
    <row r="976" spans="24:177" s="9" customFormat="1" x14ac:dyDescent="0.2">
      <c r="X976" s="50"/>
      <c r="AD976" s="22"/>
      <c r="AW976" s="8"/>
      <c r="AX976" s="108"/>
      <c r="AY976" s="102"/>
      <c r="AZ976" s="109"/>
      <c r="BA976" s="11"/>
      <c r="BB976" s="9" t="s">
        <v>559</v>
      </c>
      <c r="BC976" s="22">
        <v>232</v>
      </c>
      <c r="BD976" s="22"/>
      <c r="CA976" s="18"/>
      <c r="DH976" s="22"/>
      <c r="DI976" s="22"/>
      <c r="DJ976" s="22"/>
      <c r="DK976" s="344"/>
      <c r="DL976" s="361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22"/>
      <c r="EG976" s="22"/>
      <c r="EH976" s="22"/>
      <c r="EI976" s="22"/>
      <c r="EJ976" s="22"/>
      <c r="EK976" s="22"/>
      <c r="EL976" s="22"/>
      <c r="EM976" s="22"/>
      <c r="EN976" s="344"/>
      <c r="EO976" s="344"/>
      <c r="EP976" s="22"/>
      <c r="EQ976" s="22"/>
      <c r="ER976" s="22"/>
      <c r="ES976" s="344"/>
      <c r="ET976" s="349"/>
      <c r="EU976" s="344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T976" s="27"/>
      <c r="FU976" s="27"/>
    </row>
    <row r="977" spans="24:177" s="9" customFormat="1" x14ac:dyDescent="0.2">
      <c r="X977" s="50"/>
      <c r="AD977" s="22"/>
      <c r="AW977" s="8"/>
      <c r="AX977" s="108"/>
      <c r="AY977" s="102"/>
      <c r="AZ977" s="109"/>
      <c r="BA977" s="11"/>
      <c r="BB977" s="9" t="s">
        <v>559</v>
      </c>
      <c r="BC977" s="22">
        <v>233</v>
      </c>
      <c r="BD977" s="22"/>
      <c r="CA977" s="18"/>
      <c r="DH977" s="22"/>
      <c r="DI977" s="22"/>
      <c r="DJ977" s="22"/>
      <c r="DK977" s="344"/>
      <c r="DL977" s="361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22"/>
      <c r="EG977" s="22"/>
      <c r="EH977" s="22"/>
      <c r="EI977" s="22"/>
      <c r="EJ977" s="22"/>
      <c r="EK977" s="22"/>
      <c r="EL977" s="22"/>
      <c r="EM977" s="22"/>
      <c r="EN977" s="344"/>
      <c r="EO977" s="344"/>
      <c r="EP977" s="22"/>
      <c r="EQ977" s="22"/>
      <c r="ER977" s="22"/>
      <c r="ES977" s="344"/>
      <c r="ET977" s="349"/>
      <c r="EU977" s="344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T977" s="27"/>
      <c r="FU977" s="27"/>
    </row>
    <row r="978" spans="24:177" s="9" customFormat="1" x14ac:dyDescent="0.2">
      <c r="X978" s="50"/>
      <c r="AD978" s="22"/>
      <c r="AW978" s="8"/>
      <c r="AX978" s="108"/>
      <c r="AY978" s="102"/>
      <c r="AZ978" s="109"/>
      <c r="BA978" s="11"/>
      <c r="BB978" s="9" t="s">
        <v>559</v>
      </c>
      <c r="BC978" s="22">
        <v>234</v>
      </c>
      <c r="BD978" s="22"/>
      <c r="CA978" s="18"/>
      <c r="DH978" s="22"/>
      <c r="DI978" s="22"/>
      <c r="DJ978" s="22"/>
      <c r="DK978" s="344"/>
      <c r="DL978" s="361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22"/>
      <c r="EG978" s="22"/>
      <c r="EH978" s="22"/>
      <c r="EI978" s="22"/>
      <c r="EJ978" s="22"/>
      <c r="EK978" s="22"/>
      <c r="EL978" s="22"/>
      <c r="EM978" s="22"/>
      <c r="EN978" s="344"/>
      <c r="EO978" s="344"/>
      <c r="EP978" s="22"/>
      <c r="EQ978" s="22"/>
      <c r="ER978" s="22"/>
      <c r="ES978" s="344"/>
      <c r="ET978" s="349"/>
      <c r="EU978" s="344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T978" s="27"/>
      <c r="FU978" s="27"/>
    </row>
    <row r="979" spans="24:177" s="9" customFormat="1" x14ac:dyDescent="0.2">
      <c r="X979" s="50"/>
      <c r="AD979" s="22"/>
      <c r="AW979" s="8"/>
      <c r="AX979" s="108"/>
      <c r="AY979" s="102"/>
      <c r="AZ979" s="109"/>
      <c r="BA979" s="11"/>
      <c r="BB979" s="9" t="s">
        <v>559</v>
      </c>
      <c r="BC979" s="22">
        <v>235</v>
      </c>
      <c r="BD979" s="22"/>
      <c r="CA979" s="18"/>
      <c r="DH979" s="22"/>
      <c r="DI979" s="22"/>
      <c r="DJ979" s="22"/>
      <c r="DK979" s="344"/>
      <c r="DL979" s="361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22"/>
      <c r="EG979" s="22"/>
      <c r="EH979" s="22"/>
      <c r="EI979" s="22"/>
      <c r="EJ979" s="22"/>
      <c r="EK979" s="22"/>
      <c r="EL979" s="22"/>
      <c r="EM979" s="22"/>
      <c r="EN979" s="344"/>
      <c r="EO979" s="344"/>
      <c r="EP979" s="22"/>
      <c r="EQ979" s="22"/>
      <c r="ER979" s="22"/>
      <c r="ES979" s="344"/>
      <c r="ET979" s="349"/>
      <c r="EU979" s="344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T979" s="27"/>
      <c r="FU979" s="27"/>
    </row>
    <row r="980" spans="24:177" s="9" customFormat="1" x14ac:dyDescent="0.2">
      <c r="X980" s="50"/>
      <c r="AD980" s="22"/>
      <c r="AW980" s="8"/>
      <c r="AX980" s="108"/>
      <c r="AY980" s="102"/>
      <c r="AZ980" s="109"/>
      <c r="BA980" s="11"/>
      <c r="BB980" s="9" t="s">
        <v>559</v>
      </c>
      <c r="BC980" s="22">
        <v>236</v>
      </c>
      <c r="BD980" s="22"/>
      <c r="CA980" s="18"/>
      <c r="DH980" s="22"/>
      <c r="DI980" s="22"/>
      <c r="DJ980" s="22"/>
      <c r="DK980" s="344"/>
      <c r="DL980" s="361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22"/>
      <c r="EG980" s="22"/>
      <c r="EH980" s="22"/>
      <c r="EI980" s="22"/>
      <c r="EJ980" s="22"/>
      <c r="EK980" s="22"/>
      <c r="EL980" s="22"/>
      <c r="EM980" s="22"/>
      <c r="EN980" s="344"/>
      <c r="EO980" s="344"/>
      <c r="EP980" s="22"/>
      <c r="EQ980" s="22"/>
      <c r="ER980" s="22"/>
      <c r="ES980" s="344"/>
      <c r="ET980" s="349"/>
      <c r="EU980" s="344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T980" s="27"/>
      <c r="FU980" s="27"/>
    </row>
    <row r="981" spans="24:177" s="9" customFormat="1" x14ac:dyDescent="0.2">
      <c r="X981" s="50"/>
      <c r="AD981" s="22"/>
      <c r="AW981" s="8"/>
      <c r="AX981" s="108"/>
      <c r="AY981" s="102"/>
      <c r="AZ981" s="109"/>
      <c r="BA981" s="11"/>
      <c r="BB981" s="9" t="s">
        <v>559</v>
      </c>
      <c r="BC981" s="22">
        <v>237</v>
      </c>
      <c r="BD981" s="22"/>
      <c r="CA981" s="18"/>
      <c r="DH981" s="22"/>
      <c r="DI981" s="22"/>
      <c r="DJ981" s="22"/>
      <c r="DK981" s="344"/>
      <c r="DL981" s="361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22"/>
      <c r="EG981" s="22"/>
      <c r="EH981" s="22"/>
      <c r="EI981" s="22"/>
      <c r="EJ981" s="22"/>
      <c r="EK981" s="22"/>
      <c r="EL981" s="22"/>
      <c r="EM981" s="22"/>
      <c r="EN981" s="344"/>
      <c r="EO981" s="344"/>
      <c r="EP981" s="22"/>
      <c r="EQ981" s="22"/>
      <c r="ER981" s="22"/>
      <c r="ES981" s="344"/>
      <c r="ET981" s="349"/>
      <c r="EU981" s="344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T981" s="27"/>
      <c r="FU981" s="27"/>
    </row>
    <row r="982" spans="24:177" s="9" customFormat="1" x14ac:dyDescent="0.2">
      <c r="X982" s="50"/>
      <c r="AD982" s="22"/>
      <c r="AW982" s="8"/>
      <c r="AX982" s="108"/>
      <c r="AY982" s="102"/>
      <c r="AZ982" s="109"/>
      <c r="BA982" s="11"/>
      <c r="BB982" s="9" t="s">
        <v>559</v>
      </c>
      <c r="BC982" s="22">
        <v>238</v>
      </c>
      <c r="BD982" s="22"/>
      <c r="CA982" s="18"/>
      <c r="DH982" s="22"/>
      <c r="DI982" s="22"/>
      <c r="DJ982" s="22"/>
      <c r="DK982" s="344"/>
      <c r="DL982" s="361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22"/>
      <c r="EG982" s="22"/>
      <c r="EH982" s="22"/>
      <c r="EI982" s="22"/>
      <c r="EJ982" s="22"/>
      <c r="EK982" s="22"/>
      <c r="EL982" s="22"/>
      <c r="EM982" s="22"/>
      <c r="EN982" s="344"/>
      <c r="EO982" s="344"/>
      <c r="EP982" s="22"/>
      <c r="EQ982" s="22"/>
      <c r="ER982" s="22"/>
      <c r="ES982" s="344"/>
      <c r="ET982" s="349"/>
      <c r="EU982" s="344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T982" s="27"/>
      <c r="FU982" s="27"/>
    </row>
    <row r="983" spans="24:177" s="9" customFormat="1" x14ac:dyDescent="0.2">
      <c r="X983" s="50"/>
      <c r="AD983" s="22"/>
      <c r="AW983" s="8"/>
      <c r="AX983" s="108"/>
      <c r="AY983" s="102"/>
      <c r="AZ983" s="109"/>
      <c r="BA983" s="11"/>
      <c r="BB983" s="9" t="s">
        <v>559</v>
      </c>
      <c r="BC983" s="22">
        <v>239</v>
      </c>
      <c r="BD983" s="22"/>
      <c r="CA983" s="18"/>
      <c r="DH983" s="22"/>
      <c r="DI983" s="22"/>
      <c r="DJ983" s="22"/>
      <c r="DK983" s="344"/>
      <c r="DL983" s="361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22"/>
      <c r="EG983" s="22"/>
      <c r="EH983" s="22"/>
      <c r="EI983" s="22"/>
      <c r="EJ983" s="22"/>
      <c r="EK983" s="22"/>
      <c r="EL983" s="22"/>
      <c r="EM983" s="22"/>
      <c r="EN983" s="344"/>
      <c r="EO983" s="344"/>
      <c r="EP983" s="22"/>
      <c r="EQ983" s="22"/>
      <c r="ER983" s="22"/>
      <c r="ES983" s="344"/>
      <c r="ET983" s="349"/>
      <c r="EU983" s="344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T983" s="27"/>
      <c r="FU983" s="27"/>
    </row>
    <row r="984" spans="24:177" s="9" customFormat="1" x14ac:dyDescent="0.2">
      <c r="X984" s="50"/>
      <c r="AD984" s="22"/>
      <c r="AW984" s="8"/>
      <c r="AX984" s="108"/>
      <c r="AY984" s="102"/>
      <c r="AZ984" s="109"/>
      <c r="BA984" s="11"/>
      <c r="BB984" s="9" t="s">
        <v>559</v>
      </c>
      <c r="BC984" s="22">
        <v>240</v>
      </c>
      <c r="BD984" s="22"/>
      <c r="CA984" s="18"/>
      <c r="DH984" s="22"/>
      <c r="DI984" s="22"/>
      <c r="DJ984" s="22"/>
      <c r="DK984" s="344"/>
      <c r="DL984" s="361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22"/>
      <c r="EG984" s="22"/>
      <c r="EH984" s="22"/>
      <c r="EI984" s="22"/>
      <c r="EJ984" s="22"/>
      <c r="EK984" s="22"/>
      <c r="EL984" s="22"/>
      <c r="EM984" s="22"/>
      <c r="EN984" s="344"/>
      <c r="EO984" s="344"/>
      <c r="EP984" s="22"/>
      <c r="EQ984" s="22"/>
      <c r="ER984" s="22"/>
      <c r="ES984" s="344"/>
      <c r="ET984" s="349"/>
      <c r="EU984" s="344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T984" s="27"/>
      <c r="FU984" s="27"/>
    </row>
    <row r="985" spans="24:177" s="9" customFormat="1" x14ac:dyDescent="0.2">
      <c r="X985" s="50"/>
      <c r="AD985" s="22"/>
      <c r="AW985" s="8"/>
      <c r="AX985" s="108"/>
      <c r="AY985" s="102"/>
      <c r="AZ985" s="109"/>
      <c r="BA985" s="11"/>
      <c r="BB985" s="9" t="s">
        <v>559</v>
      </c>
      <c r="BC985" s="22">
        <v>241</v>
      </c>
      <c r="BD985" s="22"/>
      <c r="CA985" s="18"/>
      <c r="DH985" s="22"/>
      <c r="DI985" s="22"/>
      <c r="DJ985" s="22"/>
      <c r="DK985" s="344"/>
      <c r="DL985" s="361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22"/>
      <c r="EG985" s="22"/>
      <c r="EH985" s="22"/>
      <c r="EI985" s="22"/>
      <c r="EJ985" s="22"/>
      <c r="EK985" s="22"/>
      <c r="EL985" s="22"/>
      <c r="EM985" s="22"/>
      <c r="EN985" s="344"/>
      <c r="EO985" s="344"/>
      <c r="EP985" s="22"/>
      <c r="EQ985" s="22"/>
      <c r="ER985" s="22"/>
      <c r="ES985" s="344"/>
      <c r="ET985" s="349"/>
      <c r="EU985" s="344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T985" s="27"/>
      <c r="FU985" s="27"/>
    </row>
    <row r="986" spans="24:177" s="9" customFormat="1" x14ac:dyDescent="0.2">
      <c r="X986" s="50"/>
      <c r="AD986" s="22"/>
      <c r="AW986" s="8"/>
      <c r="AX986" s="108"/>
      <c r="AY986" s="102"/>
      <c r="AZ986" s="109"/>
      <c r="BA986" s="11"/>
      <c r="BB986" s="9" t="s">
        <v>559</v>
      </c>
      <c r="BC986" s="22">
        <v>242</v>
      </c>
      <c r="BD986" s="22"/>
      <c r="CA986" s="18"/>
      <c r="DH986" s="22"/>
      <c r="DI986" s="22"/>
      <c r="DJ986" s="22"/>
      <c r="DK986" s="344"/>
      <c r="DL986" s="361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22"/>
      <c r="EG986" s="22"/>
      <c r="EH986" s="22"/>
      <c r="EI986" s="22"/>
      <c r="EJ986" s="22"/>
      <c r="EK986" s="22"/>
      <c r="EL986" s="22"/>
      <c r="EM986" s="22"/>
      <c r="EN986" s="344"/>
      <c r="EO986" s="344"/>
      <c r="EP986" s="22"/>
      <c r="EQ986" s="22"/>
      <c r="ER986" s="22"/>
      <c r="ES986" s="344"/>
      <c r="ET986" s="349"/>
      <c r="EU986" s="344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T986" s="27"/>
      <c r="FU986" s="27"/>
    </row>
    <row r="987" spans="24:177" s="9" customFormat="1" x14ac:dyDescent="0.2">
      <c r="X987" s="50"/>
      <c r="AD987" s="22"/>
      <c r="AW987" s="8"/>
      <c r="AX987" s="108"/>
      <c r="AY987" s="102"/>
      <c r="AZ987" s="109"/>
      <c r="BA987" s="11"/>
      <c r="BB987" s="9" t="s">
        <v>559</v>
      </c>
      <c r="BC987" s="22">
        <v>243</v>
      </c>
      <c r="BD987" s="22"/>
      <c r="CA987" s="18"/>
      <c r="DH987" s="22"/>
      <c r="DI987" s="22"/>
      <c r="DJ987" s="22"/>
      <c r="DK987" s="344"/>
      <c r="DL987" s="361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22"/>
      <c r="EG987" s="22"/>
      <c r="EH987" s="22"/>
      <c r="EI987" s="22"/>
      <c r="EJ987" s="22"/>
      <c r="EK987" s="22"/>
      <c r="EL987" s="22"/>
      <c r="EM987" s="22"/>
      <c r="EN987" s="344"/>
      <c r="EO987" s="344"/>
      <c r="EP987" s="22"/>
      <c r="EQ987" s="22"/>
      <c r="ER987" s="22"/>
      <c r="ES987" s="344"/>
      <c r="ET987" s="349"/>
      <c r="EU987" s="344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T987" s="27"/>
      <c r="FU987" s="27"/>
    </row>
    <row r="988" spans="24:177" s="9" customFormat="1" x14ac:dyDescent="0.2">
      <c r="X988" s="50"/>
      <c r="AD988" s="22"/>
      <c r="AW988" s="8"/>
      <c r="AX988" s="108"/>
      <c r="AY988" s="102"/>
      <c r="AZ988" s="109"/>
      <c r="BA988" s="11"/>
      <c r="BB988" s="9" t="s">
        <v>559</v>
      </c>
      <c r="BC988" s="22">
        <v>244</v>
      </c>
      <c r="BD988" s="22"/>
      <c r="CA988" s="18"/>
      <c r="DH988" s="22"/>
      <c r="DI988" s="22"/>
      <c r="DJ988" s="22"/>
      <c r="DK988" s="344"/>
      <c r="DL988" s="361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22"/>
      <c r="EG988" s="22"/>
      <c r="EH988" s="22"/>
      <c r="EI988" s="22"/>
      <c r="EJ988" s="22"/>
      <c r="EK988" s="22"/>
      <c r="EL988" s="22"/>
      <c r="EM988" s="22"/>
      <c r="EN988" s="344"/>
      <c r="EO988" s="344"/>
      <c r="EP988" s="22"/>
      <c r="EQ988" s="22"/>
      <c r="ER988" s="22"/>
      <c r="ES988" s="344"/>
      <c r="ET988" s="349"/>
      <c r="EU988" s="344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T988" s="27"/>
      <c r="FU988" s="27"/>
    </row>
    <row r="989" spans="24:177" s="9" customFormat="1" x14ac:dyDescent="0.2">
      <c r="X989" s="50"/>
      <c r="AD989" s="22"/>
      <c r="AW989" s="8"/>
      <c r="AX989" s="108"/>
      <c r="AY989" s="102"/>
      <c r="AZ989" s="109"/>
      <c r="BA989" s="11"/>
      <c r="BB989" s="9" t="s">
        <v>559</v>
      </c>
      <c r="BC989" s="22">
        <v>245</v>
      </c>
      <c r="BD989" s="22"/>
      <c r="CA989" s="18"/>
      <c r="DH989" s="22"/>
      <c r="DI989" s="22"/>
      <c r="DJ989" s="22"/>
      <c r="DK989" s="344"/>
      <c r="DL989" s="361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22"/>
      <c r="EG989" s="22"/>
      <c r="EH989" s="22"/>
      <c r="EI989" s="22"/>
      <c r="EJ989" s="22"/>
      <c r="EK989" s="22"/>
      <c r="EL989" s="22"/>
      <c r="EM989" s="22"/>
      <c r="EN989" s="344"/>
      <c r="EO989" s="344"/>
      <c r="EP989" s="22"/>
      <c r="EQ989" s="22"/>
      <c r="ER989" s="22"/>
      <c r="ES989" s="344"/>
      <c r="ET989" s="349"/>
      <c r="EU989" s="344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T989" s="27"/>
      <c r="FU989" s="27"/>
    </row>
    <row r="990" spans="24:177" s="9" customFormat="1" x14ac:dyDescent="0.2">
      <c r="X990" s="50"/>
      <c r="AD990" s="22"/>
      <c r="AW990" s="8"/>
      <c r="AX990" s="108"/>
      <c r="AY990" s="102"/>
      <c r="AZ990" s="109"/>
      <c r="BA990" s="11"/>
      <c r="BB990" s="9" t="s">
        <v>559</v>
      </c>
      <c r="BC990" s="22">
        <v>246</v>
      </c>
      <c r="BD990" s="22"/>
      <c r="CA990" s="18"/>
      <c r="DH990" s="22"/>
      <c r="DI990" s="22"/>
      <c r="DJ990" s="22"/>
      <c r="DK990" s="344"/>
      <c r="DL990" s="361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22"/>
      <c r="EG990" s="22"/>
      <c r="EH990" s="22"/>
      <c r="EI990" s="22"/>
      <c r="EJ990" s="22"/>
      <c r="EK990" s="22"/>
      <c r="EL990" s="22"/>
      <c r="EM990" s="22"/>
      <c r="EN990" s="344"/>
      <c r="EO990" s="344"/>
      <c r="EP990" s="22"/>
      <c r="EQ990" s="22"/>
      <c r="ER990" s="22"/>
      <c r="ES990" s="344"/>
      <c r="ET990" s="349"/>
      <c r="EU990" s="344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T990" s="27"/>
      <c r="FU990" s="27"/>
    </row>
    <row r="991" spans="24:177" s="9" customFormat="1" x14ac:dyDescent="0.2">
      <c r="X991" s="50"/>
      <c r="AD991" s="22"/>
      <c r="AW991" s="8"/>
      <c r="AX991" s="108"/>
      <c r="AY991" s="102"/>
      <c r="AZ991" s="109"/>
      <c r="BA991" s="11"/>
      <c r="BB991" s="9" t="s">
        <v>559</v>
      </c>
      <c r="BC991" s="22">
        <v>247</v>
      </c>
      <c r="BD991" s="22"/>
      <c r="CA991" s="18"/>
      <c r="DH991" s="22"/>
      <c r="DI991" s="22"/>
      <c r="DJ991" s="22"/>
      <c r="DK991" s="344"/>
      <c r="DL991" s="361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22"/>
      <c r="EG991" s="22"/>
      <c r="EH991" s="22"/>
      <c r="EI991" s="22"/>
      <c r="EJ991" s="22"/>
      <c r="EK991" s="22"/>
      <c r="EL991" s="22"/>
      <c r="EM991" s="22"/>
      <c r="EN991" s="344"/>
      <c r="EO991" s="344"/>
      <c r="EP991" s="22"/>
      <c r="EQ991" s="22"/>
      <c r="ER991" s="22"/>
      <c r="ES991" s="344"/>
      <c r="ET991" s="349"/>
      <c r="EU991" s="344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T991" s="27"/>
      <c r="FU991" s="27"/>
    </row>
    <row r="992" spans="24:177" s="9" customFormat="1" x14ac:dyDescent="0.2">
      <c r="X992" s="50"/>
      <c r="AD992" s="22"/>
      <c r="AW992" s="8"/>
      <c r="AX992" s="108"/>
      <c r="AY992" s="102"/>
      <c r="AZ992" s="109"/>
      <c r="BA992" s="11"/>
      <c r="BB992" s="9" t="s">
        <v>559</v>
      </c>
      <c r="BC992" s="22">
        <v>248</v>
      </c>
      <c r="BD992" s="22"/>
      <c r="CA992" s="18"/>
      <c r="DH992" s="22"/>
      <c r="DI992" s="22"/>
      <c r="DJ992" s="22"/>
      <c r="DK992" s="344"/>
      <c r="DL992" s="361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22"/>
      <c r="EG992" s="22"/>
      <c r="EH992" s="22"/>
      <c r="EI992" s="22"/>
      <c r="EJ992" s="22"/>
      <c r="EK992" s="22"/>
      <c r="EL992" s="22"/>
      <c r="EM992" s="22"/>
      <c r="EN992" s="344"/>
      <c r="EO992" s="344"/>
      <c r="EP992" s="22"/>
      <c r="EQ992" s="22"/>
      <c r="ER992" s="22"/>
      <c r="ES992" s="344"/>
      <c r="ET992" s="349"/>
      <c r="EU992" s="344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T992" s="27"/>
      <c r="FU992" s="27"/>
    </row>
    <row r="993" spans="24:177" s="9" customFormat="1" x14ac:dyDescent="0.2">
      <c r="X993" s="50"/>
      <c r="AD993" s="22"/>
      <c r="AW993" s="8"/>
      <c r="AX993" s="108"/>
      <c r="AY993" s="102"/>
      <c r="AZ993" s="109"/>
      <c r="BA993" s="11"/>
      <c r="BB993" s="9" t="s">
        <v>559</v>
      </c>
      <c r="BC993" s="22">
        <v>249</v>
      </c>
      <c r="BD993" s="22"/>
      <c r="CA993" s="18"/>
      <c r="DH993" s="22"/>
      <c r="DI993" s="22"/>
      <c r="DJ993" s="22"/>
      <c r="DK993" s="344"/>
      <c r="DL993" s="361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22"/>
      <c r="EG993" s="22"/>
      <c r="EH993" s="22"/>
      <c r="EI993" s="22"/>
      <c r="EJ993" s="22"/>
      <c r="EK993" s="22"/>
      <c r="EL993" s="22"/>
      <c r="EM993" s="22"/>
      <c r="EN993" s="344"/>
      <c r="EO993" s="344"/>
      <c r="EP993" s="22"/>
      <c r="EQ993" s="22"/>
      <c r="ER993" s="22"/>
      <c r="ES993" s="344"/>
      <c r="ET993" s="349"/>
      <c r="EU993" s="344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T993" s="27"/>
      <c r="FU993" s="27"/>
    </row>
    <row r="994" spans="24:177" s="9" customFormat="1" x14ac:dyDescent="0.2">
      <c r="X994" s="50"/>
      <c r="AD994" s="22"/>
      <c r="AW994" s="8"/>
      <c r="AX994" s="108"/>
      <c r="AY994" s="102"/>
      <c r="AZ994" s="109"/>
      <c r="BA994" s="11"/>
      <c r="BB994" s="9" t="s">
        <v>559</v>
      </c>
      <c r="BC994" s="22">
        <v>250</v>
      </c>
      <c r="BD994" s="22"/>
      <c r="CA994" s="18"/>
      <c r="DH994" s="22"/>
      <c r="DI994" s="22"/>
      <c r="DJ994" s="22"/>
      <c r="DK994" s="344"/>
      <c r="DL994" s="361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22"/>
      <c r="EG994" s="22"/>
      <c r="EH994" s="22"/>
      <c r="EI994" s="22"/>
      <c r="EJ994" s="22"/>
      <c r="EK994" s="22"/>
      <c r="EL994" s="22"/>
      <c r="EM994" s="22"/>
      <c r="EN994" s="344"/>
      <c r="EO994" s="344"/>
      <c r="EP994" s="22"/>
      <c r="EQ994" s="22"/>
      <c r="ER994" s="22"/>
      <c r="ES994" s="344"/>
      <c r="ET994" s="349"/>
      <c r="EU994" s="344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T994" s="27"/>
      <c r="FU994" s="27"/>
    </row>
    <row r="995" spans="24:177" s="9" customFormat="1" x14ac:dyDescent="0.2">
      <c r="X995" s="50"/>
      <c r="AD995" s="22"/>
      <c r="AW995" s="8"/>
      <c r="AX995" s="108"/>
      <c r="AY995" s="102"/>
      <c r="AZ995" s="109"/>
      <c r="BA995" s="11"/>
      <c r="BB995" s="9" t="s">
        <v>559</v>
      </c>
      <c r="BC995" s="22">
        <v>251</v>
      </c>
      <c r="BD995" s="22"/>
      <c r="CA995" s="18"/>
      <c r="DH995" s="22"/>
      <c r="DI995" s="22"/>
      <c r="DJ995" s="22"/>
      <c r="DK995" s="344"/>
      <c r="DL995" s="361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22"/>
      <c r="EG995" s="22"/>
      <c r="EH995" s="22"/>
      <c r="EI995" s="22"/>
      <c r="EJ995" s="22"/>
      <c r="EK995" s="22"/>
      <c r="EL995" s="22"/>
      <c r="EM995" s="22"/>
      <c r="EN995" s="344"/>
      <c r="EO995" s="344"/>
      <c r="EP995" s="22"/>
      <c r="EQ995" s="22"/>
      <c r="ER995" s="22"/>
      <c r="ES995" s="344"/>
      <c r="ET995" s="349"/>
      <c r="EU995" s="344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T995" s="27"/>
      <c r="FU995" s="27"/>
    </row>
    <row r="996" spans="24:177" s="9" customFormat="1" x14ac:dyDescent="0.2">
      <c r="X996" s="50"/>
      <c r="AD996" s="22"/>
      <c r="AW996" s="8"/>
      <c r="AX996" s="108"/>
      <c r="AY996" s="102"/>
      <c r="AZ996" s="109"/>
      <c r="BA996" s="11"/>
      <c r="BB996" s="9" t="s">
        <v>559</v>
      </c>
      <c r="BC996" s="22">
        <v>252</v>
      </c>
      <c r="BD996" s="22"/>
      <c r="CA996" s="18"/>
      <c r="DH996" s="22"/>
      <c r="DI996" s="22"/>
      <c r="DJ996" s="22"/>
      <c r="DK996" s="344"/>
      <c r="DL996" s="361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22"/>
      <c r="EG996" s="22"/>
      <c r="EH996" s="22"/>
      <c r="EI996" s="22"/>
      <c r="EJ996" s="22"/>
      <c r="EK996" s="22"/>
      <c r="EL996" s="22"/>
      <c r="EM996" s="22"/>
      <c r="EN996" s="344"/>
      <c r="EO996" s="344"/>
      <c r="EP996" s="22"/>
      <c r="EQ996" s="22"/>
      <c r="ER996" s="22"/>
      <c r="ES996" s="344"/>
      <c r="ET996" s="349"/>
      <c r="EU996" s="344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T996" s="27"/>
      <c r="FU996" s="27"/>
    </row>
    <row r="997" spans="24:177" s="9" customFormat="1" x14ac:dyDescent="0.2">
      <c r="X997" s="50"/>
      <c r="AD997" s="22"/>
      <c r="AW997" s="8"/>
      <c r="AX997" s="108"/>
      <c r="AY997" s="102"/>
      <c r="AZ997" s="109"/>
      <c r="BA997" s="11"/>
      <c r="BB997" s="9" t="s">
        <v>559</v>
      </c>
      <c r="BC997" s="22">
        <v>253</v>
      </c>
      <c r="BD997" s="22"/>
      <c r="CA997" s="18"/>
      <c r="DH997" s="22"/>
      <c r="DI997" s="22"/>
      <c r="DJ997" s="22"/>
      <c r="DK997" s="344"/>
      <c r="DL997" s="361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22"/>
      <c r="EG997" s="22"/>
      <c r="EH997" s="22"/>
      <c r="EI997" s="22"/>
      <c r="EJ997" s="22"/>
      <c r="EK997" s="22"/>
      <c r="EL997" s="22"/>
      <c r="EM997" s="22"/>
      <c r="EN997" s="344"/>
      <c r="EO997" s="344"/>
      <c r="EP997" s="22"/>
      <c r="EQ997" s="22"/>
      <c r="ER997" s="22"/>
      <c r="ES997" s="344"/>
      <c r="ET997" s="349"/>
      <c r="EU997" s="344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T997" s="27"/>
      <c r="FU997" s="27"/>
    </row>
    <row r="998" spans="24:177" s="9" customFormat="1" x14ac:dyDescent="0.2">
      <c r="X998" s="50"/>
      <c r="AD998" s="22"/>
      <c r="AW998" s="8"/>
      <c r="AX998" s="108"/>
      <c r="AY998" s="102"/>
      <c r="AZ998" s="109"/>
      <c r="BA998" s="11"/>
      <c r="BB998" s="9" t="s">
        <v>559</v>
      </c>
      <c r="BC998" s="22">
        <v>254</v>
      </c>
      <c r="BD998" s="22"/>
      <c r="CA998" s="18"/>
      <c r="DH998" s="22"/>
      <c r="DI998" s="22"/>
      <c r="DJ998" s="22"/>
      <c r="DK998" s="344"/>
      <c r="DL998" s="361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22"/>
      <c r="EG998" s="22"/>
      <c r="EH998" s="22"/>
      <c r="EI998" s="22"/>
      <c r="EJ998" s="22"/>
      <c r="EK998" s="22"/>
      <c r="EL998" s="22"/>
      <c r="EM998" s="22"/>
      <c r="EN998" s="344"/>
      <c r="EO998" s="344"/>
      <c r="EP998" s="22"/>
      <c r="EQ998" s="22"/>
      <c r="ER998" s="22"/>
      <c r="ES998" s="344"/>
      <c r="ET998" s="349"/>
      <c r="EU998" s="344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T998" s="27"/>
      <c r="FU998" s="27"/>
    </row>
    <row r="999" spans="24:177" s="9" customFormat="1" x14ac:dyDescent="0.2">
      <c r="X999" s="50"/>
      <c r="AD999" s="22"/>
      <c r="AW999" s="8"/>
      <c r="AX999" s="108"/>
      <c r="AY999" s="102"/>
      <c r="AZ999" s="109"/>
      <c r="BA999" s="11"/>
      <c r="BB999" s="9" t="s">
        <v>559</v>
      </c>
      <c r="BC999" s="22">
        <v>255</v>
      </c>
      <c r="BD999" s="22"/>
      <c r="CA999" s="18"/>
      <c r="DH999" s="22"/>
      <c r="DI999" s="22"/>
      <c r="DJ999" s="22"/>
      <c r="DK999" s="344"/>
      <c r="DL999" s="361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22"/>
      <c r="EG999" s="22"/>
      <c r="EH999" s="22"/>
      <c r="EI999" s="22"/>
      <c r="EJ999" s="22"/>
      <c r="EK999" s="22"/>
      <c r="EL999" s="22"/>
      <c r="EM999" s="22"/>
      <c r="EN999" s="344"/>
      <c r="EO999" s="344"/>
      <c r="EP999" s="22"/>
      <c r="EQ999" s="22"/>
      <c r="ER999" s="22"/>
      <c r="ES999" s="344"/>
      <c r="ET999" s="349"/>
      <c r="EU999" s="344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T999" s="27"/>
      <c r="FU999" s="27"/>
    </row>
    <row r="1000" spans="24:177" s="9" customFormat="1" x14ac:dyDescent="0.2">
      <c r="X1000" s="50"/>
      <c r="AD1000" s="22"/>
      <c r="AW1000" s="8"/>
      <c r="AX1000" s="108"/>
      <c r="AY1000" s="102"/>
      <c r="AZ1000" s="109"/>
      <c r="BA1000" s="11"/>
      <c r="BB1000" s="9" t="s">
        <v>559</v>
      </c>
      <c r="BC1000" s="22">
        <v>256</v>
      </c>
      <c r="BD1000" s="22"/>
      <c r="CA1000" s="18"/>
      <c r="DH1000" s="22"/>
      <c r="DI1000" s="22"/>
      <c r="DJ1000" s="22"/>
      <c r="DK1000" s="344"/>
      <c r="DL1000" s="361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22"/>
      <c r="EG1000" s="22"/>
      <c r="EH1000" s="22"/>
      <c r="EI1000" s="22"/>
      <c r="EJ1000" s="22"/>
      <c r="EK1000" s="22"/>
      <c r="EL1000" s="22"/>
      <c r="EM1000" s="22"/>
      <c r="EN1000" s="344"/>
      <c r="EO1000" s="344"/>
      <c r="EP1000" s="22"/>
      <c r="EQ1000" s="22"/>
      <c r="ER1000" s="22"/>
      <c r="ES1000" s="344"/>
      <c r="ET1000" s="349"/>
      <c r="EU1000" s="344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T1000" s="27"/>
      <c r="FU1000" s="27"/>
    </row>
    <row r="1001" spans="24:177" s="9" customFormat="1" x14ac:dyDescent="0.2">
      <c r="X1001" s="50"/>
      <c r="AD1001" s="22"/>
      <c r="AW1001" s="8"/>
      <c r="AX1001" s="108"/>
      <c r="AY1001" s="102"/>
      <c r="AZ1001" s="109"/>
      <c r="BA1001" s="11"/>
      <c r="BB1001" s="9" t="s">
        <v>559</v>
      </c>
      <c r="BC1001" s="22">
        <v>257</v>
      </c>
      <c r="BD1001" s="22"/>
      <c r="CA1001" s="18"/>
      <c r="DH1001" s="22"/>
      <c r="DI1001" s="22"/>
      <c r="DJ1001" s="22"/>
      <c r="DK1001" s="344"/>
      <c r="DL1001" s="361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22"/>
      <c r="EG1001" s="22"/>
      <c r="EH1001" s="22"/>
      <c r="EI1001" s="22"/>
      <c r="EJ1001" s="22"/>
      <c r="EK1001" s="22"/>
      <c r="EL1001" s="22"/>
      <c r="EM1001" s="22"/>
      <c r="EN1001" s="344"/>
      <c r="EO1001" s="344"/>
      <c r="EP1001" s="22"/>
      <c r="EQ1001" s="22"/>
      <c r="ER1001" s="22"/>
      <c r="ES1001" s="344"/>
      <c r="ET1001" s="349"/>
      <c r="EU1001" s="344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T1001" s="27"/>
      <c r="FU1001" s="27"/>
    </row>
    <row r="1002" spans="24:177" s="9" customFormat="1" x14ac:dyDescent="0.2">
      <c r="X1002" s="50"/>
      <c r="AD1002" s="22"/>
      <c r="AW1002" s="8"/>
      <c r="AX1002" s="108"/>
      <c r="AY1002" s="102"/>
      <c r="AZ1002" s="109"/>
      <c r="BA1002" s="11"/>
      <c r="BB1002" s="9" t="s">
        <v>559</v>
      </c>
      <c r="BC1002" s="22">
        <v>258</v>
      </c>
      <c r="BD1002" s="22"/>
      <c r="CA1002" s="18"/>
      <c r="DH1002" s="22"/>
      <c r="DI1002" s="22"/>
      <c r="DJ1002" s="22"/>
      <c r="DK1002" s="344"/>
      <c r="DL1002" s="361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22"/>
      <c r="EG1002" s="22"/>
      <c r="EH1002" s="22"/>
      <c r="EI1002" s="22"/>
      <c r="EJ1002" s="22"/>
      <c r="EK1002" s="22"/>
      <c r="EL1002" s="22"/>
      <c r="EM1002" s="22"/>
      <c r="EN1002" s="344"/>
      <c r="EO1002" s="344"/>
      <c r="EP1002" s="22"/>
      <c r="EQ1002" s="22"/>
      <c r="ER1002" s="22"/>
      <c r="ES1002" s="344"/>
      <c r="ET1002" s="349"/>
      <c r="EU1002" s="344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T1002" s="27"/>
      <c r="FU1002" s="27"/>
    </row>
    <row r="1003" spans="24:177" s="9" customFormat="1" x14ac:dyDescent="0.2">
      <c r="X1003" s="50"/>
      <c r="AD1003" s="22"/>
      <c r="AW1003" s="8"/>
      <c r="AX1003" s="108"/>
      <c r="AY1003" s="102"/>
      <c r="AZ1003" s="109"/>
      <c r="BA1003" s="11"/>
      <c r="BB1003" s="9" t="s">
        <v>559</v>
      </c>
      <c r="BC1003" s="22">
        <v>259</v>
      </c>
      <c r="BD1003" s="22"/>
      <c r="CA1003" s="18"/>
      <c r="DH1003" s="22"/>
      <c r="DI1003" s="22"/>
      <c r="DJ1003" s="22"/>
      <c r="DK1003" s="344"/>
      <c r="DL1003" s="361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22"/>
      <c r="EG1003" s="22"/>
      <c r="EH1003" s="22"/>
      <c r="EI1003" s="22"/>
      <c r="EJ1003" s="22"/>
      <c r="EK1003" s="22"/>
      <c r="EL1003" s="22"/>
      <c r="EM1003" s="22"/>
      <c r="EN1003" s="344"/>
      <c r="EO1003" s="344"/>
      <c r="EP1003" s="22"/>
      <c r="EQ1003" s="22"/>
      <c r="ER1003" s="22"/>
      <c r="ES1003" s="344"/>
      <c r="ET1003" s="349"/>
      <c r="EU1003" s="344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T1003" s="27"/>
      <c r="FU1003" s="27"/>
    </row>
    <row r="1004" spans="24:177" s="9" customFormat="1" x14ac:dyDescent="0.2">
      <c r="X1004" s="50"/>
      <c r="AD1004" s="22"/>
      <c r="AW1004" s="8"/>
      <c r="AX1004" s="108"/>
      <c r="AY1004" s="102"/>
      <c r="AZ1004" s="109"/>
      <c r="BA1004" s="11"/>
      <c r="BB1004" s="9" t="s">
        <v>559</v>
      </c>
      <c r="BC1004" s="22">
        <v>260</v>
      </c>
      <c r="BD1004" s="22"/>
      <c r="CA1004" s="18"/>
      <c r="DH1004" s="22"/>
      <c r="DI1004" s="22"/>
      <c r="DJ1004" s="22"/>
      <c r="DK1004" s="344"/>
      <c r="DL1004" s="361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22"/>
      <c r="EG1004" s="22"/>
      <c r="EH1004" s="22"/>
      <c r="EI1004" s="22"/>
      <c r="EJ1004" s="22"/>
      <c r="EK1004" s="22"/>
      <c r="EL1004" s="22"/>
      <c r="EM1004" s="22"/>
      <c r="EN1004" s="344"/>
      <c r="EO1004" s="344"/>
      <c r="EP1004" s="22"/>
      <c r="EQ1004" s="22"/>
      <c r="ER1004" s="22"/>
      <c r="ES1004" s="344"/>
      <c r="ET1004" s="349"/>
      <c r="EU1004" s="344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T1004" s="27"/>
      <c r="FU1004" s="27"/>
    </row>
    <row r="1005" spans="24:177" s="9" customFormat="1" x14ac:dyDescent="0.2">
      <c r="X1005" s="50"/>
      <c r="AD1005" s="22"/>
      <c r="AW1005" s="8"/>
      <c r="AX1005" s="108"/>
      <c r="AY1005" s="102"/>
      <c r="AZ1005" s="109"/>
      <c r="BA1005" s="11"/>
      <c r="BB1005" s="9" t="s">
        <v>559</v>
      </c>
      <c r="BC1005" s="22">
        <v>261</v>
      </c>
      <c r="BD1005" s="22"/>
      <c r="CA1005" s="18"/>
      <c r="DH1005" s="22"/>
      <c r="DI1005" s="22"/>
      <c r="DJ1005" s="22"/>
      <c r="DK1005" s="344"/>
      <c r="DL1005" s="361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22"/>
      <c r="EG1005" s="22"/>
      <c r="EH1005" s="22"/>
      <c r="EI1005" s="22"/>
      <c r="EJ1005" s="22"/>
      <c r="EK1005" s="22"/>
      <c r="EL1005" s="22"/>
      <c r="EM1005" s="22"/>
      <c r="EN1005" s="344"/>
      <c r="EO1005" s="344"/>
      <c r="EP1005" s="22"/>
      <c r="EQ1005" s="22"/>
      <c r="ER1005" s="22"/>
      <c r="ES1005" s="344"/>
      <c r="ET1005" s="349"/>
      <c r="EU1005" s="344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T1005" s="27"/>
      <c r="FU1005" s="27"/>
    </row>
    <row r="1006" spans="24:177" s="9" customFormat="1" x14ac:dyDescent="0.2">
      <c r="X1006" s="50"/>
      <c r="AD1006" s="22"/>
      <c r="AW1006" s="8"/>
      <c r="AX1006" s="108"/>
      <c r="AY1006" s="102"/>
      <c r="AZ1006" s="109"/>
      <c r="BA1006" s="11"/>
      <c r="BB1006" s="9" t="s">
        <v>559</v>
      </c>
      <c r="BC1006" s="22">
        <v>262</v>
      </c>
      <c r="BD1006" s="22"/>
      <c r="CA1006" s="18"/>
      <c r="DH1006" s="22"/>
      <c r="DI1006" s="22"/>
      <c r="DJ1006" s="22"/>
      <c r="DK1006" s="344"/>
      <c r="DL1006" s="361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22"/>
      <c r="EG1006" s="22"/>
      <c r="EH1006" s="22"/>
      <c r="EI1006" s="22"/>
      <c r="EJ1006" s="22"/>
      <c r="EK1006" s="22"/>
      <c r="EL1006" s="22"/>
      <c r="EM1006" s="22"/>
      <c r="EN1006" s="344"/>
      <c r="EO1006" s="344"/>
      <c r="EP1006" s="22"/>
      <c r="EQ1006" s="22"/>
      <c r="ER1006" s="22"/>
      <c r="ES1006" s="344"/>
      <c r="ET1006" s="349"/>
      <c r="EU1006" s="344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T1006" s="27"/>
      <c r="FU1006" s="27"/>
    </row>
    <row r="1007" spans="24:177" s="9" customFormat="1" x14ac:dyDescent="0.2">
      <c r="X1007" s="50"/>
      <c r="AD1007" s="22"/>
      <c r="AW1007" s="8"/>
      <c r="AX1007" s="108"/>
      <c r="AY1007" s="102"/>
      <c r="AZ1007" s="109"/>
      <c r="BA1007" s="11"/>
      <c r="BB1007" s="9" t="s">
        <v>559</v>
      </c>
      <c r="BC1007" s="22">
        <v>263</v>
      </c>
      <c r="BD1007" s="22"/>
      <c r="CA1007" s="18"/>
      <c r="DH1007" s="22"/>
      <c r="DI1007" s="22"/>
      <c r="DJ1007" s="22"/>
      <c r="DK1007" s="344"/>
      <c r="DL1007" s="361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22"/>
      <c r="EG1007" s="22"/>
      <c r="EH1007" s="22"/>
      <c r="EI1007" s="22"/>
      <c r="EJ1007" s="22"/>
      <c r="EK1007" s="22"/>
      <c r="EL1007" s="22"/>
      <c r="EM1007" s="22"/>
      <c r="EN1007" s="344"/>
      <c r="EO1007" s="344"/>
      <c r="EP1007" s="22"/>
      <c r="EQ1007" s="22"/>
      <c r="ER1007" s="22"/>
      <c r="ES1007" s="344"/>
      <c r="ET1007" s="349"/>
      <c r="EU1007" s="344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T1007" s="27"/>
      <c r="FU1007" s="27"/>
    </row>
    <row r="1008" spans="24:177" s="9" customFormat="1" x14ac:dyDescent="0.2">
      <c r="X1008" s="50"/>
      <c r="AD1008" s="22"/>
      <c r="AW1008" s="8"/>
      <c r="AX1008" s="108"/>
      <c r="AY1008" s="102"/>
      <c r="AZ1008" s="109"/>
      <c r="BA1008" s="11"/>
      <c r="BB1008" s="9" t="s">
        <v>559</v>
      </c>
      <c r="BC1008" s="22">
        <v>264</v>
      </c>
      <c r="BD1008" s="22"/>
      <c r="CA1008" s="18"/>
      <c r="DH1008" s="22"/>
      <c r="DI1008" s="22"/>
      <c r="DJ1008" s="22"/>
      <c r="DK1008" s="344"/>
      <c r="DL1008" s="361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22"/>
      <c r="EG1008" s="22"/>
      <c r="EH1008" s="22"/>
      <c r="EI1008" s="22"/>
      <c r="EJ1008" s="22"/>
      <c r="EK1008" s="22"/>
      <c r="EL1008" s="22"/>
      <c r="EM1008" s="22"/>
      <c r="EN1008" s="344"/>
      <c r="EO1008" s="344"/>
      <c r="EP1008" s="22"/>
      <c r="EQ1008" s="22"/>
      <c r="ER1008" s="22"/>
      <c r="ES1008" s="344"/>
      <c r="ET1008" s="349"/>
      <c r="EU1008" s="344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T1008" s="27"/>
      <c r="FU1008" s="27"/>
    </row>
    <row r="1009" spans="24:177" s="9" customFormat="1" x14ac:dyDescent="0.2">
      <c r="X1009" s="50"/>
      <c r="AD1009" s="22"/>
      <c r="AW1009" s="8"/>
      <c r="AX1009" s="108"/>
      <c r="AY1009" s="102"/>
      <c r="AZ1009" s="109"/>
      <c r="BA1009" s="11"/>
      <c r="BB1009" s="9" t="s">
        <v>559</v>
      </c>
      <c r="BC1009" s="22">
        <v>265</v>
      </c>
      <c r="BD1009" s="22"/>
      <c r="CA1009" s="18"/>
      <c r="DH1009" s="22"/>
      <c r="DI1009" s="22"/>
      <c r="DJ1009" s="22"/>
      <c r="DK1009" s="344"/>
      <c r="DL1009" s="361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22"/>
      <c r="EG1009" s="22"/>
      <c r="EH1009" s="22"/>
      <c r="EI1009" s="22"/>
      <c r="EJ1009" s="22"/>
      <c r="EK1009" s="22"/>
      <c r="EL1009" s="22"/>
      <c r="EM1009" s="22"/>
      <c r="EN1009" s="344"/>
      <c r="EO1009" s="344"/>
      <c r="EP1009" s="22"/>
      <c r="EQ1009" s="22"/>
      <c r="ER1009" s="22"/>
      <c r="ES1009" s="344"/>
      <c r="ET1009" s="349"/>
      <c r="EU1009" s="344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T1009" s="27"/>
      <c r="FU1009" s="27"/>
    </row>
    <row r="1010" spans="24:177" s="9" customFormat="1" x14ac:dyDescent="0.2">
      <c r="X1010" s="50"/>
      <c r="AD1010" s="22"/>
      <c r="AW1010" s="8"/>
      <c r="AX1010" s="108"/>
      <c r="AY1010" s="102"/>
      <c r="AZ1010" s="109"/>
      <c r="BA1010" s="11"/>
      <c r="BB1010" s="9" t="s">
        <v>559</v>
      </c>
      <c r="BC1010" s="22">
        <v>266</v>
      </c>
      <c r="BD1010" s="22"/>
      <c r="CA1010" s="18"/>
      <c r="DH1010" s="22"/>
      <c r="DI1010" s="22"/>
      <c r="DJ1010" s="22"/>
      <c r="DK1010" s="344"/>
      <c r="DL1010" s="361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22"/>
      <c r="EG1010" s="22"/>
      <c r="EH1010" s="22"/>
      <c r="EI1010" s="22"/>
      <c r="EJ1010" s="22"/>
      <c r="EK1010" s="22"/>
      <c r="EL1010" s="22"/>
      <c r="EM1010" s="22"/>
      <c r="EN1010" s="344"/>
      <c r="EO1010" s="344"/>
      <c r="EP1010" s="22"/>
      <c r="EQ1010" s="22"/>
      <c r="ER1010" s="22"/>
      <c r="ES1010" s="344"/>
      <c r="ET1010" s="349"/>
      <c r="EU1010" s="344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T1010" s="27"/>
      <c r="FU1010" s="27"/>
    </row>
    <row r="1011" spans="24:177" s="9" customFormat="1" x14ac:dyDescent="0.2">
      <c r="X1011" s="50"/>
      <c r="AD1011" s="22"/>
      <c r="AW1011" s="8"/>
      <c r="AX1011" s="108"/>
      <c r="AY1011" s="102"/>
      <c r="AZ1011" s="109"/>
      <c r="BA1011" s="11"/>
      <c r="BB1011" s="9" t="s">
        <v>559</v>
      </c>
      <c r="BC1011" s="22">
        <v>267</v>
      </c>
      <c r="BD1011" s="22"/>
      <c r="CA1011" s="18"/>
      <c r="DH1011" s="22"/>
      <c r="DI1011" s="22"/>
      <c r="DJ1011" s="22"/>
      <c r="DK1011" s="344"/>
      <c r="DL1011" s="361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22"/>
      <c r="EG1011" s="22"/>
      <c r="EH1011" s="22"/>
      <c r="EI1011" s="22"/>
      <c r="EJ1011" s="22"/>
      <c r="EK1011" s="22"/>
      <c r="EL1011" s="22"/>
      <c r="EM1011" s="22"/>
      <c r="EN1011" s="344"/>
      <c r="EO1011" s="344"/>
      <c r="EP1011" s="22"/>
      <c r="EQ1011" s="22"/>
      <c r="ER1011" s="22"/>
      <c r="ES1011" s="344"/>
      <c r="ET1011" s="349"/>
      <c r="EU1011" s="344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T1011" s="27"/>
      <c r="FU1011" s="27"/>
    </row>
    <row r="1012" spans="24:177" s="9" customFormat="1" x14ac:dyDescent="0.2">
      <c r="X1012" s="50"/>
      <c r="AW1012" s="8"/>
      <c r="AX1012" s="108"/>
      <c r="AY1012" s="102"/>
      <c r="AZ1012" s="109"/>
      <c r="BA1012" s="11"/>
      <c r="BB1012" s="9" t="s">
        <v>559</v>
      </c>
      <c r="BC1012" s="22">
        <v>268</v>
      </c>
      <c r="BD1012" s="22"/>
      <c r="CA1012" s="18"/>
      <c r="DH1012" s="22"/>
      <c r="DI1012" s="22"/>
      <c r="DJ1012" s="22"/>
      <c r="DK1012" s="344"/>
      <c r="DL1012" s="361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22"/>
      <c r="EG1012" s="22"/>
      <c r="EH1012" s="22"/>
      <c r="EI1012" s="22"/>
      <c r="EJ1012" s="22"/>
      <c r="EK1012" s="22"/>
      <c r="EL1012" s="22"/>
      <c r="EM1012" s="22"/>
      <c r="EN1012" s="344"/>
      <c r="EO1012" s="344"/>
      <c r="EP1012" s="22"/>
      <c r="EQ1012" s="22"/>
      <c r="ER1012" s="22"/>
      <c r="ES1012" s="344"/>
      <c r="ET1012" s="349"/>
      <c r="EU1012" s="344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T1012" s="27"/>
      <c r="FU1012" s="27"/>
    </row>
    <row r="1013" spans="24:177" s="9" customFormat="1" x14ac:dyDescent="0.2">
      <c r="X1013" s="50"/>
      <c r="AW1013" s="8"/>
      <c r="AX1013" s="108"/>
      <c r="AY1013" s="102"/>
      <c r="AZ1013" s="109"/>
      <c r="BA1013" s="11"/>
      <c r="BB1013" s="9" t="s">
        <v>559</v>
      </c>
      <c r="BC1013" s="22">
        <v>269</v>
      </c>
      <c r="BD1013" s="22"/>
      <c r="CA1013" s="18"/>
      <c r="DH1013" s="22"/>
      <c r="DI1013" s="22"/>
      <c r="DJ1013" s="22"/>
      <c r="DK1013" s="344"/>
      <c r="DL1013" s="361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22"/>
      <c r="EG1013" s="22"/>
      <c r="EH1013" s="22"/>
      <c r="EI1013" s="22"/>
      <c r="EJ1013" s="22"/>
      <c r="EK1013" s="22"/>
      <c r="EL1013" s="22"/>
      <c r="EM1013" s="22"/>
      <c r="EN1013" s="344"/>
      <c r="EO1013" s="344"/>
      <c r="EP1013" s="22"/>
      <c r="EQ1013" s="22"/>
      <c r="ER1013" s="22"/>
      <c r="ES1013" s="344"/>
      <c r="ET1013" s="349"/>
      <c r="EU1013" s="344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T1013" s="27"/>
      <c r="FU1013" s="27"/>
    </row>
    <row r="1014" spans="24:177" s="9" customFormat="1" x14ac:dyDescent="0.2">
      <c r="X1014" s="50"/>
      <c r="AW1014" s="8"/>
      <c r="AX1014" s="108"/>
      <c r="AY1014" s="102"/>
      <c r="AZ1014" s="109"/>
      <c r="BA1014" s="11"/>
      <c r="BB1014" s="9" t="s">
        <v>559</v>
      </c>
      <c r="BC1014" s="22">
        <v>270</v>
      </c>
      <c r="BD1014" s="22"/>
      <c r="CA1014" s="18"/>
      <c r="DH1014" s="22"/>
      <c r="DI1014" s="22"/>
      <c r="DJ1014" s="22"/>
      <c r="DK1014" s="344"/>
      <c r="DL1014" s="361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22"/>
      <c r="EG1014" s="22"/>
      <c r="EH1014" s="22"/>
      <c r="EI1014" s="22"/>
      <c r="EJ1014" s="22"/>
      <c r="EK1014" s="22"/>
      <c r="EL1014" s="22"/>
      <c r="EM1014" s="22"/>
      <c r="EN1014" s="344"/>
      <c r="EO1014" s="344"/>
      <c r="EP1014" s="22"/>
      <c r="EQ1014" s="22"/>
      <c r="ER1014" s="22"/>
      <c r="ES1014" s="344"/>
      <c r="ET1014" s="349"/>
      <c r="EU1014" s="344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T1014" s="27"/>
      <c r="FU1014" s="27"/>
    </row>
    <row r="1015" spans="24:177" s="9" customFormat="1" x14ac:dyDescent="0.2">
      <c r="X1015" s="50"/>
      <c r="AW1015" s="8"/>
      <c r="AX1015" s="108"/>
      <c r="AY1015" s="102"/>
      <c r="AZ1015" s="109"/>
      <c r="BA1015" s="11"/>
      <c r="BB1015" s="9" t="s">
        <v>559</v>
      </c>
      <c r="BC1015" s="22">
        <v>271</v>
      </c>
      <c r="BD1015" s="22"/>
      <c r="CA1015" s="18"/>
      <c r="DH1015" s="22"/>
      <c r="DI1015" s="22"/>
      <c r="DJ1015" s="22"/>
      <c r="DK1015" s="344"/>
      <c r="DL1015" s="361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22"/>
      <c r="EG1015" s="22"/>
      <c r="EH1015" s="22"/>
      <c r="EI1015" s="22"/>
      <c r="EJ1015" s="22"/>
      <c r="EK1015" s="22"/>
      <c r="EL1015" s="22"/>
      <c r="EM1015" s="22"/>
      <c r="EN1015" s="344"/>
      <c r="EO1015" s="344"/>
      <c r="EP1015" s="22"/>
      <c r="EQ1015" s="22"/>
      <c r="ER1015" s="22"/>
      <c r="ES1015" s="344"/>
      <c r="ET1015" s="349"/>
      <c r="EU1015" s="344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T1015" s="27"/>
      <c r="FU1015" s="27"/>
    </row>
    <row r="1016" spans="24:177" s="9" customFormat="1" x14ac:dyDescent="0.2">
      <c r="X1016" s="50"/>
      <c r="AW1016" s="8"/>
      <c r="AX1016" s="108"/>
      <c r="AY1016" s="102"/>
      <c r="AZ1016" s="109"/>
      <c r="BA1016" s="11"/>
      <c r="BB1016" s="9" t="s">
        <v>559</v>
      </c>
      <c r="BC1016" s="22">
        <v>272</v>
      </c>
      <c r="BD1016" s="22"/>
      <c r="CA1016" s="18"/>
      <c r="DH1016" s="22"/>
      <c r="DI1016" s="22"/>
      <c r="DJ1016" s="22"/>
      <c r="DK1016" s="344"/>
      <c r="DL1016" s="361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22"/>
      <c r="EG1016" s="22"/>
      <c r="EH1016" s="22"/>
      <c r="EI1016" s="22"/>
      <c r="EJ1016" s="22"/>
      <c r="EK1016" s="22"/>
      <c r="EL1016" s="22"/>
      <c r="EM1016" s="22"/>
      <c r="EN1016" s="344"/>
      <c r="EO1016" s="344"/>
      <c r="EP1016" s="22"/>
      <c r="EQ1016" s="22"/>
      <c r="ER1016" s="22"/>
      <c r="ES1016" s="344"/>
      <c r="ET1016" s="349"/>
      <c r="EU1016" s="344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T1016" s="27"/>
      <c r="FU1016" s="27"/>
    </row>
    <row r="1017" spans="24:177" s="9" customFormat="1" x14ac:dyDescent="0.2">
      <c r="X1017" s="50"/>
      <c r="AW1017" s="8"/>
      <c r="AX1017" s="108"/>
      <c r="AY1017" s="102"/>
      <c r="AZ1017" s="109"/>
      <c r="BA1017" s="11"/>
      <c r="BB1017" s="9" t="s">
        <v>559</v>
      </c>
      <c r="BC1017" s="22">
        <v>273</v>
      </c>
      <c r="BD1017" s="22"/>
      <c r="CA1017" s="18"/>
      <c r="DH1017" s="22"/>
      <c r="DI1017" s="22"/>
      <c r="DJ1017" s="22"/>
      <c r="DK1017" s="344"/>
      <c r="DL1017" s="361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22"/>
      <c r="EG1017" s="22"/>
      <c r="EH1017" s="22"/>
      <c r="EI1017" s="22"/>
      <c r="EJ1017" s="22"/>
      <c r="EK1017" s="22"/>
      <c r="EL1017" s="22"/>
      <c r="EM1017" s="22"/>
      <c r="EN1017" s="344"/>
      <c r="EO1017" s="344"/>
      <c r="EP1017" s="22"/>
      <c r="EQ1017" s="22"/>
      <c r="ER1017" s="22"/>
      <c r="ES1017" s="344"/>
      <c r="ET1017" s="349"/>
      <c r="EU1017" s="344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T1017" s="27"/>
      <c r="FU1017" s="27"/>
    </row>
    <row r="1018" spans="24:177" s="9" customFormat="1" x14ac:dyDescent="0.2">
      <c r="X1018" s="50"/>
      <c r="AW1018" s="8"/>
      <c r="AX1018" s="108"/>
      <c r="AY1018" s="102"/>
      <c r="AZ1018" s="109"/>
      <c r="BA1018" s="11"/>
      <c r="BB1018" s="9" t="s">
        <v>559</v>
      </c>
      <c r="BC1018" s="22">
        <v>274</v>
      </c>
      <c r="BD1018" s="22"/>
      <c r="CA1018" s="18"/>
      <c r="DH1018" s="22"/>
      <c r="DI1018" s="22"/>
      <c r="DJ1018" s="22"/>
      <c r="DK1018" s="344"/>
      <c r="DL1018" s="361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22"/>
      <c r="EG1018" s="22"/>
      <c r="EH1018" s="22"/>
      <c r="EI1018" s="22"/>
      <c r="EJ1018" s="22"/>
      <c r="EK1018" s="22"/>
      <c r="EL1018" s="22"/>
      <c r="EM1018" s="22"/>
      <c r="EN1018" s="344"/>
      <c r="EO1018" s="344"/>
      <c r="EP1018" s="22"/>
      <c r="EQ1018" s="22"/>
      <c r="ER1018" s="22"/>
      <c r="ES1018" s="344"/>
      <c r="ET1018" s="349"/>
      <c r="EU1018" s="344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T1018" s="27"/>
      <c r="FU1018" s="27"/>
    </row>
    <row r="1019" spans="24:177" s="9" customFormat="1" x14ac:dyDescent="0.2">
      <c r="X1019" s="50"/>
      <c r="AW1019" s="8"/>
      <c r="AX1019" s="108"/>
      <c r="AY1019" s="102"/>
      <c r="AZ1019" s="109"/>
      <c r="BA1019" s="11"/>
      <c r="BB1019" s="9" t="s">
        <v>559</v>
      </c>
      <c r="BC1019" s="22">
        <v>275</v>
      </c>
      <c r="BD1019" s="22"/>
      <c r="CA1019" s="18"/>
      <c r="DH1019" s="22"/>
      <c r="DI1019" s="22"/>
      <c r="DJ1019" s="22"/>
      <c r="DK1019" s="344"/>
      <c r="DL1019" s="361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22"/>
      <c r="EG1019" s="22"/>
      <c r="EH1019" s="22"/>
      <c r="EI1019" s="22"/>
      <c r="EJ1019" s="22"/>
      <c r="EK1019" s="22"/>
      <c r="EL1019" s="22"/>
      <c r="EM1019" s="22"/>
      <c r="EN1019" s="344"/>
      <c r="EO1019" s="344"/>
      <c r="EP1019" s="22"/>
      <c r="EQ1019" s="22"/>
      <c r="ER1019" s="22"/>
      <c r="ES1019" s="344"/>
      <c r="ET1019" s="349"/>
      <c r="EU1019" s="344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T1019" s="27"/>
      <c r="FU1019" s="27"/>
    </row>
    <row r="1020" spans="24:177" s="9" customFormat="1" x14ac:dyDescent="0.2">
      <c r="X1020" s="50"/>
      <c r="AW1020" s="8"/>
      <c r="AX1020" s="108"/>
      <c r="AY1020" s="102"/>
      <c r="AZ1020" s="109"/>
      <c r="BA1020" s="11"/>
      <c r="BB1020" s="9" t="s">
        <v>559</v>
      </c>
      <c r="BC1020" s="22">
        <v>276</v>
      </c>
      <c r="BD1020" s="22"/>
      <c r="CA1020" s="18"/>
      <c r="DH1020" s="22"/>
      <c r="DI1020" s="22"/>
      <c r="DJ1020" s="22"/>
      <c r="DK1020" s="344"/>
      <c r="DL1020" s="361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22"/>
      <c r="EG1020" s="22"/>
      <c r="EH1020" s="22"/>
      <c r="EI1020" s="22"/>
      <c r="EJ1020" s="22"/>
      <c r="EK1020" s="22"/>
      <c r="EL1020" s="22"/>
      <c r="EM1020" s="22"/>
      <c r="EN1020" s="344"/>
      <c r="EO1020" s="344"/>
      <c r="EP1020" s="22"/>
      <c r="EQ1020" s="22"/>
      <c r="ER1020" s="22"/>
      <c r="ES1020" s="344"/>
      <c r="ET1020" s="349"/>
      <c r="EU1020" s="344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T1020" s="27"/>
      <c r="FU1020" s="27"/>
    </row>
    <row r="1021" spans="24:177" s="9" customFormat="1" x14ac:dyDescent="0.2">
      <c r="X1021" s="50"/>
      <c r="AW1021" s="8"/>
      <c r="AX1021" s="108"/>
      <c r="AY1021" s="102"/>
      <c r="AZ1021" s="109"/>
      <c r="BA1021" s="11"/>
      <c r="BB1021" s="9" t="s">
        <v>559</v>
      </c>
      <c r="BC1021" s="22">
        <v>277</v>
      </c>
      <c r="BD1021" s="22"/>
      <c r="CA1021" s="18"/>
      <c r="DH1021" s="22"/>
      <c r="DI1021" s="22"/>
      <c r="DJ1021" s="22"/>
      <c r="DK1021" s="344"/>
      <c r="DL1021" s="361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22"/>
      <c r="EG1021" s="22"/>
      <c r="EH1021" s="22"/>
      <c r="EI1021" s="22"/>
      <c r="EJ1021" s="22"/>
      <c r="EK1021" s="22"/>
      <c r="EL1021" s="22"/>
      <c r="EM1021" s="22"/>
      <c r="EN1021" s="344"/>
      <c r="EO1021" s="344"/>
      <c r="EP1021" s="22"/>
      <c r="EQ1021" s="22"/>
      <c r="ER1021" s="22"/>
      <c r="ES1021" s="344"/>
      <c r="ET1021" s="349"/>
      <c r="EU1021" s="344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T1021" s="27"/>
      <c r="FU1021" s="27"/>
    </row>
    <row r="1022" spans="24:177" s="9" customFormat="1" x14ac:dyDescent="0.2">
      <c r="X1022" s="50"/>
      <c r="AW1022" s="8"/>
      <c r="AX1022" s="108"/>
      <c r="AY1022" s="102"/>
      <c r="AZ1022" s="109"/>
      <c r="BA1022" s="11"/>
      <c r="BB1022" s="9" t="s">
        <v>559</v>
      </c>
      <c r="BC1022" s="22">
        <v>278</v>
      </c>
      <c r="BD1022" s="22"/>
      <c r="CA1022" s="18"/>
      <c r="DH1022" s="22"/>
      <c r="DI1022" s="22"/>
      <c r="DJ1022" s="22"/>
      <c r="DK1022" s="344"/>
      <c r="DL1022" s="361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22"/>
      <c r="EG1022" s="22"/>
      <c r="EH1022" s="22"/>
      <c r="EI1022" s="22"/>
      <c r="EJ1022" s="22"/>
      <c r="EK1022" s="22"/>
      <c r="EL1022" s="22"/>
      <c r="EM1022" s="22"/>
      <c r="EN1022" s="344"/>
      <c r="EO1022" s="344"/>
      <c r="EP1022" s="22"/>
      <c r="EQ1022" s="22"/>
      <c r="ER1022" s="22"/>
      <c r="ES1022" s="344"/>
      <c r="ET1022" s="349"/>
      <c r="EU1022" s="344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T1022" s="27"/>
      <c r="FU1022" s="27"/>
    </row>
    <row r="1023" spans="24:177" s="9" customFormat="1" x14ac:dyDescent="0.2">
      <c r="X1023" s="50"/>
      <c r="AW1023" s="8"/>
      <c r="AX1023" s="108"/>
      <c r="AY1023" s="102"/>
      <c r="AZ1023" s="109"/>
      <c r="BA1023" s="11"/>
      <c r="BB1023" s="9" t="s">
        <v>559</v>
      </c>
      <c r="BC1023" s="22">
        <v>279</v>
      </c>
      <c r="BD1023" s="22"/>
      <c r="CA1023" s="18"/>
      <c r="DH1023" s="22"/>
      <c r="DI1023" s="22"/>
      <c r="DJ1023" s="22"/>
      <c r="DK1023" s="344"/>
      <c r="DL1023" s="361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22"/>
      <c r="EG1023" s="22"/>
      <c r="EH1023" s="22"/>
      <c r="EI1023" s="22"/>
      <c r="EJ1023" s="22"/>
      <c r="EK1023" s="22"/>
      <c r="EL1023" s="22"/>
      <c r="EM1023" s="22"/>
      <c r="EN1023" s="344"/>
      <c r="EO1023" s="344"/>
      <c r="EP1023" s="22"/>
      <c r="EQ1023" s="22"/>
      <c r="ER1023" s="22"/>
      <c r="ES1023" s="344"/>
      <c r="ET1023" s="349"/>
      <c r="EU1023" s="344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T1023" s="27"/>
      <c r="FU1023" s="27"/>
    </row>
    <row r="1024" spans="24:177" s="9" customFormat="1" x14ac:dyDescent="0.2">
      <c r="X1024" s="50"/>
      <c r="AW1024" s="8"/>
      <c r="AX1024" s="108"/>
      <c r="AY1024" s="102"/>
      <c r="AZ1024" s="109"/>
      <c r="BA1024" s="11"/>
      <c r="BB1024" s="9" t="s">
        <v>559</v>
      </c>
      <c r="BC1024" s="22">
        <v>280</v>
      </c>
      <c r="BD1024" s="22"/>
      <c r="CA1024" s="18"/>
      <c r="DH1024" s="22"/>
      <c r="DI1024" s="22"/>
      <c r="DJ1024" s="22"/>
      <c r="DK1024" s="344"/>
      <c r="DL1024" s="361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22"/>
      <c r="EG1024" s="22"/>
      <c r="EH1024" s="22"/>
      <c r="EI1024" s="22"/>
      <c r="EJ1024" s="22"/>
      <c r="EK1024" s="22"/>
      <c r="EL1024" s="22"/>
      <c r="EM1024" s="22"/>
      <c r="EN1024" s="344"/>
      <c r="EO1024" s="344"/>
      <c r="EP1024" s="22"/>
      <c r="EQ1024" s="22"/>
      <c r="ER1024" s="22"/>
      <c r="ES1024" s="344"/>
      <c r="ET1024" s="349"/>
      <c r="EU1024" s="344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T1024" s="27"/>
      <c r="FU1024" s="27"/>
    </row>
    <row r="1025" spans="24:177" s="9" customFormat="1" x14ac:dyDescent="0.2">
      <c r="X1025" s="50"/>
      <c r="AW1025" s="8"/>
      <c r="AX1025" s="108"/>
      <c r="AY1025" s="102"/>
      <c r="AZ1025" s="109"/>
      <c r="BA1025" s="11"/>
      <c r="BB1025" s="9" t="s">
        <v>559</v>
      </c>
      <c r="BC1025" s="22">
        <v>281</v>
      </c>
      <c r="BD1025" s="22"/>
      <c r="CA1025" s="18"/>
      <c r="DH1025" s="22"/>
      <c r="DI1025" s="22"/>
      <c r="DJ1025" s="22"/>
      <c r="DK1025" s="344"/>
      <c r="DL1025" s="361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22"/>
      <c r="EG1025" s="22"/>
      <c r="EH1025" s="22"/>
      <c r="EI1025" s="22"/>
      <c r="EJ1025" s="22"/>
      <c r="EK1025" s="22"/>
      <c r="EL1025" s="22"/>
      <c r="EM1025" s="22"/>
      <c r="EN1025" s="344"/>
      <c r="EO1025" s="344"/>
      <c r="EP1025" s="22"/>
      <c r="EQ1025" s="22"/>
      <c r="ER1025" s="22"/>
      <c r="ES1025" s="344"/>
      <c r="ET1025" s="349"/>
      <c r="EU1025" s="344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T1025" s="27"/>
      <c r="FU1025" s="27"/>
    </row>
    <row r="1026" spans="24:177" s="9" customFormat="1" x14ac:dyDescent="0.2">
      <c r="X1026" s="50"/>
      <c r="AW1026" s="8"/>
      <c r="AX1026" s="108"/>
      <c r="AY1026" s="102"/>
      <c r="AZ1026" s="109"/>
      <c r="BA1026" s="11"/>
      <c r="BB1026" s="9" t="s">
        <v>559</v>
      </c>
      <c r="BC1026" s="22">
        <v>282</v>
      </c>
      <c r="BD1026" s="22"/>
      <c r="CA1026" s="18"/>
      <c r="DH1026" s="22"/>
      <c r="DI1026" s="22"/>
      <c r="DJ1026" s="22"/>
      <c r="DK1026" s="344"/>
      <c r="DL1026" s="361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22"/>
      <c r="EG1026" s="22"/>
      <c r="EH1026" s="22"/>
      <c r="EI1026" s="22"/>
      <c r="EJ1026" s="22"/>
      <c r="EK1026" s="22"/>
      <c r="EL1026" s="22"/>
      <c r="EM1026" s="22"/>
      <c r="EN1026" s="344"/>
      <c r="EO1026" s="344"/>
      <c r="EP1026" s="22"/>
      <c r="EQ1026" s="22"/>
      <c r="ER1026" s="22"/>
      <c r="ES1026" s="344"/>
      <c r="ET1026" s="349"/>
      <c r="EU1026" s="344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T1026" s="27"/>
      <c r="FU1026" s="27"/>
    </row>
    <row r="1027" spans="24:177" s="9" customFormat="1" x14ac:dyDescent="0.2">
      <c r="X1027" s="50"/>
      <c r="AW1027" s="8"/>
      <c r="AX1027" s="108"/>
      <c r="AY1027" s="102"/>
      <c r="AZ1027" s="109"/>
      <c r="BA1027" s="11"/>
      <c r="BB1027" s="9" t="s">
        <v>559</v>
      </c>
      <c r="BC1027" s="22">
        <v>283</v>
      </c>
      <c r="BD1027" s="22"/>
      <c r="CA1027" s="18"/>
      <c r="DH1027" s="22"/>
      <c r="DI1027" s="22"/>
      <c r="DJ1027" s="22"/>
      <c r="DK1027" s="344"/>
      <c r="DL1027" s="361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22"/>
      <c r="EG1027" s="22"/>
      <c r="EH1027" s="22"/>
      <c r="EI1027" s="22"/>
      <c r="EJ1027" s="22"/>
      <c r="EK1027" s="22"/>
      <c r="EL1027" s="22"/>
      <c r="EM1027" s="22"/>
      <c r="EN1027" s="344"/>
      <c r="EO1027" s="344"/>
      <c r="EP1027" s="22"/>
      <c r="EQ1027" s="22"/>
      <c r="ER1027" s="22"/>
      <c r="ES1027" s="344"/>
      <c r="ET1027" s="349"/>
      <c r="EU1027" s="344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T1027" s="27"/>
      <c r="FU1027" s="27"/>
    </row>
    <row r="1028" spans="24:177" s="9" customFormat="1" x14ac:dyDescent="0.2">
      <c r="X1028" s="50"/>
      <c r="AW1028" s="8"/>
      <c r="AX1028" s="108"/>
      <c r="AY1028" s="102"/>
      <c r="AZ1028" s="109"/>
      <c r="BA1028" s="11"/>
      <c r="BB1028" s="9" t="s">
        <v>559</v>
      </c>
      <c r="BC1028" s="22">
        <v>284</v>
      </c>
      <c r="BD1028" s="22"/>
      <c r="CA1028" s="18"/>
      <c r="DH1028" s="22"/>
      <c r="DI1028" s="22"/>
      <c r="DJ1028" s="22"/>
      <c r="DK1028" s="344"/>
      <c r="DL1028" s="361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22"/>
      <c r="EG1028" s="22"/>
      <c r="EH1028" s="22"/>
      <c r="EI1028" s="22"/>
      <c r="EJ1028" s="22"/>
      <c r="EK1028" s="22"/>
      <c r="EL1028" s="22"/>
      <c r="EM1028" s="22"/>
      <c r="EN1028" s="344"/>
      <c r="EO1028" s="344"/>
      <c r="EP1028" s="22"/>
      <c r="EQ1028" s="22"/>
      <c r="ER1028" s="22"/>
      <c r="ES1028" s="344"/>
      <c r="ET1028" s="349"/>
      <c r="EU1028" s="344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T1028" s="27"/>
      <c r="FU1028" s="27"/>
    </row>
    <row r="1029" spans="24:177" s="9" customFormat="1" x14ac:dyDescent="0.2">
      <c r="X1029" s="50"/>
      <c r="AW1029" s="8"/>
      <c r="AX1029" s="108"/>
      <c r="AY1029" s="102"/>
      <c r="AZ1029" s="109"/>
      <c r="BA1029" s="11"/>
      <c r="BB1029" s="9" t="s">
        <v>559</v>
      </c>
      <c r="BC1029" s="22">
        <v>285</v>
      </c>
      <c r="BD1029" s="22"/>
      <c r="CA1029" s="18"/>
      <c r="DH1029" s="22"/>
      <c r="DI1029" s="22"/>
      <c r="DJ1029" s="22"/>
      <c r="DK1029" s="344"/>
      <c r="DL1029" s="361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22"/>
      <c r="EG1029" s="22"/>
      <c r="EH1029" s="22"/>
      <c r="EI1029" s="22"/>
      <c r="EJ1029" s="22"/>
      <c r="EK1029" s="22"/>
      <c r="EL1029" s="22"/>
      <c r="EM1029" s="22"/>
      <c r="EN1029" s="344"/>
      <c r="EO1029" s="344"/>
      <c r="EP1029" s="22"/>
      <c r="EQ1029" s="22"/>
      <c r="ER1029" s="22"/>
      <c r="ES1029" s="344"/>
      <c r="ET1029" s="349"/>
      <c r="EU1029" s="344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T1029" s="27"/>
      <c r="FU1029" s="27"/>
    </row>
    <row r="1030" spans="24:177" s="9" customFormat="1" x14ac:dyDescent="0.2">
      <c r="X1030" s="50"/>
      <c r="AW1030" s="8"/>
      <c r="AX1030" s="108"/>
      <c r="AY1030" s="102"/>
      <c r="AZ1030" s="109"/>
      <c r="BA1030" s="11"/>
      <c r="BB1030" s="9" t="s">
        <v>559</v>
      </c>
      <c r="BC1030" s="22">
        <v>286</v>
      </c>
      <c r="BD1030" s="22"/>
      <c r="CA1030" s="18"/>
      <c r="DH1030" s="22"/>
      <c r="DI1030" s="22"/>
      <c r="DJ1030" s="22"/>
      <c r="DK1030" s="344"/>
      <c r="DL1030" s="361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22"/>
      <c r="EG1030" s="22"/>
      <c r="EH1030" s="22"/>
      <c r="EI1030" s="22"/>
      <c r="EJ1030" s="22"/>
      <c r="EK1030" s="22"/>
      <c r="EL1030" s="22"/>
      <c r="EM1030" s="22"/>
      <c r="EN1030" s="344"/>
      <c r="EO1030" s="344"/>
      <c r="EP1030" s="22"/>
      <c r="EQ1030" s="22"/>
      <c r="ER1030" s="22"/>
      <c r="ES1030" s="344"/>
      <c r="ET1030" s="349"/>
      <c r="EU1030" s="344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T1030" s="27"/>
      <c r="FU1030" s="27"/>
    </row>
    <row r="1031" spans="24:177" s="9" customFormat="1" x14ac:dyDescent="0.2">
      <c r="X1031" s="50"/>
      <c r="AW1031" s="8"/>
      <c r="AX1031" s="108"/>
      <c r="AY1031" s="102"/>
      <c r="AZ1031" s="109"/>
      <c r="BA1031" s="11"/>
      <c r="BB1031" s="9" t="s">
        <v>559</v>
      </c>
      <c r="BC1031" s="22">
        <v>287</v>
      </c>
      <c r="BD1031" s="22"/>
      <c r="CA1031" s="18"/>
      <c r="DH1031" s="22"/>
      <c r="DI1031" s="22"/>
      <c r="DJ1031" s="22"/>
      <c r="DK1031" s="344"/>
      <c r="DL1031" s="361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22"/>
      <c r="EG1031" s="22"/>
      <c r="EH1031" s="22"/>
      <c r="EI1031" s="22"/>
      <c r="EJ1031" s="22"/>
      <c r="EK1031" s="22"/>
      <c r="EL1031" s="22"/>
      <c r="EM1031" s="22"/>
      <c r="EN1031" s="344"/>
      <c r="EO1031" s="344"/>
      <c r="EP1031" s="22"/>
      <c r="EQ1031" s="22"/>
      <c r="ER1031" s="22"/>
      <c r="ES1031" s="344"/>
      <c r="ET1031" s="349"/>
      <c r="EU1031" s="344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T1031" s="27"/>
      <c r="FU1031" s="27"/>
    </row>
    <row r="1032" spans="24:177" s="9" customFormat="1" x14ac:dyDescent="0.2">
      <c r="X1032" s="50"/>
      <c r="AW1032" s="8"/>
      <c r="AX1032" s="108"/>
      <c r="AY1032" s="102"/>
      <c r="AZ1032" s="109"/>
      <c r="BA1032" s="11"/>
      <c r="BB1032" s="9" t="s">
        <v>559</v>
      </c>
      <c r="BC1032" s="22">
        <v>288</v>
      </c>
      <c r="BD1032" s="22"/>
      <c r="CA1032" s="18"/>
      <c r="DH1032" s="22"/>
      <c r="DI1032" s="22"/>
      <c r="DJ1032" s="22"/>
      <c r="DK1032" s="344"/>
      <c r="DL1032" s="361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22"/>
      <c r="EG1032" s="22"/>
      <c r="EH1032" s="22"/>
      <c r="EI1032" s="22"/>
      <c r="EJ1032" s="22"/>
      <c r="EK1032" s="22"/>
      <c r="EL1032" s="22"/>
      <c r="EM1032" s="22"/>
      <c r="EN1032" s="344"/>
      <c r="EO1032" s="344"/>
      <c r="EP1032" s="22"/>
      <c r="EQ1032" s="22"/>
      <c r="ER1032" s="22"/>
      <c r="ES1032" s="344"/>
      <c r="ET1032" s="349"/>
      <c r="EU1032" s="344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T1032" s="27"/>
      <c r="FU1032" s="27"/>
    </row>
    <row r="1033" spans="24:177" s="9" customFormat="1" x14ac:dyDescent="0.2">
      <c r="X1033" s="50"/>
      <c r="AW1033" s="8"/>
      <c r="AX1033" s="108"/>
      <c r="AY1033" s="102"/>
      <c r="AZ1033" s="109"/>
      <c r="BA1033" s="11"/>
      <c r="BB1033" s="9" t="s">
        <v>559</v>
      </c>
      <c r="BC1033" s="22">
        <v>289</v>
      </c>
      <c r="BD1033" s="22"/>
      <c r="CA1033" s="18"/>
      <c r="DH1033" s="22"/>
      <c r="DI1033" s="22"/>
      <c r="DJ1033" s="22"/>
      <c r="DK1033" s="344"/>
      <c r="DL1033" s="361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22"/>
      <c r="EG1033" s="22"/>
      <c r="EH1033" s="22"/>
      <c r="EI1033" s="22"/>
      <c r="EJ1033" s="22"/>
      <c r="EK1033" s="22"/>
      <c r="EL1033" s="22"/>
      <c r="EM1033" s="22"/>
      <c r="EN1033" s="344"/>
      <c r="EO1033" s="344"/>
      <c r="EP1033" s="22"/>
      <c r="EQ1033" s="22"/>
      <c r="ER1033" s="22"/>
      <c r="ES1033" s="344"/>
      <c r="ET1033" s="349"/>
      <c r="EU1033" s="344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T1033" s="27"/>
      <c r="FU1033" s="27"/>
    </row>
    <row r="1034" spans="24:177" s="9" customFormat="1" x14ac:dyDescent="0.2">
      <c r="X1034" s="50"/>
      <c r="AW1034" s="8"/>
      <c r="AX1034" s="108"/>
      <c r="AY1034" s="102"/>
      <c r="AZ1034" s="109"/>
      <c r="BA1034" s="11"/>
      <c r="BB1034" s="9" t="s">
        <v>559</v>
      </c>
      <c r="BC1034" s="22">
        <v>290</v>
      </c>
      <c r="BD1034" s="22"/>
      <c r="CA1034" s="18"/>
      <c r="DH1034" s="22"/>
      <c r="DI1034" s="22"/>
      <c r="DJ1034" s="22"/>
      <c r="DK1034" s="344"/>
      <c r="DL1034" s="361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22"/>
      <c r="EG1034" s="22"/>
      <c r="EH1034" s="22"/>
      <c r="EI1034" s="22"/>
      <c r="EJ1034" s="22"/>
      <c r="EK1034" s="22"/>
      <c r="EL1034" s="22"/>
      <c r="EM1034" s="22"/>
      <c r="EN1034" s="344"/>
      <c r="EO1034" s="344"/>
      <c r="EP1034" s="22"/>
      <c r="EQ1034" s="22"/>
      <c r="ER1034" s="22"/>
      <c r="ES1034" s="344"/>
      <c r="ET1034" s="349"/>
      <c r="EU1034" s="344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T1034" s="27"/>
      <c r="FU1034" s="27"/>
    </row>
    <row r="1035" spans="24:177" s="9" customFormat="1" x14ac:dyDescent="0.2">
      <c r="X1035" s="50"/>
      <c r="AW1035" s="8"/>
      <c r="AX1035" s="108"/>
      <c r="AY1035" s="102"/>
      <c r="AZ1035" s="109"/>
      <c r="BA1035" s="11"/>
      <c r="BB1035" s="9" t="s">
        <v>559</v>
      </c>
      <c r="BC1035" s="22">
        <v>291</v>
      </c>
      <c r="BD1035" s="22"/>
      <c r="CA1035" s="18"/>
      <c r="DH1035" s="22"/>
      <c r="DI1035" s="22"/>
      <c r="DJ1035" s="22"/>
      <c r="DK1035" s="344"/>
      <c r="DL1035" s="361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22"/>
      <c r="EG1035" s="22"/>
      <c r="EH1035" s="22"/>
      <c r="EI1035" s="22"/>
      <c r="EJ1035" s="22"/>
      <c r="EK1035" s="22"/>
      <c r="EL1035" s="22"/>
      <c r="EM1035" s="22"/>
      <c r="EN1035" s="344"/>
      <c r="EO1035" s="344"/>
      <c r="EP1035" s="22"/>
      <c r="EQ1035" s="22"/>
      <c r="ER1035" s="22"/>
      <c r="ES1035" s="344"/>
      <c r="ET1035" s="349"/>
      <c r="EU1035" s="344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T1035" s="27"/>
      <c r="FU1035" s="27"/>
    </row>
    <row r="1036" spans="24:177" s="9" customFormat="1" x14ac:dyDescent="0.2">
      <c r="X1036" s="50"/>
      <c r="AW1036" s="8"/>
      <c r="AX1036" s="108"/>
      <c r="AY1036" s="102"/>
      <c r="AZ1036" s="109"/>
      <c r="BA1036" s="11"/>
      <c r="BB1036" s="9" t="s">
        <v>559</v>
      </c>
      <c r="BC1036" s="22">
        <v>292</v>
      </c>
      <c r="BD1036" s="22"/>
      <c r="CA1036" s="18"/>
      <c r="DH1036" s="22"/>
      <c r="DI1036" s="22"/>
      <c r="DJ1036" s="22"/>
      <c r="DK1036" s="344"/>
      <c r="DL1036" s="361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22"/>
      <c r="EG1036" s="22"/>
      <c r="EH1036" s="22"/>
      <c r="EI1036" s="22"/>
      <c r="EJ1036" s="22"/>
      <c r="EK1036" s="22"/>
      <c r="EL1036" s="22"/>
      <c r="EM1036" s="22"/>
      <c r="EN1036" s="344"/>
      <c r="EO1036" s="344"/>
      <c r="EP1036" s="22"/>
      <c r="EQ1036" s="22"/>
      <c r="ER1036" s="22"/>
      <c r="ES1036" s="344"/>
      <c r="ET1036" s="349"/>
      <c r="EU1036" s="344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T1036" s="27"/>
      <c r="FU1036" s="27"/>
    </row>
    <row r="1037" spans="24:177" s="9" customFormat="1" x14ac:dyDescent="0.2">
      <c r="X1037" s="50"/>
      <c r="AW1037" s="8"/>
      <c r="AX1037" s="108"/>
      <c r="AY1037" s="102"/>
      <c r="AZ1037" s="109"/>
      <c r="BA1037" s="11"/>
      <c r="BB1037" s="9" t="s">
        <v>559</v>
      </c>
      <c r="BC1037" s="22">
        <v>293</v>
      </c>
      <c r="BD1037" s="22"/>
      <c r="CA1037" s="18"/>
      <c r="DH1037" s="22"/>
      <c r="DI1037" s="22"/>
      <c r="DJ1037" s="22"/>
      <c r="DK1037" s="344"/>
      <c r="DL1037" s="361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22"/>
      <c r="EG1037" s="22"/>
      <c r="EH1037" s="22"/>
      <c r="EI1037" s="22"/>
      <c r="EJ1037" s="22"/>
      <c r="EK1037" s="22"/>
      <c r="EL1037" s="22"/>
      <c r="EM1037" s="22"/>
      <c r="EN1037" s="344"/>
      <c r="EO1037" s="344"/>
      <c r="EP1037" s="22"/>
      <c r="EQ1037" s="22"/>
      <c r="ER1037" s="22"/>
      <c r="ES1037" s="344"/>
      <c r="ET1037" s="349"/>
      <c r="EU1037" s="344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T1037" s="27"/>
      <c r="FU1037" s="27"/>
    </row>
    <row r="1038" spans="24:177" s="9" customFormat="1" x14ac:dyDescent="0.2">
      <c r="X1038" s="50"/>
      <c r="AW1038" s="8"/>
      <c r="AX1038" s="108"/>
      <c r="AY1038" s="102"/>
      <c r="AZ1038" s="109"/>
      <c r="BA1038" s="11"/>
      <c r="BB1038" s="9" t="s">
        <v>559</v>
      </c>
      <c r="BC1038" s="22">
        <v>294</v>
      </c>
      <c r="BD1038" s="22"/>
      <c r="CA1038" s="18"/>
      <c r="DH1038" s="22"/>
      <c r="DI1038" s="22"/>
      <c r="DJ1038" s="22"/>
      <c r="DK1038" s="344"/>
      <c r="DL1038" s="361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22"/>
      <c r="EG1038" s="22"/>
      <c r="EH1038" s="22"/>
      <c r="EI1038" s="22"/>
      <c r="EJ1038" s="22"/>
      <c r="EK1038" s="22"/>
      <c r="EL1038" s="22"/>
      <c r="EM1038" s="22"/>
      <c r="EN1038" s="344"/>
      <c r="EO1038" s="344"/>
      <c r="EP1038" s="22"/>
      <c r="EQ1038" s="22"/>
      <c r="ER1038" s="22"/>
      <c r="ES1038" s="344"/>
      <c r="ET1038" s="349"/>
      <c r="EU1038" s="344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T1038" s="27"/>
      <c r="FU1038" s="27"/>
    </row>
    <row r="1039" spans="24:177" s="9" customFormat="1" x14ac:dyDescent="0.2">
      <c r="X1039" s="50"/>
      <c r="AW1039" s="8"/>
      <c r="AX1039" s="108"/>
      <c r="AY1039" s="102"/>
      <c r="AZ1039" s="109"/>
      <c r="BA1039" s="11"/>
      <c r="BB1039" s="9" t="s">
        <v>559</v>
      </c>
      <c r="BC1039" s="22">
        <v>295</v>
      </c>
      <c r="BD1039" s="22"/>
      <c r="CA1039" s="18"/>
      <c r="DH1039" s="22"/>
      <c r="DI1039" s="22"/>
      <c r="DJ1039" s="22"/>
      <c r="DK1039" s="344"/>
      <c r="DL1039" s="361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22"/>
      <c r="EG1039" s="22"/>
      <c r="EH1039" s="22"/>
      <c r="EI1039" s="22"/>
      <c r="EJ1039" s="22"/>
      <c r="EK1039" s="22"/>
      <c r="EL1039" s="22"/>
      <c r="EM1039" s="22"/>
      <c r="EN1039" s="344"/>
      <c r="EO1039" s="344"/>
      <c r="EP1039" s="22"/>
      <c r="EQ1039" s="22"/>
      <c r="ER1039" s="22"/>
      <c r="ES1039" s="344"/>
      <c r="ET1039" s="349"/>
      <c r="EU1039" s="344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T1039" s="27"/>
      <c r="FU1039" s="27"/>
    </row>
    <row r="1040" spans="24:177" s="9" customFormat="1" x14ac:dyDescent="0.2">
      <c r="X1040" s="50"/>
      <c r="AW1040" s="8"/>
      <c r="AX1040" s="108"/>
      <c r="AY1040" s="102"/>
      <c r="AZ1040" s="109"/>
      <c r="BA1040" s="11"/>
      <c r="BB1040" s="9" t="s">
        <v>559</v>
      </c>
      <c r="BC1040" s="22">
        <v>296</v>
      </c>
      <c r="BD1040" s="22"/>
      <c r="CA1040" s="18"/>
      <c r="DH1040" s="22"/>
      <c r="DI1040" s="22"/>
      <c r="DJ1040" s="22"/>
      <c r="DK1040" s="344"/>
      <c r="DL1040" s="361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22"/>
      <c r="EG1040" s="22"/>
      <c r="EH1040" s="22"/>
      <c r="EI1040" s="22"/>
      <c r="EJ1040" s="22"/>
      <c r="EK1040" s="22"/>
      <c r="EL1040" s="22"/>
      <c r="EM1040" s="22"/>
      <c r="EN1040" s="344"/>
      <c r="EO1040" s="344"/>
      <c r="EP1040" s="22"/>
      <c r="EQ1040" s="22"/>
      <c r="ER1040" s="22"/>
      <c r="ES1040" s="344"/>
      <c r="ET1040" s="349"/>
      <c r="EU1040" s="344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T1040" s="27"/>
      <c r="FU1040" s="27"/>
    </row>
    <row r="1041" spans="24:177" s="9" customFormat="1" x14ac:dyDescent="0.2">
      <c r="X1041" s="50"/>
      <c r="AW1041" s="8"/>
      <c r="AX1041" s="108"/>
      <c r="AY1041" s="102"/>
      <c r="AZ1041" s="109"/>
      <c r="BA1041" s="11"/>
      <c r="BB1041" s="9" t="s">
        <v>559</v>
      </c>
      <c r="BC1041" s="22">
        <v>297</v>
      </c>
      <c r="BD1041" s="22"/>
      <c r="CA1041" s="18"/>
      <c r="DH1041" s="22"/>
      <c r="DI1041" s="22"/>
      <c r="DJ1041" s="22"/>
      <c r="DK1041" s="344"/>
      <c r="DL1041" s="361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22"/>
      <c r="EG1041" s="22"/>
      <c r="EH1041" s="22"/>
      <c r="EI1041" s="22"/>
      <c r="EJ1041" s="22"/>
      <c r="EK1041" s="22"/>
      <c r="EL1041" s="22"/>
      <c r="EM1041" s="22"/>
      <c r="EN1041" s="344"/>
      <c r="EO1041" s="344"/>
      <c r="EP1041" s="22"/>
      <c r="EQ1041" s="22"/>
      <c r="ER1041" s="22"/>
      <c r="ES1041" s="344"/>
      <c r="ET1041" s="349"/>
      <c r="EU1041" s="344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T1041" s="27"/>
      <c r="FU1041" s="27"/>
    </row>
    <row r="1042" spans="24:177" s="9" customFormat="1" x14ac:dyDescent="0.2">
      <c r="X1042" s="50"/>
      <c r="AD1042" s="22"/>
      <c r="AW1042" s="8"/>
      <c r="AX1042" s="108"/>
      <c r="AY1042" s="102"/>
      <c r="AZ1042" s="109"/>
      <c r="BA1042" s="11"/>
      <c r="BB1042" s="9" t="s">
        <v>559</v>
      </c>
      <c r="BC1042" s="22">
        <v>298</v>
      </c>
      <c r="BD1042" s="22"/>
      <c r="CA1042" s="18"/>
      <c r="DH1042" s="22"/>
      <c r="DI1042" s="22"/>
      <c r="DJ1042" s="22"/>
      <c r="DK1042" s="344"/>
      <c r="DL1042" s="361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22"/>
      <c r="EG1042" s="22"/>
      <c r="EH1042" s="22"/>
      <c r="EI1042" s="22"/>
      <c r="EJ1042" s="22"/>
      <c r="EK1042" s="22"/>
      <c r="EL1042" s="22"/>
      <c r="EM1042" s="22"/>
      <c r="EN1042" s="344"/>
      <c r="EO1042" s="344"/>
      <c r="EP1042" s="22"/>
      <c r="EQ1042" s="22"/>
      <c r="ER1042" s="22"/>
      <c r="ES1042" s="344"/>
      <c r="ET1042" s="349"/>
      <c r="EU1042" s="344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T1042" s="27"/>
      <c r="FU1042" s="27"/>
    </row>
    <row r="1043" spans="24:177" s="9" customFormat="1" x14ac:dyDescent="0.2">
      <c r="X1043" s="50"/>
      <c r="AD1043" s="22"/>
      <c r="AW1043" s="8"/>
      <c r="AX1043" s="108"/>
      <c r="AY1043" s="102"/>
      <c r="AZ1043" s="109"/>
      <c r="BA1043" s="11"/>
      <c r="BB1043" s="9" t="s">
        <v>559</v>
      </c>
      <c r="BC1043" s="22">
        <v>299</v>
      </c>
      <c r="BD1043" s="22"/>
      <c r="CA1043" s="18"/>
      <c r="DH1043" s="22"/>
      <c r="DI1043" s="22"/>
      <c r="DJ1043" s="22"/>
      <c r="DK1043" s="344"/>
      <c r="DL1043" s="361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22"/>
      <c r="EG1043" s="22"/>
      <c r="EH1043" s="22"/>
      <c r="EI1043" s="22"/>
      <c r="EJ1043" s="22"/>
      <c r="EK1043" s="22"/>
      <c r="EL1043" s="22"/>
      <c r="EM1043" s="22"/>
      <c r="EN1043" s="344"/>
      <c r="EO1043" s="344"/>
      <c r="EP1043" s="22"/>
      <c r="EQ1043" s="22"/>
      <c r="ER1043" s="22"/>
      <c r="ES1043" s="344"/>
      <c r="ET1043" s="349"/>
      <c r="EU1043" s="344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T1043" s="27"/>
      <c r="FU1043" s="27"/>
    </row>
    <row r="1044" spans="24:177" s="9" customFormat="1" x14ac:dyDescent="0.2">
      <c r="X1044" s="50"/>
      <c r="AD1044" s="22"/>
      <c r="AW1044" s="8"/>
      <c r="AX1044" s="108"/>
      <c r="AY1044" s="102"/>
      <c r="AZ1044" s="109"/>
      <c r="BA1044" s="11"/>
      <c r="BB1044" s="9" t="s">
        <v>559</v>
      </c>
      <c r="BC1044" s="22">
        <v>300</v>
      </c>
      <c r="BD1044" s="22"/>
      <c r="CA1044" s="18"/>
      <c r="DH1044" s="22"/>
      <c r="DI1044" s="22"/>
      <c r="DJ1044" s="22"/>
      <c r="DK1044" s="344"/>
      <c r="DL1044" s="361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22"/>
      <c r="EG1044" s="22"/>
      <c r="EH1044" s="22"/>
      <c r="EI1044" s="22"/>
      <c r="EJ1044" s="22"/>
      <c r="EK1044" s="22"/>
      <c r="EL1044" s="22"/>
      <c r="EM1044" s="22"/>
      <c r="EN1044" s="344"/>
      <c r="EO1044" s="344"/>
      <c r="EP1044" s="22"/>
      <c r="EQ1044" s="22"/>
      <c r="ER1044" s="22"/>
      <c r="ES1044" s="344"/>
      <c r="ET1044" s="349"/>
      <c r="EU1044" s="344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T1044" s="27"/>
      <c r="FU1044" s="27"/>
    </row>
    <row r="1045" spans="24:177" s="9" customFormat="1" x14ac:dyDescent="0.2">
      <c r="X1045" s="50"/>
      <c r="AD1045" s="22"/>
      <c r="AW1045" s="8"/>
      <c r="AX1045" s="108"/>
      <c r="AY1045" s="102"/>
      <c r="AZ1045" s="109"/>
      <c r="BA1045" s="11"/>
      <c r="BB1045" s="9" t="s">
        <v>559</v>
      </c>
      <c r="BC1045" s="22">
        <v>301</v>
      </c>
      <c r="BD1045" s="22"/>
      <c r="CA1045" s="18"/>
      <c r="DH1045" s="22"/>
      <c r="DI1045" s="22"/>
      <c r="DJ1045" s="22"/>
      <c r="DK1045" s="344"/>
      <c r="DL1045" s="361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22"/>
      <c r="EG1045" s="22"/>
      <c r="EH1045" s="22"/>
      <c r="EI1045" s="22"/>
      <c r="EJ1045" s="22"/>
      <c r="EK1045" s="22"/>
      <c r="EL1045" s="22"/>
      <c r="EM1045" s="22"/>
      <c r="EN1045" s="344"/>
      <c r="EO1045" s="344"/>
      <c r="EP1045" s="22"/>
      <c r="EQ1045" s="22"/>
      <c r="ER1045" s="22"/>
      <c r="ES1045" s="344"/>
      <c r="ET1045" s="349"/>
      <c r="EU1045" s="344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T1045" s="27"/>
      <c r="FU1045" s="27"/>
    </row>
    <row r="1046" spans="24:177" s="9" customFormat="1" x14ac:dyDescent="0.2">
      <c r="X1046" s="50"/>
      <c r="AD1046" s="22"/>
      <c r="AW1046" s="8"/>
      <c r="AX1046" s="108"/>
      <c r="AY1046" s="102"/>
      <c r="AZ1046" s="109"/>
      <c r="BA1046" s="11"/>
      <c r="BB1046" s="9" t="s">
        <v>559</v>
      </c>
      <c r="BC1046" s="22">
        <v>302</v>
      </c>
      <c r="BD1046" s="22"/>
      <c r="CA1046" s="18"/>
      <c r="DH1046" s="22"/>
      <c r="DI1046" s="22"/>
      <c r="DJ1046" s="22"/>
      <c r="DK1046" s="344"/>
      <c r="DL1046" s="361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22"/>
      <c r="EG1046" s="22"/>
      <c r="EH1046" s="22"/>
      <c r="EI1046" s="22"/>
      <c r="EJ1046" s="22"/>
      <c r="EK1046" s="22"/>
      <c r="EL1046" s="22"/>
      <c r="EM1046" s="22"/>
      <c r="EN1046" s="344"/>
      <c r="EO1046" s="344"/>
      <c r="EP1046" s="22"/>
      <c r="EQ1046" s="22"/>
      <c r="ER1046" s="22"/>
      <c r="ES1046" s="344"/>
      <c r="ET1046" s="349"/>
      <c r="EU1046" s="344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T1046" s="27"/>
      <c r="FU1046" s="27"/>
    </row>
    <row r="1047" spans="24:177" s="9" customFormat="1" x14ac:dyDescent="0.2">
      <c r="X1047" s="50"/>
      <c r="AD1047" s="22"/>
      <c r="AW1047" s="8"/>
      <c r="AX1047" s="108"/>
      <c r="AY1047" s="102"/>
      <c r="AZ1047" s="109"/>
      <c r="BA1047" s="11"/>
      <c r="BB1047" s="9" t="s">
        <v>559</v>
      </c>
      <c r="BC1047" s="22">
        <v>303</v>
      </c>
      <c r="BD1047" s="22"/>
      <c r="CA1047" s="18"/>
      <c r="DH1047" s="22"/>
      <c r="DI1047" s="22"/>
      <c r="DJ1047" s="22"/>
      <c r="DK1047" s="344"/>
      <c r="DL1047" s="361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22"/>
      <c r="EG1047" s="22"/>
      <c r="EH1047" s="22"/>
      <c r="EI1047" s="22"/>
      <c r="EJ1047" s="22"/>
      <c r="EK1047" s="22"/>
      <c r="EL1047" s="22"/>
      <c r="EM1047" s="22"/>
      <c r="EN1047" s="344"/>
      <c r="EO1047" s="344"/>
      <c r="EP1047" s="22"/>
      <c r="EQ1047" s="22"/>
      <c r="ER1047" s="22"/>
      <c r="ES1047" s="344"/>
      <c r="ET1047" s="349"/>
      <c r="EU1047" s="344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T1047" s="27"/>
      <c r="FU1047" s="27"/>
    </row>
    <row r="1048" spans="24:177" s="9" customFormat="1" x14ac:dyDescent="0.2">
      <c r="X1048" s="50"/>
      <c r="AD1048" s="22"/>
      <c r="AW1048" s="8"/>
      <c r="AX1048" s="108"/>
      <c r="AY1048" s="102"/>
      <c r="AZ1048" s="109"/>
      <c r="BA1048" s="11"/>
      <c r="BB1048" s="9" t="s">
        <v>559</v>
      </c>
      <c r="BC1048" s="22">
        <v>304</v>
      </c>
      <c r="BD1048" s="22"/>
      <c r="CA1048" s="18"/>
      <c r="DH1048" s="22"/>
      <c r="DI1048" s="22"/>
      <c r="DJ1048" s="22"/>
      <c r="DK1048" s="344"/>
      <c r="DL1048" s="361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22"/>
      <c r="EG1048" s="22"/>
      <c r="EH1048" s="22"/>
      <c r="EI1048" s="22"/>
      <c r="EJ1048" s="22"/>
      <c r="EK1048" s="22"/>
      <c r="EL1048" s="22"/>
      <c r="EM1048" s="22"/>
      <c r="EN1048" s="344"/>
      <c r="EO1048" s="344"/>
      <c r="EP1048" s="22"/>
      <c r="EQ1048" s="22"/>
      <c r="ER1048" s="22"/>
      <c r="ES1048" s="344"/>
      <c r="ET1048" s="349"/>
      <c r="EU1048" s="344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T1048" s="27"/>
      <c r="FU1048" s="27"/>
    </row>
    <row r="1049" spans="24:177" s="9" customFormat="1" x14ac:dyDescent="0.2">
      <c r="X1049" s="50"/>
      <c r="AD1049" s="22"/>
      <c r="AW1049" s="8"/>
      <c r="AX1049" s="108"/>
      <c r="AY1049" s="102"/>
      <c r="AZ1049" s="109"/>
      <c r="BA1049" s="11"/>
      <c r="BB1049" s="9" t="s">
        <v>559</v>
      </c>
      <c r="BC1049" s="22">
        <v>305</v>
      </c>
      <c r="BD1049" s="22"/>
      <c r="CA1049" s="18"/>
      <c r="DH1049" s="22"/>
      <c r="DI1049" s="22"/>
      <c r="DJ1049" s="22"/>
      <c r="DK1049" s="344"/>
      <c r="DL1049" s="361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22"/>
      <c r="EG1049" s="22"/>
      <c r="EH1049" s="22"/>
      <c r="EI1049" s="22"/>
      <c r="EJ1049" s="22"/>
      <c r="EK1049" s="22"/>
      <c r="EL1049" s="22"/>
      <c r="EM1049" s="22"/>
      <c r="EN1049" s="344"/>
      <c r="EO1049" s="344"/>
      <c r="EP1049" s="22"/>
      <c r="EQ1049" s="22"/>
      <c r="ER1049" s="22"/>
      <c r="ES1049" s="344"/>
      <c r="ET1049" s="349"/>
      <c r="EU1049" s="344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T1049" s="27"/>
      <c r="FU1049" s="27"/>
    </row>
    <row r="1050" spans="24:177" s="9" customFormat="1" x14ac:dyDescent="0.2">
      <c r="X1050" s="50"/>
      <c r="AD1050" s="22"/>
      <c r="AW1050" s="8"/>
      <c r="AX1050" s="108"/>
      <c r="AY1050" s="102"/>
      <c r="AZ1050" s="109"/>
      <c r="BA1050" s="11"/>
      <c r="BB1050" s="9" t="s">
        <v>559</v>
      </c>
      <c r="BC1050" s="22">
        <v>306</v>
      </c>
      <c r="BD1050" s="22"/>
      <c r="CA1050" s="18"/>
      <c r="DH1050" s="22"/>
      <c r="DI1050" s="22"/>
      <c r="DJ1050" s="22"/>
      <c r="DK1050" s="344"/>
      <c r="DL1050" s="361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22"/>
      <c r="EG1050" s="22"/>
      <c r="EH1050" s="22"/>
      <c r="EI1050" s="22"/>
      <c r="EJ1050" s="22"/>
      <c r="EK1050" s="22"/>
      <c r="EL1050" s="22"/>
      <c r="EM1050" s="22"/>
      <c r="EN1050" s="344"/>
      <c r="EO1050" s="344"/>
      <c r="EP1050" s="22"/>
      <c r="EQ1050" s="22"/>
      <c r="ER1050" s="22"/>
      <c r="ES1050" s="344"/>
      <c r="ET1050" s="349"/>
      <c r="EU1050" s="344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T1050" s="27"/>
      <c r="FU1050" s="27"/>
    </row>
    <row r="1051" spans="24:177" s="9" customFormat="1" x14ac:dyDescent="0.2">
      <c r="X1051" s="50"/>
      <c r="AD1051" s="22"/>
      <c r="AW1051" s="8"/>
      <c r="AX1051" s="108"/>
      <c r="AY1051" s="102"/>
      <c r="AZ1051" s="109"/>
      <c r="BA1051" s="11"/>
      <c r="BB1051" s="9" t="s">
        <v>559</v>
      </c>
      <c r="BC1051" s="22">
        <v>307</v>
      </c>
      <c r="BD1051" s="22"/>
      <c r="CA1051" s="18"/>
      <c r="DH1051" s="22"/>
      <c r="DI1051" s="22"/>
      <c r="DJ1051" s="22"/>
      <c r="DK1051" s="344"/>
      <c r="DL1051" s="361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22"/>
      <c r="EG1051" s="22"/>
      <c r="EH1051" s="22"/>
      <c r="EI1051" s="22"/>
      <c r="EJ1051" s="22"/>
      <c r="EK1051" s="22"/>
      <c r="EL1051" s="22"/>
      <c r="EM1051" s="22"/>
      <c r="EN1051" s="344"/>
      <c r="EO1051" s="344"/>
      <c r="EP1051" s="22"/>
      <c r="EQ1051" s="22"/>
      <c r="ER1051" s="22"/>
      <c r="ES1051" s="344"/>
      <c r="ET1051" s="349"/>
      <c r="EU1051" s="344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T1051" s="27"/>
      <c r="FU1051" s="27"/>
    </row>
    <row r="1052" spans="24:177" s="9" customFormat="1" x14ac:dyDescent="0.2">
      <c r="X1052" s="50"/>
      <c r="AD1052" s="22"/>
      <c r="AW1052" s="8"/>
      <c r="AX1052" s="108"/>
      <c r="AY1052" s="102"/>
      <c r="AZ1052" s="109"/>
      <c r="BA1052" s="11"/>
      <c r="BB1052" s="9" t="s">
        <v>559</v>
      </c>
      <c r="BC1052" s="22">
        <v>308</v>
      </c>
      <c r="BD1052" s="22"/>
      <c r="CA1052" s="18"/>
      <c r="DH1052" s="22"/>
      <c r="DI1052" s="22"/>
      <c r="DJ1052" s="22"/>
      <c r="DK1052" s="344"/>
      <c r="DL1052" s="361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22"/>
      <c r="EG1052" s="22"/>
      <c r="EH1052" s="22"/>
      <c r="EI1052" s="22"/>
      <c r="EJ1052" s="22"/>
      <c r="EK1052" s="22"/>
      <c r="EL1052" s="22"/>
      <c r="EM1052" s="22"/>
      <c r="EN1052" s="344"/>
      <c r="EO1052" s="344"/>
      <c r="EP1052" s="22"/>
      <c r="EQ1052" s="22"/>
      <c r="ER1052" s="22"/>
      <c r="ES1052" s="344"/>
      <c r="ET1052" s="349"/>
      <c r="EU1052" s="344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T1052" s="27"/>
      <c r="FU1052" s="27"/>
    </row>
    <row r="1053" spans="24:177" s="9" customFormat="1" x14ac:dyDescent="0.2">
      <c r="X1053" s="50"/>
      <c r="AD1053" s="22"/>
      <c r="AW1053" s="8"/>
      <c r="AX1053" s="108"/>
      <c r="AY1053" s="102"/>
      <c r="AZ1053" s="109"/>
      <c r="BA1053" s="11"/>
      <c r="BB1053" s="9" t="s">
        <v>559</v>
      </c>
      <c r="BC1053" s="22">
        <v>309</v>
      </c>
      <c r="BD1053" s="22"/>
      <c r="CA1053" s="18"/>
      <c r="DH1053" s="22"/>
      <c r="DI1053" s="22"/>
      <c r="DJ1053" s="22"/>
      <c r="DK1053" s="344"/>
      <c r="DL1053" s="361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22"/>
      <c r="EG1053" s="22"/>
      <c r="EH1053" s="22"/>
      <c r="EI1053" s="22"/>
      <c r="EJ1053" s="22"/>
      <c r="EK1053" s="22"/>
      <c r="EL1053" s="22"/>
      <c r="EM1053" s="22"/>
      <c r="EN1053" s="344"/>
      <c r="EO1053" s="344"/>
      <c r="EP1053" s="22"/>
      <c r="EQ1053" s="22"/>
      <c r="ER1053" s="22"/>
      <c r="ES1053" s="344"/>
      <c r="ET1053" s="349"/>
      <c r="EU1053" s="344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T1053" s="27"/>
      <c r="FU1053" s="27"/>
    </row>
    <row r="1054" spans="24:177" s="9" customFormat="1" x14ac:dyDescent="0.2">
      <c r="X1054" s="50"/>
      <c r="AD1054" s="22"/>
      <c r="AW1054" s="8"/>
      <c r="AX1054" s="108"/>
      <c r="AY1054" s="102"/>
      <c r="AZ1054" s="109"/>
      <c r="BA1054" s="11"/>
      <c r="BB1054" s="9" t="s">
        <v>559</v>
      </c>
      <c r="BC1054" s="22">
        <v>310</v>
      </c>
      <c r="BD1054" s="22"/>
      <c r="CA1054" s="18"/>
      <c r="DH1054" s="22"/>
      <c r="DI1054" s="22"/>
      <c r="DJ1054" s="22"/>
      <c r="DK1054" s="344"/>
      <c r="DL1054" s="361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22"/>
      <c r="EG1054" s="22"/>
      <c r="EH1054" s="22"/>
      <c r="EI1054" s="22"/>
      <c r="EJ1054" s="22"/>
      <c r="EK1054" s="22"/>
      <c r="EL1054" s="22"/>
      <c r="EM1054" s="22"/>
      <c r="EN1054" s="344"/>
      <c r="EO1054" s="344"/>
      <c r="EP1054" s="22"/>
      <c r="EQ1054" s="22"/>
      <c r="ER1054" s="22"/>
      <c r="ES1054" s="344"/>
      <c r="ET1054" s="349"/>
      <c r="EU1054" s="344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T1054" s="27"/>
      <c r="FU1054" s="27"/>
    </row>
    <row r="1055" spans="24:177" s="9" customFormat="1" x14ac:dyDescent="0.2">
      <c r="X1055" s="50"/>
      <c r="AD1055" s="22"/>
      <c r="AW1055" s="8"/>
      <c r="AX1055" s="108"/>
      <c r="AY1055" s="102"/>
      <c r="AZ1055" s="109"/>
      <c r="BA1055" s="11"/>
      <c r="BB1055" s="9" t="s">
        <v>559</v>
      </c>
      <c r="BC1055" s="22">
        <v>311</v>
      </c>
      <c r="BD1055" s="22"/>
      <c r="CA1055" s="18"/>
      <c r="DH1055" s="22"/>
      <c r="DI1055" s="22"/>
      <c r="DJ1055" s="22"/>
      <c r="DK1055" s="344"/>
      <c r="DL1055" s="361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22"/>
      <c r="EG1055" s="22"/>
      <c r="EH1055" s="22"/>
      <c r="EI1055" s="22"/>
      <c r="EJ1055" s="22"/>
      <c r="EK1055" s="22"/>
      <c r="EL1055" s="22"/>
      <c r="EM1055" s="22"/>
      <c r="EN1055" s="344"/>
      <c r="EO1055" s="344"/>
      <c r="EP1055" s="22"/>
      <c r="EQ1055" s="22"/>
      <c r="ER1055" s="22"/>
      <c r="ES1055" s="344"/>
      <c r="ET1055" s="349"/>
      <c r="EU1055" s="344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T1055" s="27"/>
      <c r="FU1055" s="27"/>
    </row>
    <row r="1056" spans="24:177" s="9" customFormat="1" x14ac:dyDescent="0.2">
      <c r="X1056" s="50"/>
      <c r="AD1056" s="22"/>
      <c r="AW1056" s="8"/>
      <c r="AX1056" s="108"/>
      <c r="AY1056" s="102"/>
      <c r="AZ1056" s="109"/>
      <c r="BA1056" s="11"/>
      <c r="BB1056" s="9" t="s">
        <v>559</v>
      </c>
      <c r="BC1056" s="22">
        <v>312</v>
      </c>
      <c r="BD1056" s="22"/>
      <c r="CA1056" s="18"/>
      <c r="DH1056" s="22"/>
      <c r="DI1056" s="22"/>
      <c r="DJ1056" s="22"/>
      <c r="DK1056" s="344"/>
      <c r="DL1056" s="361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22"/>
      <c r="EG1056" s="22"/>
      <c r="EH1056" s="22"/>
      <c r="EI1056" s="22"/>
      <c r="EJ1056" s="22"/>
      <c r="EK1056" s="22"/>
      <c r="EL1056" s="22"/>
      <c r="EM1056" s="22"/>
      <c r="EN1056" s="344"/>
      <c r="EO1056" s="344"/>
      <c r="EP1056" s="22"/>
      <c r="EQ1056" s="22"/>
      <c r="ER1056" s="22"/>
      <c r="ES1056" s="344"/>
      <c r="ET1056" s="349"/>
      <c r="EU1056" s="344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T1056" s="27"/>
      <c r="FU1056" s="27"/>
    </row>
    <row r="1057" spans="24:177" s="9" customFormat="1" x14ac:dyDescent="0.2">
      <c r="X1057" s="50"/>
      <c r="AD1057" s="22"/>
      <c r="AW1057" s="8"/>
      <c r="AX1057" s="108"/>
      <c r="AY1057" s="102"/>
      <c r="AZ1057" s="109"/>
      <c r="BA1057" s="11"/>
      <c r="BB1057" s="9" t="s">
        <v>559</v>
      </c>
      <c r="BC1057" s="22">
        <v>313</v>
      </c>
      <c r="BD1057" s="22"/>
      <c r="CA1057" s="18"/>
      <c r="DH1057" s="22"/>
      <c r="DI1057" s="22"/>
      <c r="DJ1057" s="22"/>
      <c r="DK1057" s="344"/>
      <c r="DL1057" s="361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22"/>
      <c r="EG1057" s="22"/>
      <c r="EH1057" s="22"/>
      <c r="EI1057" s="22"/>
      <c r="EJ1057" s="22"/>
      <c r="EK1057" s="22"/>
      <c r="EL1057" s="22"/>
      <c r="EM1057" s="22"/>
      <c r="EN1057" s="344"/>
      <c r="EO1057" s="344"/>
      <c r="EP1057" s="22"/>
      <c r="EQ1057" s="22"/>
      <c r="ER1057" s="22"/>
      <c r="ES1057" s="344"/>
      <c r="ET1057" s="349"/>
      <c r="EU1057" s="344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T1057" s="27"/>
      <c r="FU1057" s="27"/>
    </row>
    <row r="1058" spans="24:177" s="9" customFormat="1" x14ac:dyDescent="0.2">
      <c r="X1058" s="50"/>
      <c r="AD1058" s="22"/>
      <c r="AW1058" s="8"/>
      <c r="AX1058" s="108"/>
      <c r="AY1058" s="102"/>
      <c r="AZ1058" s="109"/>
      <c r="BA1058" s="11"/>
      <c r="BB1058" s="9" t="s">
        <v>559</v>
      </c>
      <c r="BC1058" s="22">
        <v>314</v>
      </c>
      <c r="BD1058" s="22"/>
      <c r="CA1058" s="18"/>
      <c r="DH1058" s="22"/>
      <c r="DI1058" s="22"/>
      <c r="DJ1058" s="22"/>
      <c r="DK1058" s="344"/>
      <c r="DL1058" s="361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22"/>
      <c r="EG1058" s="22"/>
      <c r="EH1058" s="22"/>
      <c r="EI1058" s="22"/>
      <c r="EJ1058" s="22"/>
      <c r="EK1058" s="22"/>
      <c r="EL1058" s="22"/>
      <c r="EM1058" s="22"/>
      <c r="EN1058" s="344"/>
      <c r="EO1058" s="344"/>
      <c r="EP1058" s="22"/>
      <c r="EQ1058" s="22"/>
      <c r="ER1058" s="22"/>
      <c r="ES1058" s="344"/>
      <c r="ET1058" s="349"/>
      <c r="EU1058" s="344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T1058" s="27"/>
      <c r="FU1058" s="27"/>
    </row>
    <row r="1059" spans="24:177" s="9" customFormat="1" x14ac:dyDescent="0.2">
      <c r="X1059" s="50"/>
      <c r="AD1059" s="22"/>
      <c r="AW1059" s="8"/>
      <c r="AX1059" s="108"/>
      <c r="AY1059" s="102"/>
      <c r="AZ1059" s="109"/>
      <c r="BA1059" s="11"/>
      <c r="BB1059" s="9" t="s">
        <v>559</v>
      </c>
      <c r="BC1059" s="22">
        <v>315</v>
      </c>
      <c r="BD1059" s="22"/>
      <c r="CA1059" s="18"/>
      <c r="DH1059" s="22"/>
      <c r="DI1059" s="22"/>
      <c r="DJ1059" s="22"/>
      <c r="DK1059" s="344"/>
      <c r="DL1059" s="361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22"/>
      <c r="EG1059" s="22"/>
      <c r="EH1059" s="22"/>
      <c r="EI1059" s="22"/>
      <c r="EJ1059" s="22"/>
      <c r="EK1059" s="22"/>
      <c r="EL1059" s="22"/>
      <c r="EM1059" s="22"/>
      <c r="EN1059" s="344"/>
      <c r="EO1059" s="344"/>
      <c r="EP1059" s="22"/>
      <c r="EQ1059" s="22"/>
      <c r="ER1059" s="22"/>
      <c r="ES1059" s="344"/>
      <c r="ET1059" s="349"/>
      <c r="EU1059" s="344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T1059" s="27"/>
      <c r="FU1059" s="27"/>
    </row>
    <row r="1060" spans="24:177" s="9" customFormat="1" x14ac:dyDescent="0.2">
      <c r="X1060" s="50"/>
      <c r="AD1060" s="22"/>
      <c r="AW1060" s="8"/>
      <c r="AX1060" s="108"/>
      <c r="AY1060" s="102"/>
      <c r="AZ1060" s="109"/>
      <c r="BA1060" s="11"/>
      <c r="BB1060" s="9" t="s">
        <v>559</v>
      </c>
      <c r="BC1060" s="22">
        <v>316</v>
      </c>
      <c r="BD1060" s="22"/>
      <c r="CA1060" s="18"/>
      <c r="CD1060" s="22"/>
      <c r="CE1060" s="22"/>
      <c r="DH1060" s="22"/>
      <c r="DI1060" s="22"/>
      <c r="DJ1060" s="22"/>
      <c r="DK1060" s="344"/>
      <c r="DL1060" s="361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22"/>
      <c r="EG1060" s="22"/>
      <c r="EH1060" s="22"/>
      <c r="EI1060" s="22"/>
      <c r="EJ1060" s="22"/>
      <c r="EK1060" s="22"/>
      <c r="EL1060" s="22"/>
      <c r="EM1060" s="22"/>
      <c r="EN1060" s="344"/>
      <c r="EO1060" s="344"/>
      <c r="EP1060" s="22"/>
      <c r="EQ1060" s="22"/>
      <c r="ER1060" s="22"/>
      <c r="ES1060" s="344"/>
      <c r="ET1060" s="349"/>
      <c r="EU1060" s="344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T1060" s="27"/>
      <c r="FU1060" s="27"/>
    </row>
    <row r="1061" spans="24:177" s="9" customFormat="1" x14ac:dyDescent="0.2">
      <c r="X1061" s="50"/>
      <c r="AD1061" s="22"/>
      <c r="AW1061" s="8"/>
      <c r="AX1061" s="108"/>
      <c r="AY1061" s="102"/>
      <c r="AZ1061" s="109"/>
      <c r="BA1061" s="11"/>
      <c r="BB1061" s="9" t="s">
        <v>559</v>
      </c>
      <c r="BC1061" s="22">
        <v>317</v>
      </c>
      <c r="BD1061" s="22"/>
      <c r="CA1061" s="18"/>
      <c r="CD1061" s="22"/>
      <c r="CE1061" s="22"/>
      <c r="DH1061" s="22"/>
      <c r="DI1061" s="22"/>
      <c r="DJ1061" s="22"/>
      <c r="DK1061" s="344"/>
      <c r="DL1061" s="361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22"/>
      <c r="EG1061" s="22"/>
      <c r="EH1061" s="22"/>
      <c r="EI1061" s="22"/>
      <c r="EJ1061" s="22"/>
      <c r="EK1061" s="22"/>
      <c r="EL1061" s="22"/>
      <c r="EM1061" s="22"/>
      <c r="EN1061" s="344"/>
      <c r="EO1061" s="344"/>
      <c r="EP1061" s="22"/>
      <c r="EQ1061" s="22"/>
      <c r="ER1061" s="22"/>
      <c r="ES1061" s="344"/>
      <c r="ET1061" s="349"/>
      <c r="EU1061" s="344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T1061" s="27"/>
      <c r="FU1061" s="27"/>
    </row>
    <row r="1062" spans="24:177" s="9" customFormat="1" x14ac:dyDescent="0.2">
      <c r="X1062" s="50"/>
      <c r="AD1062" s="22"/>
      <c r="AW1062" s="8"/>
      <c r="AX1062" s="108"/>
      <c r="AY1062" s="102"/>
      <c r="AZ1062" s="109"/>
      <c r="BA1062" s="11"/>
      <c r="BB1062" s="9" t="s">
        <v>559</v>
      </c>
      <c r="BC1062" s="22">
        <v>318</v>
      </c>
      <c r="BD1062" s="22"/>
      <c r="CA1062" s="18"/>
      <c r="CD1062" s="22"/>
      <c r="CE1062" s="22"/>
      <c r="DH1062" s="22"/>
      <c r="DI1062" s="22"/>
      <c r="DJ1062" s="22"/>
      <c r="DK1062" s="344"/>
      <c r="DL1062" s="361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22"/>
      <c r="EG1062" s="22"/>
      <c r="EH1062" s="22"/>
      <c r="EI1062" s="22"/>
      <c r="EJ1062" s="22"/>
      <c r="EK1062" s="22"/>
      <c r="EL1062" s="22"/>
      <c r="EM1062" s="22"/>
      <c r="EN1062" s="344"/>
      <c r="EO1062" s="344"/>
      <c r="EP1062" s="22"/>
      <c r="EQ1062" s="22"/>
      <c r="ER1062" s="22"/>
      <c r="ES1062" s="344"/>
      <c r="ET1062" s="349"/>
      <c r="EU1062" s="344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T1062" s="27"/>
      <c r="FU1062" s="27"/>
    </row>
    <row r="1063" spans="24:177" s="9" customFormat="1" x14ac:dyDescent="0.2">
      <c r="X1063" s="50"/>
      <c r="AD1063" s="22"/>
      <c r="AW1063" s="8"/>
      <c r="AX1063" s="108"/>
      <c r="AY1063" s="102"/>
      <c r="AZ1063" s="109"/>
      <c r="BA1063" s="11"/>
      <c r="BB1063" s="9" t="s">
        <v>559</v>
      </c>
      <c r="BC1063" s="22">
        <v>319</v>
      </c>
      <c r="BD1063" s="22"/>
      <c r="CA1063" s="18"/>
      <c r="CD1063" s="22"/>
      <c r="CE1063" s="22"/>
      <c r="DH1063" s="22"/>
      <c r="DI1063" s="22"/>
      <c r="DJ1063" s="22"/>
      <c r="DK1063" s="344"/>
      <c r="DL1063" s="361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22"/>
      <c r="EG1063" s="22"/>
      <c r="EH1063" s="22"/>
      <c r="EI1063" s="22"/>
      <c r="EJ1063" s="22"/>
      <c r="EK1063" s="22"/>
      <c r="EL1063" s="22"/>
      <c r="EM1063" s="22"/>
      <c r="EN1063" s="344"/>
      <c r="EO1063" s="344"/>
      <c r="EP1063" s="22"/>
      <c r="EQ1063" s="22"/>
      <c r="ER1063" s="22"/>
      <c r="ES1063" s="344"/>
      <c r="ET1063" s="349"/>
      <c r="EU1063" s="344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T1063" s="27"/>
      <c r="FU1063" s="27"/>
    </row>
    <row r="1064" spans="24:177" s="9" customFormat="1" x14ac:dyDescent="0.2">
      <c r="X1064" s="50"/>
      <c r="AD1064" s="22"/>
      <c r="AW1064" s="8"/>
      <c r="AX1064" s="108"/>
      <c r="AY1064" s="102"/>
      <c r="AZ1064" s="109"/>
      <c r="BA1064" s="11"/>
      <c r="BB1064" s="9" t="s">
        <v>559</v>
      </c>
      <c r="BC1064" s="22">
        <v>320</v>
      </c>
      <c r="BD1064" s="22"/>
      <c r="CA1064" s="18"/>
      <c r="CD1064" s="22"/>
      <c r="CE1064" s="22"/>
      <c r="DH1064" s="22"/>
      <c r="DI1064" s="22"/>
      <c r="DJ1064" s="22"/>
      <c r="DK1064" s="344"/>
      <c r="DL1064" s="361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22"/>
      <c r="EG1064" s="22"/>
      <c r="EH1064" s="22"/>
      <c r="EI1064" s="22"/>
      <c r="EJ1064" s="22"/>
      <c r="EK1064" s="22"/>
      <c r="EL1064" s="22"/>
      <c r="EM1064" s="22"/>
      <c r="EN1064" s="344"/>
      <c r="EO1064" s="344"/>
      <c r="EP1064" s="22"/>
      <c r="EQ1064" s="22"/>
      <c r="ER1064" s="22"/>
      <c r="ES1064" s="344"/>
      <c r="ET1064" s="349"/>
      <c r="EU1064" s="344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T1064" s="27"/>
      <c r="FU1064" s="27"/>
    </row>
    <row r="1065" spans="24:177" s="9" customFormat="1" x14ac:dyDescent="0.2">
      <c r="X1065" s="50"/>
      <c r="AD1065" s="22"/>
      <c r="AW1065" s="8"/>
      <c r="AX1065" s="108"/>
      <c r="AY1065" s="102"/>
      <c r="AZ1065" s="109"/>
      <c r="BA1065" s="11"/>
      <c r="BB1065" s="9" t="s">
        <v>559</v>
      </c>
      <c r="BC1065" s="22">
        <v>321</v>
      </c>
      <c r="BD1065" s="22"/>
      <c r="CA1065" s="18"/>
      <c r="CD1065" s="22"/>
      <c r="CE1065" s="22"/>
      <c r="DH1065" s="22"/>
      <c r="DI1065" s="22"/>
      <c r="DJ1065" s="22"/>
      <c r="DK1065" s="344"/>
      <c r="DL1065" s="361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22"/>
      <c r="EG1065" s="22"/>
      <c r="EH1065" s="22"/>
      <c r="EI1065" s="22"/>
      <c r="EJ1065" s="22"/>
      <c r="EK1065" s="22"/>
      <c r="EL1065" s="22"/>
      <c r="EM1065" s="22"/>
      <c r="EN1065" s="344"/>
      <c r="EO1065" s="344"/>
      <c r="EP1065" s="22"/>
      <c r="EQ1065" s="22"/>
      <c r="ER1065" s="22"/>
      <c r="ES1065" s="344"/>
      <c r="ET1065" s="349"/>
      <c r="EU1065" s="344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T1065" s="27"/>
      <c r="FU1065" s="27"/>
    </row>
    <row r="1066" spans="24:177" s="9" customFormat="1" x14ac:dyDescent="0.2">
      <c r="X1066" s="50"/>
      <c r="AD1066" s="22"/>
      <c r="AW1066" s="8"/>
      <c r="AX1066" s="108"/>
      <c r="AY1066" s="102"/>
      <c r="AZ1066" s="109"/>
      <c r="BA1066" s="11"/>
      <c r="BB1066" s="9" t="s">
        <v>559</v>
      </c>
      <c r="BC1066" s="22">
        <v>322</v>
      </c>
      <c r="BD1066" s="22"/>
      <c r="CA1066" s="18"/>
      <c r="CD1066" s="22"/>
      <c r="CE1066" s="22"/>
      <c r="DH1066" s="22"/>
      <c r="DI1066" s="22"/>
      <c r="DJ1066" s="22"/>
      <c r="DK1066" s="344"/>
      <c r="DL1066" s="361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22"/>
      <c r="EG1066" s="22"/>
      <c r="EH1066" s="22"/>
      <c r="EI1066" s="22"/>
      <c r="EJ1066" s="22"/>
      <c r="EK1066" s="22"/>
      <c r="EL1066" s="22"/>
      <c r="EM1066" s="22"/>
      <c r="EN1066" s="344"/>
      <c r="EO1066" s="344"/>
      <c r="EP1066" s="22"/>
      <c r="EQ1066" s="22"/>
      <c r="ER1066" s="22"/>
      <c r="ES1066" s="344"/>
      <c r="ET1066" s="349"/>
      <c r="EU1066" s="344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T1066" s="27"/>
      <c r="FU1066" s="27"/>
    </row>
    <row r="1067" spans="24:177" s="9" customFormat="1" x14ac:dyDescent="0.2">
      <c r="X1067" s="50"/>
      <c r="AD1067" s="22"/>
      <c r="AW1067" s="8"/>
      <c r="AX1067" s="108"/>
      <c r="AY1067" s="102"/>
      <c r="AZ1067" s="109"/>
      <c r="BA1067" s="11"/>
      <c r="BB1067" s="9" t="s">
        <v>559</v>
      </c>
      <c r="BC1067" s="22">
        <v>323</v>
      </c>
      <c r="BD1067" s="22"/>
      <c r="CA1067" s="18"/>
      <c r="CD1067" s="22"/>
      <c r="CE1067" s="22"/>
      <c r="DH1067" s="22"/>
      <c r="DI1067" s="22"/>
      <c r="DJ1067" s="22"/>
      <c r="DK1067" s="344"/>
      <c r="DL1067" s="361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22"/>
      <c r="EG1067" s="22"/>
      <c r="EH1067" s="22"/>
      <c r="EI1067" s="22"/>
      <c r="EJ1067" s="22"/>
      <c r="EK1067" s="22"/>
      <c r="EL1067" s="22"/>
      <c r="EM1067" s="22"/>
      <c r="EN1067" s="344"/>
      <c r="EO1067" s="344"/>
      <c r="EP1067" s="22"/>
      <c r="EQ1067" s="22"/>
      <c r="ER1067" s="22"/>
      <c r="ES1067" s="344"/>
      <c r="ET1067" s="349"/>
      <c r="EU1067" s="344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T1067" s="27"/>
      <c r="FU1067" s="27"/>
    </row>
    <row r="1068" spans="24:177" s="9" customFormat="1" x14ac:dyDescent="0.2">
      <c r="X1068" s="50"/>
      <c r="AD1068" s="22"/>
      <c r="AW1068" s="8"/>
      <c r="AX1068" s="108"/>
      <c r="AY1068" s="102"/>
      <c r="AZ1068" s="109"/>
      <c r="BA1068" s="11"/>
      <c r="BB1068" s="9" t="s">
        <v>559</v>
      </c>
      <c r="BC1068" s="22">
        <v>324</v>
      </c>
      <c r="BD1068" s="22"/>
      <c r="CA1068" s="18"/>
      <c r="CD1068" s="22"/>
      <c r="CE1068" s="22"/>
      <c r="DH1068" s="22"/>
      <c r="DI1068" s="22"/>
      <c r="DJ1068" s="22"/>
      <c r="DK1068" s="344"/>
      <c r="DL1068" s="361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22"/>
      <c r="EG1068" s="22"/>
      <c r="EH1068" s="22"/>
      <c r="EI1068" s="22"/>
      <c r="EJ1068" s="22"/>
      <c r="EK1068" s="22"/>
      <c r="EL1068" s="22"/>
      <c r="EM1068" s="22"/>
      <c r="EN1068" s="344"/>
      <c r="EO1068" s="344"/>
      <c r="EP1068" s="22"/>
      <c r="EQ1068" s="22"/>
      <c r="ER1068" s="22"/>
      <c r="ES1068" s="344"/>
      <c r="ET1068" s="349"/>
      <c r="EU1068" s="344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T1068" s="27"/>
      <c r="FU1068" s="27"/>
    </row>
    <row r="1069" spans="24:177" s="9" customFormat="1" x14ac:dyDescent="0.2">
      <c r="X1069" s="50"/>
      <c r="AD1069" s="22"/>
      <c r="AW1069" s="8"/>
      <c r="AX1069" s="108"/>
      <c r="AY1069" s="102"/>
      <c r="AZ1069" s="109"/>
      <c r="BA1069" s="11"/>
      <c r="BB1069" s="9" t="s">
        <v>559</v>
      </c>
      <c r="BC1069" s="22">
        <v>325</v>
      </c>
      <c r="BD1069" s="22"/>
      <c r="CA1069" s="18"/>
      <c r="CD1069" s="22"/>
      <c r="CE1069" s="22"/>
      <c r="DH1069" s="22"/>
      <c r="DI1069" s="22"/>
      <c r="DJ1069" s="22"/>
      <c r="DK1069" s="344"/>
      <c r="DL1069" s="361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22"/>
      <c r="EG1069" s="22"/>
      <c r="EH1069" s="22"/>
      <c r="EI1069" s="22"/>
      <c r="EJ1069" s="22"/>
      <c r="EK1069" s="22"/>
      <c r="EL1069" s="22"/>
      <c r="EM1069" s="22"/>
      <c r="EN1069" s="344"/>
      <c r="EO1069" s="344"/>
      <c r="EP1069" s="22"/>
      <c r="EQ1069" s="22"/>
      <c r="ER1069" s="22"/>
      <c r="ES1069" s="344"/>
      <c r="ET1069" s="349"/>
      <c r="EU1069" s="344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T1069" s="27"/>
      <c r="FU1069" s="27"/>
    </row>
    <row r="1070" spans="24:177" s="9" customFormat="1" x14ac:dyDescent="0.2">
      <c r="X1070" s="50"/>
      <c r="AD1070" s="22"/>
      <c r="AW1070" s="8"/>
      <c r="AX1070" s="108"/>
      <c r="AY1070" s="102"/>
      <c r="AZ1070" s="109"/>
      <c r="BA1070" s="11"/>
      <c r="BB1070" s="9" t="s">
        <v>559</v>
      </c>
      <c r="BC1070" s="22">
        <v>326</v>
      </c>
      <c r="BD1070" s="22"/>
      <c r="CA1070" s="18"/>
      <c r="CD1070" s="22"/>
      <c r="CE1070" s="22"/>
      <c r="DH1070" s="22"/>
      <c r="DI1070" s="22"/>
      <c r="DJ1070" s="22"/>
      <c r="DK1070" s="344"/>
      <c r="DL1070" s="361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22"/>
      <c r="EG1070" s="22"/>
      <c r="EH1070" s="22"/>
      <c r="EI1070" s="22"/>
      <c r="EJ1070" s="22"/>
      <c r="EK1070" s="22"/>
      <c r="EL1070" s="22"/>
      <c r="EM1070" s="22"/>
      <c r="EN1070" s="344"/>
      <c r="EO1070" s="344"/>
      <c r="EP1070" s="22"/>
      <c r="EQ1070" s="22"/>
      <c r="ER1070" s="22"/>
      <c r="ES1070" s="344"/>
      <c r="ET1070" s="349"/>
      <c r="EU1070" s="344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T1070" s="27"/>
      <c r="FU1070" s="27"/>
    </row>
    <row r="1071" spans="24:177" s="9" customFormat="1" x14ac:dyDescent="0.2">
      <c r="X1071" s="50"/>
      <c r="AD1071" s="22"/>
      <c r="AW1071" s="8"/>
      <c r="AX1071" s="108"/>
      <c r="AY1071" s="102"/>
      <c r="AZ1071" s="109"/>
      <c r="BA1071" s="11"/>
      <c r="BB1071" s="9" t="s">
        <v>559</v>
      </c>
      <c r="BC1071" s="22">
        <v>327</v>
      </c>
      <c r="BD1071" s="22"/>
      <c r="CA1071" s="18"/>
      <c r="CD1071" s="22"/>
      <c r="CE1071" s="22"/>
      <c r="DH1071" s="22"/>
      <c r="DI1071" s="22"/>
      <c r="DJ1071" s="22"/>
      <c r="DK1071" s="344"/>
      <c r="DL1071" s="361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22"/>
      <c r="EG1071" s="22"/>
      <c r="EH1071" s="22"/>
      <c r="EI1071" s="22"/>
      <c r="EJ1071" s="22"/>
      <c r="EK1071" s="22"/>
      <c r="EL1071" s="22"/>
      <c r="EM1071" s="22"/>
      <c r="EN1071" s="344"/>
      <c r="EO1071" s="344"/>
      <c r="EP1071" s="22"/>
      <c r="EQ1071" s="22"/>
      <c r="ER1071" s="22"/>
      <c r="ES1071" s="344"/>
      <c r="ET1071" s="349"/>
      <c r="EU1071" s="344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T1071" s="27"/>
      <c r="FU1071" s="27"/>
    </row>
    <row r="1072" spans="24:177" s="9" customFormat="1" x14ac:dyDescent="0.2">
      <c r="X1072" s="50"/>
      <c r="AD1072" s="22"/>
      <c r="AW1072" s="8"/>
      <c r="AX1072" s="108"/>
      <c r="AY1072" s="102"/>
      <c r="AZ1072" s="109"/>
      <c r="BA1072" s="11"/>
      <c r="BB1072" s="9" t="s">
        <v>559</v>
      </c>
      <c r="BC1072" s="22">
        <v>328</v>
      </c>
      <c r="BD1072" s="22"/>
      <c r="CA1072" s="18"/>
      <c r="CD1072" s="22"/>
      <c r="CE1072" s="22"/>
      <c r="DH1072" s="22"/>
      <c r="DI1072" s="22"/>
      <c r="DJ1072" s="22"/>
      <c r="DK1072" s="344"/>
      <c r="DL1072" s="361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22"/>
      <c r="EG1072" s="22"/>
      <c r="EH1072" s="22"/>
      <c r="EI1072" s="22"/>
      <c r="EJ1072" s="22"/>
      <c r="EK1072" s="22"/>
      <c r="EL1072" s="22"/>
      <c r="EM1072" s="22"/>
      <c r="EN1072" s="344"/>
      <c r="EO1072" s="344"/>
      <c r="EP1072" s="22"/>
      <c r="EQ1072" s="22"/>
      <c r="ER1072" s="22"/>
      <c r="ES1072" s="344"/>
      <c r="ET1072" s="349"/>
      <c r="EU1072" s="344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T1072" s="27"/>
      <c r="FU1072" s="27"/>
    </row>
    <row r="1073" spans="24:177" s="9" customFormat="1" x14ac:dyDescent="0.2">
      <c r="X1073" s="50"/>
      <c r="AD1073" s="22"/>
      <c r="AW1073" s="8"/>
      <c r="AX1073" s="108"/>
      <c r="AY1073" s="102"/>
      <c r="AZ1073" s="109"/>
      <c r="BA1073" s="11"/>
      <c r="BB1073" s="9" t="s">
        <v>559</v>
      </c>
      <c r="BC1073" s="22">
        <v>329</v>
      </c>
      <c r="BD1073" s="22"/>
      <c r="CA1073" s="18"/>
      <c r="CD1073" s="22"/>
      <c r="CE1073" s="22"/>
      <c r="DH1073" s="22"/>
      <c r="DI1073" s="22"/>
      <c r="DJ1073" s="22"/>
      <c r="DK1073" s="344"/>
      <c r="DL1073" s="361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22"/>
      <c r="EG1073" s="22"/>
      <c r="EH1073" s="22"/>
      <c r="EI1073" s="22"/>
      <c r="EJ1073" s="22"/>
      <c r="EK1073" s="22"/>
      <c r="EL1073" s="22"/>
      <c r="EM1073" s="22"/>
      <c r="EN1073" s="344"/>
      <c r="EO1073" s="344"/>
      <c r="EP1073" s="22"/>
      <c r="EQ1073" s="22"/>
      <c r="ER1073" s="22"/>
      <c r="ES1073" s="344"/>
      <c r="ET1073" s="349"/>
      <c r="EU1073" s="344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T1073" s="27"/>
      <c r="FU1073" s="27"/>
    </row>
    <row r="1074" spans="24:177" s="9" customFormat="1" x14ac:dyDescent="0.2">
      <c r="X1074" s="50"/>
      <c r="AD1074" s="22"/>
      <c r="AW1074" s="8"/>
      <c r="AX1074" s="108"/>
      <c r="AY1074" s="102"/>
      <c r="AZ1074" s="109"/>
      <c r="BA1074" s="11"/>
      <c r="BB1074" s="9" t="s">
        <v>559</v>
      </c>
      <c r="BC1074" s="22">
        <v>330</v>
      </c>
      <c r="BD1074" s="22"/>
      <c r="CA1074" s="18"/>
      <c r="CD1074" s="22"/>
      <c r="CE1074" s="22"/>
      <c r="DH1074" s="22"/>
      <c r="DI1074" s="22"/>
      <c r="DJ1074" s="22"/>
      <c r="DK1074" s="344"/>
      <c r="DL1074" s="361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22"/>
      <c r="EG1074" s="22"/>
      <c r="EH1074" s="22"/>
      <c r="EI1074" s="22"/>
      <c r="EJ1074" s="22"/>
      <c r="EK1074" s="22"/>
      <c r="EL1074" s="22"/>
      <c r="EM1074" s="22"/>
      <c r="EN1074" s="344"/>
      <c r="EO1074" s="344"/>
      <c r="EP1074" s="22"/>
      <c r="EQ1074" s="22"/>
      <c r="ER1074" s="22"/>
      <c r="ES1074" s="344"/>
      <c r="ET1074" s="349"/>
      <c r="EU1074" s="344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T1074" s="27"/>
      <c r="FU1074" s="27"/>
    </row>
    <row r="1075" spans="24:177" s="9" customFormat="1" x14ac:dyDescent="0.2">
      <c r="X1075" s="50"/>
      <c r="AD1075" s="22"/>
      <c r="AW1075" s="8"/>
      <c r="AX1075" s="108"/>
      <c r="AY1075" s="102"/>
      <c r="AZ1075" s="109"/>
      <c r="BA1075" s="11"/>
      <c r="BB1075" s="9" t="s">
        <v>559</v>
      </c>
      <c r="BC1075" s="22">
        <v>331</v>
      </c>
      <c r="BD1075" s="22"/>
      <c r="CA1075" s="18"/>
      <c r="CD1075" s="22"/>
      <c r="CE1075" s="22"/>
      <c r="DH1075" s="22"/>
      <c r="DI1075" s="22"/>
      <c r="DJ1075" s="22"/>
      <c r="DK1075" s="344"/>
      <c r="DL1075" s="361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22"/>
      <c r="EG1075" s="22"/>
      <c r="EH1075" s="22"/>
      <c r="EI1075" s="22"/>
      <c r="EJ1075" s="22"/>
      <c r="EK1075" s="22"/>
      <c r="EL1075" s="22"/>
      <c r="EM1075" s="22"/>
      <c r="EN1075" s="344"/>
      <c r="EO1075" s="344"/>
      <c r="EP1075" s="22"/>
      <c r="EQ1075" s="22"/>
      <c r="ER1075" s="22"/>
      <c r="ES1075" s="344"/>
      <c r="ET1075" s="349"/>
      <c r="EU1075" s="344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T1075" s="27"/>
      <c r="FU1075" s="27"/>
    </row>
    <row r="1076" spans="24:177" s="9" customFormat="1" x14ac:dyDescent="0.2">
      <c r="X1076" s="50"/>
      <c r="AD1076" s="22"/>
      <c r="AW1076" s="8"/>
      <c r="AX1076" s="108"/>
      <c r="AY1076" s="102"/>
      <c r="AZ1076" s="109"/>
      <c r="BA1076" s="11"/>
      <c r="BB1076" s="9" t="s">
        <v>559</v>
      </c>
      <c r="BC1076" s="22">
        <v>332</v>
      </c>
      <c r="BD1076" s="22"/>
      <c r="CA1076" s="18"/>
      <c r="CD1076" s="22"/>
      <c r="CE1076" s="22"/>
      <c r="DH1076" s="22"/>
      <c r="DI1076" s="22"/>
      <c r="DJ1076" s="22"/>
      <c r="DK1076" s="344"/>
      <c r="DL1076" s="361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22"/>
      <c r="EG1076" s="22"/>
      <c r="EH1076" s="22"/>
      <c r="EI1076" s="22"/>
      <c r="EJ1076" s="22"/>
      <c r="EK1076" s="22"/>
      <c r="EL1076" s="22"/>
      <c r="EM1076" s="22"/>
      <c r="EN1076" s="344"/>
      <c r="EO1076" s="344"/>
      <c r="EP1076" s="22"/>
      <c r="EQ1076" s="22"/>
      <c r="ER1076" s="22"/>
      <c r="ES1076" s="344"/>
      <c r="ET1076" s="349"/>
      <c r="EU1076" s="344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T1076" s="27"/>
      <c r="FU1076" s="27"/>
    </row>
    <row r="1077" spans="24:177" s="9" customFormat="1" x14ac:dyDescent="0.2">
      <c r="X1077" s="50"/>
      <c r="AD1077" s="22"/>
      <c r="AW1077" s="8"/>
      <c r="AX1077" s="108"/>
      <c r="AY1077" s="102"/>
      <c r="AZ1077" s="109"/>
      <c r="BA1077" s="11"/>
      <c r="BB1077" s="9" t="s">
        <v>559</v>
      </c>
      <c r="BC1077" s="22">
        <v>333</v>
      </c>
      <c r="BD1077" s="22"/>
      <c r="CA1077" s="18"/>
      <c r="CD1077" s="22"/>
      <c r="CE1077" s="22"/>
      <c r="DH1077" s="22"/>
      <c r="DI1077" s="22"/>
      <c r="DJ1077" s="22"/>
      <c r="DK1077" s="344"/>
      <c r="DL1077" s="361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22"/>
      <c r="EG1077" s="22"/>
      <c r="EH1077" s="22"/>
      <c r="EI1077" s="22"/>
      <c r="EJ1077" s="22"/>
      <c r="EK1077" s="22"/>
      <c r="EL1077" s="22"/>
      <c r="EM1077" s="22"/>
      <c r="EN1077" s="344"/>
      <c r="EO1077" s="344"/>
      <c r="EP1077" s="22"/>
      <c r="EQ1077" s="22"/>
      <c r="ER1077" s="22"/>
      <c r="ES1077" s="344"/>
      <c r="ET1077" s="349"/>
      <c r="EU1077" s="344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T1077" s="27"/>
      <c r="FU1077" s="27"/>
    </row>
    <row r="1078" spans="24:177" s="9" customFormat="1" x14ac:dyDescent="0.2">
      <c r="X1078" s="50"/>
      <c r="AD1078" s="22"/>
      <c r="AW1078" s="8"/>
      <c r="AX1078" s="108"/>
      <c r="AY1078" s="102"/>
      <c r="AZ1078" s="109"/>
      <c r="BA1078" s="11"/>
      <c r="BB1078" s="9" t="s">
        <v>559</v>
      </c>
      <c r="BC1078" s="22">
        <v>334</v>
      </c>
      <c r="BD1078" s="22"/>
      <c r="CA1078" s="18"/>
      <c r="CD1078" s="22"/>
      <c r="CE1078" s="22"/>
      <c r="DH1078" s="22"/>
      <c r="DI1078" s="22"/>
      <c r="DJ1078" s="22"/>
      <c r="DK1078" s="344"/>
      <c r="DL1078" s="361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22"/>
      <c r="EG1078" s="22"/>
      <c r="EH1078" s="22"/>
      <c r="EI1078" s="22"/>
      <c r="EJ1078" s="22"/>
      <c r="EK1078" s="22"/>
      <c r="EL1078" s="22"/>
      <c r="EM1078" s="22"/>
      <c r="EN1078" s="344"/>
      <c r="EO1078" s="344"/>
      <c r="EP1078" s="22"/>
      <c r="EQ1078" s="22"/>
      <c r="ER1078" s="22"/>
      <c r="ES1078" s="344"/>
      <c r="ET1078" s="349"/>
      <c r="EU1078" s="344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T1078" s="27"/>
      <c r="FU1078" s="27"/>
    </row>
    <row r="1079" spans="24:177" s="9" customFormat="1" x14ac:dyDescent="0.2">
      <c r="X1079" s="50"/>
      <c r="AD1079" s="22"/>
      <c r="AW1079" s="8"/>
      <c r="AX1079" s="108"/>
      <c r="AY1079" s="102"/>
      <c r="AZ1079" s="109"/>
      <c r="BA1079" s="11"/>
      <c r="BB1079" s="9" t="s">
        <v>559</v>
      </c>
      <c r="BC1079" s="22">
        <v>335</v>
      </c>
      <c r="BD1079" s="22"/>
      <c r="CA1079" s="18"/>
      <c r="CD1079" s="22"/>
      <c r="CE1079" s="22"/>
      <c r="DH1079" s="22"/>
      <c r="DI1079" s="22"/>
      <c r="DJ1079" s="22"/>
      <c r="DK1079" s="344"/>
      <c r="DL1079" s="361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22"/>
      <c r="EG1079" s="22"/>
      <c r="EH1079" s="22"/>
      <c r="EI1079" s="22"/>
      <c r="EJ1079" s="22"/>
      <c r="EK1079" s="22"/>
      <c r="EL1079" s="22"/>
      <c r="EM1079" s="22"/>
      <c r="EN1079" s="344"/>
      <c r="EO1079" s="344"/>
      <c r="EP1079" s="22"/>
      <c r="EQ1079" s="22"/>
      <c r="ER1079" s="22"/>
      <c r="ES1079" s="344"/>
      <c r="ET1079" s="349"/>
      <c r="EU1079" s="344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T1079" s="27"/>
      <c r="FU1079" s="27"/>
    </row>
    <row r="1080" spans="24:177" s="9" customFormat="1" x14ac:dyDescent="0.2">
      <c r="X1080" s="50"/>
      <c r="AD1080" s="22"/>
      <c r="AW1080" s="8"/>
      <c r="AX1080" s="108"/>
      <c r="AY1080" s="102"/>
      <c r="AZ1080" s="109"/>
      <c r="BA1080" s="11"/>
      <c r="BB1080" s="9" t="s">
        <v>559</v>
      </c>
      <c r="BC1080" s="22">
        <v>336</v>
      </c>
      <c r="BD1080" s="22"/>
      <c r="CA1080" s="18"/>
      <c r="CD1080" s="22"/>
      <c r="CE1080" s="22"/>
      <c r="DH1080" s="22"/>
      <c r="DI1080" s="22"/>
      <c r="DJ1080" s="22"/>
      <c r="DK1080" s="344"/>
      <c r="DL1080" s="361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22"/>
      <c r="EG1080" s="22"/>
      <c r="EH1080" s="22"/>
      <c r="EI1080" s="22"/>
      <c r="EJ1080" s="22"/>
      <c r="EK1080" s="22"/>
      <c r="EL1080" s="22"/>
      <c r="EM1080" s="22"/>
      <c r="EN1080" s="344"/>
      <c r="EO1080" s="344"/>
      <c r="EP1080" s="22"/>
      <c r="EQ1080" s="22"/>
      <c r="ER1080" s="22"/>
      <c r="ES1080" s="344"/>
      <c r="ET1080" s="349"/>
      <c r="EU1080" s="344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T1080" s="27"/>
      <c r="FU1080" s="27"/>
    </row>
    <row r="1081" spans="24:177" s="9" customFormat="1" x14ac:dyDescent="0.2">
      <c r="X1081" s="50"/>
      <c r="AD1081" s="22"/>
      <c r="AW1081" s="8"/>
      <c r="AX1081" s="108"/>
      <c r="AY1081" s="102"/>
      <c r="AZ1081" s="109"/>
      <c r="BA1081" s="11"/>
      <c r="BB1081" s="9" t="s">
        <v>559</v>
      </c>
      <c r="BC1081" s="22">
        <v>337</v>
      </c>
      <c r="BD1081" s="22"/>
      <c r="CA1081" s="18"/>
      <c r="CD1081" s="22"/>
      <c r="CE1081" s="22"/>
      <c r="DH1081" s="22"/>
      <c r="DI1081" s="22"/>
      <c r="DJ1081" s="22"/>
      <c r="DK1081" s="344"/>
      <c r="DL1081" s="361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22"/>
      <c r="EG1081" s="22"/>
      <c r="EH1081" s="22"/>
      <c r="EI1081" s="22"/>
      <c r="EJ1081" s="22"/>
      <c r="EK1081" s="22"/>
      <c r="EL1081" s="22"/>
      <c r="EM1081" s="22"/>
      <c r="EN1081" s="344"/>
      <c r="EO1081" s="344"/>
      <c r="EP1081" s="22"/>
      <c r="EQ1081" s="22"/>
      <c r="ER1081" s="22"/>
      <c r="ES1081" s="344"/>
      <c r="ET1081" s="349"/>
      <c r="EU1081" s="344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T1081" s="27"/>
      <c r="FU1081" s="27"/>
    </row>
    <row r="1082" spans="24:177" s="9" customFormat="1" x14ac:dyDescent="0.2">
      <c r="X1082" s="50"/>
      <c r="AD1082" s="22"/>
      <c r="AW1082" s="8"/>
      <c r="AX1082" s="108"/>
      <c r="AY1082" s="102"/>
      <c r="AZ1082" s="109"/>
      <c r="BA1082" s="11"/>
      <c r="BB1082" s="9" t="s">
        <v>559</v>
      </c>
      <c r="BC1082" s="22">
        <v>338</v>
      </c>
      <c r="BD1082" s="22"/>
      <c r="CA1082" s="18"/>
      <c r="CD1082" s="22"/>
      <c r="CE1082" s="22"/>
      <c r="DH1082" s="22"/>
      <c r="DI1082" s="22"/>
      <c r="DJ1082" s="22"/>
      <c r="DK1082" s="344"/>
      <c r="DL1082" s="361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22"/>
      <c r="EG1082" s="22"/>
      <c r="EH1082" s="22"/>
      <c r="EI1082" s="22"/>
      <c r="EJ1082" s="22"/>
      <c r="EK1082" s="22"/>
      <c r="EL1082" s="22"/>
      <c r="EM1082" s="22"/>
      <c r="EN1082" s="344"/>
      <c r="EO1082" s="344"/>
      <c r="EP1082" s="22"/>
      <c r="EQ1082" s="22"/>
      <c r="ER1082" s="22"/>
      <c r="ES1082" s="344"/>
      <c r="ET1082" s="349"/>
      <c r="EU1082" s="344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T1082" s="27"/>
      <c r="FU1082" s="27"/>
    </row>
    <row r="1083" spans="24:177" s="9" customFormat="1" x14ac:dyDescent="0.2">
      <c r="X1083" s="50"/>
      <c r="AD1083" s="22"/>
      <c r="AW1083" s="8"/>
      <c r="AX1083" s="108"/>
      <c r="AY1083" s="102"/>
      <c r="AZ1083" s="109"/>
      <c r="BA1083" s="11"/>
      <c r="BB1083" s="9" t="s">
        <v>559</v>
      </c>
      <c r="BC1083" s="22">
        <v>339</v>
      </c>
      <c r="BD1083" s="22"/>
      <c r="CA1083" s="18"/>
      <c r="CD1083" s="22"/>
      <c r="CE1083" s="22"/>
      <c r="DH1083" s="22"/>
      <c r="DI1083" s="22"/>
      <c r="DJ1083" s="22"/>
      <c r="DK1083" s="344"/>
      <c r="DL1083" s="361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22"/>
      <c r="EG1083" s="22"/>
      <c r="EH1083" s="22"/>
      <c r="EI1083" s="22"/>
      <c r="EJ1083" s="22"/>
      <c r="EK1083" s="22"/>
      <c r="EL1083" s="22"/>
      <c r="EM1083" s="22"/>
      <c r="EN1083" s="344"/>
      <c r="EO1083" s="344"/>
      <c r="EP1083" s="22"/>
      <c r="EQ1083" s="22"/>
      <c r="ER1083" s="22"/>
      <c r="ES1083" s="344"/>
      <c r="ET1083" s="349"/>
      <c r="EU1083" s="344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T1083" s="27"/>
      <c r="FU1083" s="27"/>
    </row>
    <row r="1084" spans="24:177" s="9" customFormat="1" x14ac:dyDescent="0.2">
      <c r="X1084" s="50"/>
      <c r="AD1084" s="22"/>
      <c r="AW1084" s="8"/>
      <c r="AX1084" s="108"/>
      <c r="AY1084" s="102"/>
      <c r="AZ1084" s="109"/>
      <c r="BA1084" s="11"/>
      <c r="BB1084" s="9" t="s">
        <v>559</v>
      </c>
      <c r="BC1084" s="22">
        <v>340</v>
      </c>
      <c r="BD1084" s="22"/>
      <c r="CA1084" s="18"/>
      <c r="CD1084" s="22"/>
      <c r="CE1084" s="22"/>
      <c r="DH1084" s="22"/>
      <c r="DI1084" s="22"/>
      <c r="DJ1084" s="22"/>
      <c r="DK1084" s="344"/>
      <c r="DL1084" s="361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22"/>
      <c r="EG1084" s="22"/>
      <c r="EH1084" s="22"/>
      <c r="EI1084" s="22"/>
      <c r="EJ1084" s="22"/>
      <c r="EK1084" s="22"/>
      <c r="EL1084" s="22"/>
      <c r="EM1084" s="22"/>
      <c r="EN1084" s="344"/>
      <c r="EO1084" s="344"/>
      <c r="EP1084" s="22"/>
      <c r="EQ1084" s="22"/>
      <c r="ER1084" s="22"/>
      <c r="ES1084" s="344"/>
      <c r="ET1084" s="349"/>
      <c r="EU1084" s="344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T1084" s="27"/>
      <c r="FU1084" s="27"/>
    </row>
    <row r="1085" spans="24:177" s="9" customFormat="1" x14ac:dyDescent="0.2">
      <c r="X1085" s="50"/>
      <c r="AD1085" s="22"/>
      <c r="AW1085" s="8"/>
      <c r="AX1085" s="108"/>
      <c r="AY1085" s="102"/>
      <c r="AZ1085" s="109"/>
      <c r="BA1085" s="11"/>
      <c r="BB1085" s="9" t="s">
        <v>559</v>
      </c>
      <c r="BC1085" s="22">
        <v>341</v>
      </c>
      <c r="BD1085" s="22"/>
      <c r="CA1085" s="18"/>
      <c r="CD1085" s="22"/>
      <c r="CE1085" s="22"/>
      <c r="DH1085" s="22"/>
      <c r="DI1085" s="22"/>
      <c r="DJ1085" s="22"/>
      <c r="DK1085" s="344"/>
      <c r="DL1085" s="361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22"/>
      <c r="EG1085" s="22"/>
      <c r="EH1085" s="22"/>
      <c r="EI1085" s="22"/>
      <c r="EJ1085" s="22"/>
      <c r="EK1085" s="22"/>
      <c r="EL1085" s="22"/>
      <c r="EM1085" s="22"/>
      <c r="EN1085" s="344"/>
      <c r="EO1085" s="344"/>
      <c r="EP1085" s="22"/>
      <c r="EQ1085" s="22"/>
      <c r="ER1085" s="22"/>
      <c r="ES1085" s="344"/>
      <c r="ET1085" s="349"/>
      <c r="EU1085" s="344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T1085" s="27"/>
      <c r="FU1085" s="27"/>
    </row>
    <row r="1086" spans="24:177" s="9" customFormat="1" x14ac:dyDescent="0.2">
      <c r="X1086" s="50"/>
      <c r="AD1086" s="22"/>
      <c r="AW1086" s="8"/>
      <c r="AX1086" s="108"/>
      <c r="AY1086" s="102"/>
      <c r="AZ1086" s="109"/>
      <c r="BA1086" s="11"/>
      <c r="BB1086" s="9" t="s">
        <v>559</v>
      </c>
      <c r="BC1086" s="22">
        <v>342</v>
      </c>
      <c r="BD1086" s="22"/>
      <c r="CA1086" s="18"/>
      <c r="CD1086" s="22"/>
      <c r="CE1086" s="22"/>
      <c r="DH1086" s="22"/>
      <c r="DI1086" s="22"/>
      <c r="DJ1086" s="22"/>
      <c r="DK1086" s="344"/>
      <c r="DL1086" s="361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22"/>
      <c r="EG1086" s="22"/>
      <c r="EH1086" s="22"/>
      <c r="EI1086" s="22"/>
      <c r="EJ1086" s="22"/>
      <c r="EK1086" s="22"/>
      <c r="EL1086" s="22"/>
      <c r="EM1086" s="22"/>
      <c r="EN1086" s="344"/>
      <c r="EO1086" s="344"/>
      <c r="EP1086" s="22"/>
      <c r="EQ1086" s="22"/>
      <c r="ER1086" s="22"/>
      <c r="ES1086" s="344"/>
      <c r="ET1086" s="349"/>
      <c r="EU1086" s="344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T1086" s="27"/>
      <c r="FU1086" s="27"/>
    </row>
    <row r="1087" spans="24:177" s="9" customFormat="1" x14ac:dyDescent="0.2">
      <c r="X1087" s="50"/>
      <c r="AD1087" s="22"/>
      <c r="AW1087" s="8"/>
      <c r="AX1087" s="108"/>
      <c r="AY1087" s="102"/>
      <c r="AZ1087" s="109"/>
      <c r="BA1087" s="11"/>
      <c r="BB1087" s="9" t="s">
        <v>559</v>
      </c>
      <c r="BC1087" s="22">
        <v>343</v>
      </c>
      <c r="BD1087" s="22"/>
      <c r="CA1087" s="18"/>
      <c r="CD1087" s="22"/>
      <c r="CE1087" s="22"/>
      <c r="DH1087" s="22"/>
      <c r="DI1087" s="22"/>
      <c r="DJ1087" s="22"/>
      <c r="DK1087" s="344"/>
      <c r="DL1087" s="361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22"/>
      <c r="EG1087" s="22"/>
      <c r="EH1087" s="22"/>
      <c r="EI1087" s="22"/>
      <c r="EJ1087" s="22"/>
      <c r="EK1087" s="22"/>
      <c r="EL1087" s="22"/>
      <c r="EM1087" s="22"/>
      <c r="EN1087" s="344"/>
      <c r="EO1087" s="344"/>
      <c r="EP1087" s="22"/>
      <c r="EQ1087" s="22"/>
      <c r="ER1087" s="22"/>
      <c r="ES1087" s="344"/>
      <c r="ET1087" s="349"/>
      <c r="EU1087" s="344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T1087" s="27"/>
      <c r="FU1087" s="27"/>
    </row>
    <row r="1088" spans="24:177" s="9" customFormat="1" x14ac:dyDescent="0.2">
      <c r="X1088" s="50"/>
      <c r="AD1088" s="22"/>
      <c r="AW1088" s="8"/>
      <c r="AX1088" s="108"/>
      <c r="AY1088" s="102"/>
      <c r="AZ1088" s="109"/>
      <c r="BA1088" s="11"/>
      <c r="BB1088" s="9" t="s">
        <v>559</v>
      </c>
      <c r="BC1088" s="22">
        <v>344</v>
      </c>
      <c r="BD1088" s="22"/>
      <c r="CA1088" s="18"/>
      <c r="CD1088" s="22"/>
      <c r="CE1088" s="22"/>
      <c r="DH1088" s="22"/>
      <c r="DI1088" s="22"/>
      <c r="DJ1088" s="22"/>
      <c r="DK1088" s="344"/>
      <c r="DL1088" s="361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22"/>
      <c r="EG1088" s="22"/>
      <c r="EH1088" s="22"/>
      <c r="EI1088" s="22"/>
      <c r="EJ1088" s="22"/>
      <c r="EK1088" s="22"/>
      <c r="EL1088" s="22"/>
      <c r="EM1088" s="22"/>
      <c r="EN1088" s="344"/>
      <c r="EO1088" s="344"/>
      <c r="EP1088" s="22"/>
      <c r="EQ1088" s="22"/>
      <c r="ER1088" s="22"/>
      <c r="ES1088" s="344"/>
      <c r="ET1088" s="349"/>
      <c r="EU1088" s="344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T1088" s="27"/>
      <c r="FU1088" s="27"/>
    </row>
    <row r="1089" spans="24:177" s="9" customFormat="1" x14ac:dyDescent="0.2">
      <c r="X1089" s="50"/>
      <c r="AD1089" s="22"/>
      <c r="AW1089" s="8"/>
      <c r="AX1089" s="108"/>
      <c r="AY1089" s="102"/>
      <c r="AZ1089" s="109"/>
      <c r="BA1089" s="11"/>
      <c r="BB1089" s="9" t="s">
        <v>559</v>
      </c>
      <c r="BC1089" s="22">
        <v>345</v>
      </c>
      <c r="BD1089" s="22"/>
      <c r="CA1089" s="18"/>
      <c r="CD1089" s="22"/>
      <c r="CE1089" s="22"/>
      <c r="DH1089" s="22"/>
      <c r="DI1089" s="22"/>
      <c r="DJ1089" s="22"/>
      <c r="DK1089" s="344"/>
      <c r="DL1089" s="361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22"/>
      <c r="EG1089" s="22"/>
      <c r="EH1089" s="22"/>
      <c r="EI1089" s="22"/>
      <c r="EJ1089" s="22"/>
      <c r="EK1089" s="22"/>
      <c r="EL1089" s="22"/>
      <c r="EM1089" s="22"/>
      <c r="EN1089" s="344"/>
      <c r="EO1089" s="344"/>
      <c r="EP1089" s="22"/>
      <c r="EQ1089" s="22"/>
      <c r="ER1089" s="22"/>
      <c r="ES1089" s="344"/>
      <c r="ET1089" s="349"/>
      <c r="EU1089" s="344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T1089" s="27"/>
      <c r="FU1089" s="27"/>
    </row>
    <row r="1090" spans="24:177" s="9" customFormat="1" x14ac:dyDescent="0.2">
      <c r="X1090" s="50"/>
      <c r="AD1090" s="22"/>
      <c r="AW1090" s="8"/>
      <c r="AX1090" s="108"/>
      <c r="AY1090" s="102"/>
      <c r="AZ1090" s="109"/>
      <c r="BA1090" s="11"/>
      <c r="BB1090" s="9" t="s">
        <v>559</v>
      </c>
      <c r="BC1090" s="22">
        <v>346</v>
      </c>
      <c r="BD1090" s="22"/>
      <c r="CA1090" s="18"/>
      <c r="CD1090" s="22"/>
      <c r="CE1090" s="22"/>
      <c r="DH1090" s="22"/>
      <c r="DI1090" s="22"/>
      <c r="DJ1090" s="22"/>
      <c r="DK1090" s="344"/>
      <c r="DL1090" s="361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22"/>
      <c r="EG1090" s="22"/>
      <c r="EH1090" s="22"/>
      <c r="EI1090" s="22"/>
      <c r="EJ1090" s="22"/>
      <c r="EK1090" s="22"/>
      <c r="EL1090" s="22"/>
      <c r="EM1090" s="22"/>
      <c r="EN1090" s="344"/>
      <c r="EO1090" s="344"/>
      <c r="EP1090" s="22"/>
      <c r="EQ1090" s="22"/>
      <c r="ER1090" s="22"/>
      <c r="ES1090" s="344"/>
      <c r="ET1090" s="349"/>
      <c r="EU1090" s="344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T1090" s="27"/>
      <c r="FU1090" s="27"/>
    </row>
    <row r="1091" spans="24:177" s="9" customFormat="1" x14ac:dyDescent="0.2">
      <c r="X1091" s="50"/>
      <c r="AD1091" s="22"/>
      <c r="AW1091" s="8"/>
      <c r="AX1091" s="108"/>
      <c r="AY1091" s="102"/>
      <c r="AZ1091" s="109"/>
      <c r="BA1091" s="11"/>
      <c r="BB1091" s="9" t="s">
        <v>559</v>
      </c>
      <c r="BC1091" s="22">
        <v>347</v>
      </c>
      <c r="BD1091" s="22"/>
      <c r="CA1091" s="18"/>
      <c r="CD1091" s="22"/>
      <c r="CE1091" s="22"/>
      <c r="DH1091" s="22"/>
      <c r="DI1091" s="22"/>
      <c r="DJ1091" s="22"/>
      <c r="DK1091" s="344"/>
      <c r="DL1091" s="361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22"/>
      <c r="EG1091" s="22"/>
      <c r="EH1091" s="22"/>
      <c r="EI1091" s="22"/>
      <c r="EJ1091" s="22"/>
      <c r="EK1091" s="22"/>
      <c r="EL1091" s="22"/>
      <c r="EM1091" s="22"/>
      <c r="EN1091" s="344"/>
      <c r="EO1091" s="344"/>
      <c r="EP1091" s="22"/>
      <c r="EQ1091" s="22"/>
      <c r="ER1091" s="22"/>
      <c r="ES1091" s="344"/>
      <c r="ET1091" s="349"/>
      <c r="EU1091" s="344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T1091" s="27"/>
      <c r="FU1091" s="27"/>
    </row>
    <row r="1092" spans="24:177" s="9" customFormat="1" x14ac:dyDescent="0.2">
      <c r="X1092" s="50"/>
      <c r="AD1092" s="22"/>
      <c r="AW1092" s="8"/>
      <c r="AX1092" s="108"/>
      <c r="AY1092" s="102"/>
      <c r="AZ1092" s="109"/>
      <c r="BA1092" s="11"/>
      <c r="BB1092" s="9" t="s">
        <v>559</v>
      </c>
      <c r="BC1092" s="22">
        <v>348</v>
      </c>
      <c r="BD1092" s="22"/>
      <c r="CA1092" s="18"/>
      <c r="CD1092" s="22"/>
      <c r="CE1092" s="22"/>
      <c r="DH1092" s="22"/>
      <c r="DI1092" s="22"/>
      <c r="DJ1092" s="22"/>
      <c r="DK1092" s="344"/>
      <c r="DL1092" s="361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22"/>
      <c r="EG1092" s="22"/>
      <c r="EH1092" s="22"/>
      <c r="EI1092" s="22"/>
      <c r="EJ1092" s="22"/>
      <c r="EK1092" s="22"/>
      <c r="EL1092" s="22"/>
      <c r="EM1092" s="22"/>
      <c r="EN1092" s="344"/>
      <c r="EO1092" s="344"/>
      <c r="EP1092" s="22"/>
      <c r="EQ1092" s="22"/>
      <c r="ER1092" s="22"/>
      <c r="ES1092" s="344"/>
      <c r="ET1092" s="349"/>
      <c r="EU1092" s="344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T1092" s="27"/>
      <c r="FU1092" s="27"/>
    </row>
    <row r="1093" spans="24:177" s="9" customFormat="1" x14ac:dyDescent="0.2">
      <c r="X1093" s="50"/>
      <c r="AD1093" s="22"/>
      <c r="AW1093" s="8"/>
      <c r="AX1093" s="108"/>
      <c r="AY1093" s="102"/>
      <c r="AZ1093" s="109"/>
      <c r="BA1093" s="11"/>
      <c r="BB1093" s="9" t="s">
        <v>559</v>
      </c>
      <c r="BC1093" s="22">
        <v>349</v>
      </c>
      <c r="BD1093" s="22"/>
      <c r="CA1093" s="18"/>
      <c r="CD1093" s="22"/>
      <c r="CE1093" s="22"/>
      <c r="DH1093" s="22"/>
      <c r="DI1093" s="22"/>
      <c r="DJ1093" s="22"/>
      <c r="DK1093" s="344"/>
      <c r="DL1093" s="361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22"/>
      <c r="EG1093" s="22"/>
      <c r="EH1093" s="22"/>
      <c r="EI1093" s="22"/>
      <c r="EJ1093" s="22"/>
      <c r="EK1093" s="22"/>
      <c r="EL1093" s="22"/>
      <c r="EM1093" s="22"/>
      <c r="EN1093" s="344"/>
      <c r="EO1093" s="344"/>
      <c r="EP1093" s="22"/>
      <c r="EQ1093" s="22"/>
      <c r="ER1093" s="22"/>
      <c r="ES1093" s="344"/>
      <c r="ET1093" s="349"/>
      <c r="EU1093" s="344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T1093" s="27"/>
      <c r="FU1093" s="27"/>
    </row>
    <row r="1094" spans="24:177" s="9" customFormat="1" x14ac:dyDescent="0.2">
      <c r="X1094" s="50"/>
      <c r="AD1094" s="22"/>
      <c r="AW1094" s="8"/>
      <c r="AX1094" s="108"/>
      <c r="AY1094" s="102"/>
      <c r="AZ1094" s="109"/>
      <c r="BA1094" s="11"/>
      <c r="BB1094" s="9" t="s">
        <v>559</v>
      </c>
      <c r="BC1094" s="22">
        <v>350</v>
      </c>
      <c r="BD1094" s="22"/>
      <c r="CA1094" s="18"/>
      <c r="CD1094" s="22"/>
      <c r="CE1094" s="22"/>
      <c r="DH1094" s="22"/>
      <c r="DI1094" s="22"/>
      <c r="DJ1094" s="22"/>
      <c r="DK1094" s="344"/>
      <c r="DL1094" s="361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22"/>
      <c r="EG1094" s="22"/>
      <c r="EH1094" s="22"/>
      <c r="EI1094" s="22"/>
      <c r="EJ1094" s="22"/>
      <c r="EK1094" s="22"/>
      <c r="EL1094" s="22"/>
      <c r="EM1094" s="22"/>
      <c r="EN1094" s="344"/>
      <c r="EO1094" s="344"/>
      <c r="EP1094" s="22"/>
      <c r="EQ1094" s="22"/>
      <c r="ER1094" s="22"/>
      <c r="ES1094" s="344"/>
      <c r="ET1094" s="349"/>
      <c r="EU1094" s="344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T1094" s="27"/>
      <c r="FU1094" s="27"/>
    </row>
    <row r="1095" spans="24:177" s="9" customFormat="1" x14ac:dyDescent="0.2">
      <c r="X1095" s="50"/>
      <c r="AD1095" s="22"/>
      <c r="AW1095" s="8"/>
      <c r="AX1095" s="108"/>
      <c r="AY1095" s="102"/>
      <c r="AZ1095" s="109"/>
      <c r="BA1095" s="11"/>
      <c r="BB1095" s="9" t="s">
        <v>559</v>
      </c>
      <c r="BC1095" s="22">
        <v>351</v>
      </c>
      <c r="BD1095" s="22"/>
      <c r="CA1095" s="18"/>
      <c r="CD1095" s="22"/>
      <c r="CE1095" s="22"/>
      <c r="DH1095" s="22"/>
      <c r="DI1095" s="22"/>
      <c r="DJ1095" s="22"/>
      <c r="DK1095" s="344"/>
      <c r="DL1095" s="361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22"/>
      <c r="EG1095" s="22"/>
      <c r="EH1095" s="22"/>
      <c r="EI1095" s="22"/>
      <c r="EJ1095" s="22"/>
      <c r="EK1095" s="22"/>
      <c r="EL1095" s="22"/>
      <c r="EM1095" s="22"/>
      <c r="EN1095" s="344"/>
      <c r="EO1095" s="344"/>
      <c r="EP1095" s="22"/>
      <c r="EQ1095" s="22"/>
      <c r="ER1095" s="22"/>
      <c r="ES1095" s="344"/>
      <c r="ET1095" s="349"/>
      <c r="EU1095" s="344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T1095" s="27"/>
      <c r="FU1095" s="27"/>
    </row>
    <row r="1096" spans="24:177" s="9" customFormat="1" x14ac:dyDescent="0.2">
      <c r="X1096" s="50"/>
      <c r="AD1096" s="22"/>
      <c r="AW1096" s="8"/>
      <c r="AX1096" s="108"/>
      <c r="AY1096" s="102"/>
      <c r="AZ1096" s="109"/>
      <c r="BA1096" s="11"/>
      <c r="BB1096" s="9" t="s">
        <v>559</v>
      </c>
      <c r="BC1096" s="22">
        <v>352</v>
      </c>
      <c r="BD1096" s="22"/>
      <c r="CA1096" s="18"/>
      <c r="CD1096" s="22"/>
      <c r="CE1096" s="22"/>
      <c r="DH1096" s="22"/>
      <c r="DI1096" s="22"/>
      <c r="DJ1096" s="22"/>
      <c r="DK1096" s="344"/>
      <c r="DL1096" s="361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22"/>
      <c r="EG1096" s="22"/>
      <c r="EH1096" s="22"/>
      <c r="EI1096" s="22"/>
      <c r="EJ1096" s="22"/>
      <c r="EK1096" s="22"/>
      <c r="EL1096" s="22"/>
      <c r="EM1096" s="22"/>
      <c r="EN1096" s="344"/>
      <c r="EO1096" s="344"/>
      <c r="EP1096" s="22"/>
      <c r="EQ1096" s="22"/>
      <c r="ER1096" s="22"/>
      <c r="ES1096" s="344"/>
      <c r="ET1096" s="349"/>
      <c r="EU1096" s="344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T1096" s="27"/>
      <c r="FU1096" s="27"/>
    </row>
    <row r="1097" spans="24:177" s="9" customFormat="1" x14ac:dyDescent="0.2">
      <c r="X1097" s="50"/>
      <c r="AD1097" s="22"/>
      <c r="AW1097" s="8"/>
      <c r="AX1097" s="108"/>
      <c r="AY1097" s="102"/>
      <c r="AZ1097" s="109"/>
      <c r="BA1097" s="11"/>
      <c r="BB1097" s="9" t="s">
        <v>559</v>
      </c>
      <c r="BC1097" s="22">
        <v>353</v>
      </c>
      <c r="BD1097" s="22"/>
      <c r="CA1097" s="18"/>
      <c r="CD1097" s="22"/>
      <c r="CE1097" s="22"/>
      <c r="DH1097" s="22"/>
      <c r="DI1097" s="22"/>
      <c r="DJ1097" s="22"/>
      <c r="DK1097" s="344"/>
      <c r="DL1097" s="361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22"/>
      <c r="EG1097" s="22"/>
      <c r="EH1097" s="22"/>
      <c r="EI1097" s="22"/>
      <c r="EJ1097" s="22"/>
      <c r="EK1097" s="22"/>
      <c r="EL1097" s="22"/>
      <c r="EM1097" s="22"/>
      <c r="EN1097" s="344"/>
      <c r="EO1097" s="344"/>
      <c r="EP1097" s="22"/>
      <c r="EQ1097" s="22"/>
      <c r="ER1097" s="22"/>
      <c r="ES1097" s="344"/>
      <c r="ET1097" s="349"/>
      <c r="EU1097" s="344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T1097" s="27"/>
      <c r="FU1097" s="27"/>
    </row>
    <row r="1098" spans="24:177" s="9" customFormat="1" x14ac:dyDescent="0.2">
      <c r="X1098" s="50"/>
      <c r="AD1098" s="22"/>
      <c r="AW1098" s="8"/>
      <c r="AX1098" s="108"/>
      <c r="AY1098" s="102"/>
      <c r="AZ1098" s="109"/>
      <c r="BA1098" s="11"/>
      <c r="BB1098" s="9" t="s">
        <v>559</v>
      </c>
      <c r="BC1098" s="22">
        <v>354</v>
      </c>
      <c r="BD1098" s="22"/>
      <c r="CA1098" s="18"/>
      <c r="CD1098" s="22"/>
      <c r="CE1098" s="22"/>
      <c r="DH1098" s="22"/>
      <c r="DI1098" s="22"/>
      <c r="DJ1098" s="22"/>
      <c r="DK1098" s="344"/>
      <c r="DL1098" s="361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22"/>
      <c r="EG1098" s="22"/>
      <c r="EH1098" s="22"/>
      <c r="EI1098" s="22"/>
      <c r="EJ1098" s="22"/>
      <c r="EK1098" s="22"/>
      <c r="EL1098" s="22"/>
      <c r="EM1098" s="22"/>
      <c r="EN1098" s="344"/>
      <c r="EO1098" s="344"/>
      <c r="EP1098" s="22"/>
      <c r="EQ1098" s="22"/>
      <c r="ER1098" s="22"/>
      <c r="ES1098" s="344"/>
      <c r="ET1098" s="349"/>
      <c r="EU1098" s="344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T1098" s="27"/>
      <c r="FU1098" s="27"/>
    </row>
    <row r="1099" spans="24:177" s="9" customFormat="1" x14ac:dyDescent="0.2">
      <c r="X1099" s="50"/>
      <c r="AD1099" s="22"/>
      <c r="AW1099" s="8"/>
      <c r="AX1099" s="108"/>
      <c r="AY1099" s="102"/>
      <c r="AZ1099" s="109"/>
      <c r="BA1099" s="11"/>
      <c r="BB1099" s="9" t="s">
        <v>559</v>
      </c>
      <c r="BC1099" s="22">
        <v>355</v>
      </c>
      <c r="BD1099" s="22"/>
      <c r="CA1099" s="18"/>
      <c r="CD1099" s="22"/>
      <c r="CE1099" s="22"/>
      <c r="DH1099" s="22"/>
      <c r="DI1099" s="22"/>
      <c r="DJ1099" s="22"/>
      <c r="DK1099" s="344"/>
      <c r="DL1099" s="361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22"/>
      <c r="EG1099" s="22"/>
      <c r="EH1099" s="22"/>
      <c r="EI1099" s="22"/>
      <c r="EJ1099" s="22"/>
      <c r="EK1099" s="22"/>
      <c r="EL1099" s="22"/>
      <c r="EM1099" s="22"/>
      <c r="EN1099" s="344"/>
      <c r="EO1099" s="344"/>
      <c r="EP1099" s="22"/>
      <c r="EQ1099" s="22"/>
      <c r="ER1099" s="22"/>
      <c r="ES1099" s="344"/>
      <c r="ET1099" s="349"/>
      <c r="EU1099" s="344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T1099" s="27"/>
      <c r="FU1099" s="27"/>
    </row>
    <row r="1100" spans="24:177" s="9" customFormat="1" x14ac:dyDescent="0.2">
      <c r="X1100" s="50"/>
      <c r="AD1100" s="22"/>
      <c r="AW1100" s="8"/>
      <c r="AX1100" s="108"/>
      <c r="AY1100" s="102"/>
      <c r="AZ1100" s="109"/>
      <c r="BA1100" s="11"/>
      <c r="BB1100" s="9" t="s">
        <v>559</v>
      </c>
      <c r="BC1100" s="22">
        <v>356</v>
      </c>
      <c r="BD1100" s="22"/>
      <c r="CA1100" s="18"/>
      <c r="CD1100" s="22"/>
      <c r="CE1100" s="22"/>
      <c r="DH1100" s="22"/>
      <c r="DI1100" s="22"/>
      <c r="DJ1100" s="22"/>
      <c r="DK1100" s="344"/>
      <c r="DL1100" s="361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22"/>
      <c r="EG1100" s="22"/>
      <c r="EH1100" s="22"/>
      <c r="EI1100" s="22"/>
      <c r="EJ1100" s="22"/>
      <c r="EK1100" s="22"/>
      <c r="EL1100" s="22"/>
      <c r="EM1100" s="22"/>
      <c r="EN1100" s="344"/>
      <c r="EO1100" s="344"/>
      <c r="EP1100" s="22"/>
      <c r="EQ1100" s="22"/>
      <c r="ER1100" s="22"/>
      <c r="ES1100" s="344"/>
      <c r="ET1100" s="349"/>
      <c r="EU1100" s="344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T1100" s="27"/>
      <c r="FU1100" s="27"/>
    </row>
    <row r="1101" spans="24:177" s="9" customFormat="1" x14ac:dyDescent="0.2">
      <c r="X1101" s="50"/>
      <c r="AD1101" s="22"/>
      <c r="AW1101" s="8"/>
      <c r="AX1101" s="108"/>
      <c r="AY1101" s="102"/>
      <c r="AZ1101" s="109"/>
      <c r="BA1101" s="11"/>
      <c r="BB1101" s="9" t="s">
        <v>559</v>
      </c>
      <c r="BC1101" s="22">
        <v>357</v>
      </c>
      <c r="BD1101" s="22"/>
      <c r="CA1101" s="18"/>
      <c r="CD1101" s="22"/>
      <c r="CE1101" s="22"/>
      <c r="DH1101" s="22"/>
      <c r="DI1101" s="22"/>
      <c r="DJ1101" s="22"/>
      <c r="DK1101" s="344"/>
      <c r="DL1101" s="361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22"/>
      <c r="EG1101" s="22"/>
      <c r="EH1101" s="22"/>
      <c r="EI1101" s="22"/>
      <c r="EJ1101" s="22"/>
      <c r="EK1101" s="22"/>
      <c r="EL1101" s="22"/>
      <c r="EM1101" s="22"/>
      <c r="EN1101" s="344"/>
      <c r="EO1101" s="344"/>
      <c r="EP1101" s="22"/>
      <c r="EQ1101" s="22"/>
      <c r="ER1101" s="22"/>
      <c r="ES1101" s="344"/>
      <c r="ET1101" s="349"/>
      <c r="EU1101" s="344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T1101" s="27"/>
      <c r="FU1101" s="27"/>
    </row>
    <row r="1102" spans="24:177" s="9" customFormat="1" x14ac:dyDescent="0.2">
      <c r="X1102" s="50"/>
      <c r="AD1102" s="22"/>
      <c r="AW1102" s="8"/>
      <c r="AX1102" s="108"/>
      <c r="AY1102" s="102"/>
      <c r="AZ1102" s="109"/>
      <c r="BA1102" s="11"/>
      <c r="BB1102" s="9" t="s">
        <v>559</v>
      </c>
      <c r="BC1102" s="22">
        <v>358</v>
      </c>
      <c r="BD1102" s="22"/>
      <c r="CA1102" s="18"/>
      <c r="CD1102" s="22"/>
      <c r="CE1102" s="22"/>
      <c r="DH1102" s="22"/>
      <c r="DI1102" s="22"/>
      <c r="DJ1102" s="22"/>
      <c r="DK1102" s="344"/>
      <c r="DL1102" s="361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22"/>
      <c r="EG1102" s="22"/>
      <c r="EH1102" s="22"/>
      <c r="EI1102" s="22"/>
      <c r="EJ1102" s="22"/>
      <c r="EK1102" s="22"/>
      <c r="EL1102" s="22"/>
      <c r="EM1102" s="22"/>
      <c r="EN1102" s="344"/>
      <c r="EO1102" s="344"/>
      <c r="EP1102" s="22"/>
      <c r="EQ1102" s="22"/>
      <c r="ER1102" s="22"/>
      <c r="ES1102" s="344"/>
      <c r="ET1102" s="349"/>
      <c r="EU1102" s="344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T1102" s="27"/>
      <c r="FU1102" s="27"/>
    </row>
    <row r="1103" spans="24:177" s="9" customFormat="1" x14ac:dyDescent="0.2">
      <c r="X1103" s="50"/>
      <c r="AD1103" s="22"/>
      <c r="AW1103" s="8"/>
      <c r="AX1103" s="108"/>
      <c r="AY1103" s="102"/>
      <c r="AZ1103" s="109"/>
      <c r="BA1103" s="11"/>
      <c r="BB1103" s="9" t="s">
        <v>559</v>
      </c>
      <c r="BC1103" s="22">
        <v>359</v>
      </c>
      <c r="BD1103" s="22"/>
      <c r="CA1103" s="18"/>
      <c r="CD1103" s="22"/>
      <c r="CE1103" s="22"/>
      <c r="DH1103" s="22"/>
      <c r="DI1103" s="22"/>
      <c r="DJ1103" s="22"/>
      <c r="DK1103" s="344"/>
      <c r="DL1103" s="361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22"/>
      <c r="EG1103" s="22"/>
      <c r="EH1103" s="22"/>
      <c r="EI1103" s="22"/>
      <c r="EJ1103" s="22"/>
      <c r="EK1103" s="22"/>
      <c r="EL1103" s="22"/>
      <c r="EM1103" s="22"/>
      <c r="EN1103" s="344"/>
      <c r="EO1103" s="344"/>
      <c r="EP1103" s="22"/>
      <c r="EQ1103" s="22"/>
      <c r="ER1103" s="22"/>
      <c r="ES1103" s="344"/>
      <c r="ET1103" s="349"/>
      <c r="EU1103" s="344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T1103" s="27"/>
      <c r="FU1103" s="27"/>
    </row>
    <row r="1104" spans="24:177" s="9" customFormat="1" x14ac:dyDescent="0.2">
      <c r="X1104" s="50"/>
      <c r="AD1104" s="22"/>
      <c r="AW1104" s="8"/>
      <c r="AX1104" s="108"/>
      <c r="AY1104" s="102"/>
      <c r="AZ1104" s="109"/>
      <c r="BA1104" s="11"/>
      <c r="BB1104" s="9" t="s">
        <v>559</v>
      </c>
      <c r="BC1104" s="22">
        <v>360</v>
      </c>
      <c r="BD1104" s="22"/>
      <c r="CA1104" s="18"/>
      <c r="CD1104" s="22"/>
      <c r="CE1104" s="22"/>
      <c r="DH1104" s="22"/>
      <c r="DI1104" s="22"/>
      <c r="DJ1104" s="22"/>
      <c r="DK1104" s="344"/>
      <c r="DL1104" s="361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22"/>
      <c r="EG1104" s="22"/>
      <c r="EH1104" s="22"/>
      <c r="EI1104" s="22"/>
      <c r="EJ1104" s="22"/>
      <c r="EK1104" s="22"/>
      <c r="EL1104" s="22"/>
      <c r="EM1104" s="22"/>
      <c r="EN1104" s="344"/>
      <c r="EO1104" s="344"/>
      <c r="EP1104" s="22"/>
      <c r="EQ1104" s="22"/>
      <c r="ER1104" s="22"/>
      <c r="ES1104" s="344"/>
      <c r="ET1104" s="349"/>
      <c r="EU1104" s="344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T1104" s="27"/>
      <c r="FU1104" s="27"/>
    </row>
    <row r="1105" spans="24:177" s="9" customFormat="1" x14ac:dyDescent="0.2">
      <c r="X1105" s="50"/>
      <c r="AD1105" s="22"/>
      <c r="AW1105" s="8"/>
      <c r="AX1105" s="108"/>
      <c r="AY1105" s="102"/>
      <c r="AZ1105" s="109"/>
      <c r="BA1105" s="11"/>
      <c r="BB1105" s="9" t="s">
        <v>559</v>
      </c>
      <c r="BC1105" s="22">
        <v>361</v>
      </c>
      <c r="BD1105" s="22"/>
      <c r="CA1105" s="18"/>
      <c r="CD1105" s="22"/>
      <c r="CE1105" s="22"/>
      <c r="DH1105" s="22"/>
      <c r="DI1105" s="22"/>
      <c r="DJ1105" s="22"/>
      <c r="DK1105" s="344"/>
      <c r="DL1105" s="361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22"/>
      <c r="EG1105" s="22"/>
      <c r="EH1105" s="22"/>
      <c r="EI1105" s="22"/>
      <c r="EJ1105" s="22"/>
      <c r="EK1105" s="22"/>
      <c r="EL1105" s="22"/>
      <c r="EM1105" s="22"/>
      <c r="EN1105" s="344"/>
      <c r="EO1105" s="344"/>
      <c r="EP1105" s="22"/>
      <c r="EQ1105" s="22"/>
      <c r="ER1105" s="22"/>
      <c r="ES1105" s="344"/>
      <c r="ET1105" s="349"/>
      <c r="EU1105" s="344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T1105" s="27"/>
      <c r="FU1105" s="27"/>
    </row>
    <row r="1106" spans="24:177" s="9" customFormat="1" x14ac:dyDescent="0.2">
      <c r="X1106" s="50"/>
      <c r="AD1106" s="22"/>
      <c r="AW1106" s="8"/>
      <c r="AX1106" s="108"/>
      <c r="AY1106" s="102"/>
      <c r="AZ1106" s="109"/>
      <c r="BA1106" s="11"/>
      <c r="BB1106" s="9" t="s">
        <v>559</v>
      </c>
      <c r="BC1106" s="22">
        <v>362</v>
      </c>
      <c r="BD1106" s="22"/>
      <c r="CA1106" s="18"/>
      <c r="CD1106" s="22"/>
      <c r="CE1106" s="22"/>
      <c r="DH1106" s="22"/>
      <c r="DI1106" s="22"/>
      <c r="DJ1106" s="22"/>
      <c r="DK1106" s="344"/>
      <c r="DL1106" s="361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22"/>
      <c r="EG1106" s="22"/>
      <c r="EH1106" s="22"/>
      <c r="EI1106" s="22"/>
      <c r="EJ1106" s="22"/>
      <c r="EK1106" s="22"/>
      <c r="EL1106" s="22"/>
      <c r="EM1106" s="22"/>
      <c r="EN1106" s="344"/>
      <c r="EO1106" s="344"/>
      <c r="EP1106" s="22"/>
      <c r="EQ1106" s="22"/>
      <c r="ER1106" s="22"/>
      <c r="ES1106" s="344"/>
      <c r="ET1106" s="349"/>
      <c r="EU1106" s="344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T1106" s="27"/>
      <c r="FU1106" s="27"/>
    </row>
    <row r="1107" spans="24:177" s="9" customFormat="1" x14ac:dyDescent="0.2">
      <c r="X1107" s="50"/>
      <c r="AD1107" s="22"/>
      <c r="AW1107" s="8"/>
      <c r="AX1107" s="108"/>
      <c r="AY1107" s="102"/>
      <c r="AZ1107" s="109"/>
      <c r="BA1107" s="11"/>
      <c r="BB1107" s="9" t="s">
        <v>559</v>
      </c>
      <c r="BC1107" s="22">
        <v>363</v>
      </c>
      <c r="BD1107" s="22"/>
      <c r="CA1107" s="18"/>
      <c r="CD1107" s="22"/>
      <c r="CE1107" s="22"/>
      <c r="DH1107" s="22"/>
      <c r="DI1107" s="22"/>
      <c r="DJ1107" s="22"/>
      <c r="DK1107" s="344"/>
      <c r="DL1107" s="361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22"/>
      <c r="EG1107" s="22"/>
      <c r="EH1107" s="22"/>
      <c r="EI1107" s="22"/>
      <c r="EJ1107" s="22"/>
      <c r="EK1107" s="22"/>
      <c r="EL1107" s="22"/>
      <c r="EM1107" s="22"/>
      <c r="EN1107" s="344"/>
      <c r="EO1107" s="344"/>
      <c r="EP1107" s="22"/>
      <c r="EQ1107" s="22"/>
      <c r="ER1107" s="22"/>
      <c r="ES1107" s="344"/>
      <c r="ET1107" s="349"/>
      <c r="EU1107" s="344"/>
      <c r="EV1107" s="22"/>
      <c r="EW1107" s="22"/>
      <c r="EX1107" s="22"/>
      <c r="EY1107" s="22"/>
      <c r="EZ1107" s="22"/>
      <c r="FA1107" s="22"/>
      <c r="FB1107" s="22"/>
      <c r="FC1107" s="22"/>
      <c r="FD1107" s="22"/>
      <c r="FE1107" s="22"/>
      <c r="FT1107" s="27"/>
      <c r="FU1107" s="27"/>
    </row>
    <row r="1108" spans="24:177" s="9" customFormat="1" x14ac:dyDescent="0.2">
      <c r="X1108" s="50"/>
      <c r="AD1108" s="22"/>
      <c r="AW1108" s="8"/>
      <c r="AX1108" s="108"/>
      <c r="AY1108" s="102"/>
      <c r="AZ1108" s="109"/>
      <c r="BA1108" s="11"/>
      <c r="BB1108" s="9" t="s">
        <v>559</v>
      </c>
      <c r="BC1108" s="22">
        <v>364</v>
      </c>
      <c r="BD1108" s="22"/>
      <c r="CA1108" s="18"/>
      <c r="CD1108" s="22"/>
      <c r="CE1108" s="22"/>
      <c r="DH1108" s="22"/>
      <c r="DI1108" s="22"/>
      <c r="DJ1108" s="22"/>
      <c r="DK1108" s="344"/>
      <c r="DL1108" s="361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22"/>
      <c r="EG1108" s="22"/>
      <c r="EH1108" s="22"/>
      <c r="EI1108" s="22"/>
      <c r="EJ1108" s="22"/>
      <c r="EK1108" s="22"/>
      <c r="EL1108" s="22"/>
      <c r="EM1108" s="22"/>
      <c r="EN1108" s="344"/>
      <c r="EO1108" s="344"/>
      <c r="EP1108" s="22"/>
      <c r="EQ1108" s="22"/>
      <c r="ER1108" s="22"/>
      <c r="ES1108" s="344"/>
      <c r="ET1108" s="349"/>
      <c r="EU1108" s="344"/>
      <c r="EV1108" s="22"/>
      <c r="EW1108" s="22"/>
      <c r="EX1108" s="22"/>
      <c r="EY1108" s="22"/>
      <c r="EZ1108" s="22"/>
      <c r="FA1108" s="22"/>
      <c r="FB1108" s="22"/>
      <c r="FC1108" s="22"/>
      <c r="FD1108" s="22"/>
      <c r="FE1108" s="22"/>
      <c r="FT1108" s="27"/>
      <c r="FU1108" s="27"/>
    </row>
    <row r="1109" spans="24:177" s="9" customFormat="1" x14ac:dyDescent="0.2">
      <c r="X1109" s="50"/>
      <c r="AD1109" s="22"/>
      <c r="AW1109" s="8"/>
      <c r="AX1109" s="108"/>
      <c r="AY1109" s="102"/>
      <c r="AZ1109" s="109"/>
      <c r="BA1109" s="11"/>
      <c r="BB1109" s="9" t="s">
        <v>559</v>
      </c>
      <c r="BC1109" s="22">
        <v>365</v>
      </c>
      <c r="BD1109" s="22"/>
      <c r="CA1109" s="18"/>
      <c r="CD1109" s="22"/>
      <c r="CE1109" s="22"/>
      <c r="DH1109" s="22"/>
      <c r="DI1109" s="22"/>
      <c r="DJ1109" s="22"/>
      <c r="DK1109" s="344"/>
      <c r="DL1109" s="361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22"/>
      <c r="EG1109" s="22"/>
      <c r="EH1109" s="22"/>
      <c r="EI1109" s="22"/>
      <c r="EJ1109" s="22"/>
      <c r="EK1109" s="22"/>
      <c r="EL1109" s="22"/>
      <c r="EM1109" s="22"/>
      <c r="EN1109" s="344"/>
      <c r="EO1109" s="344"/>
      <c r="EP1109" s="22"/>
      <c r="EQ1109" s="22"/>
      <c r="ER1109" s="22"/>
      <c r="ES1109" s="344"/>
      <c r="ET1109" s="349"/>
      <c r="EU1109" s="344"/>
      <c r="EV1109" s="22"/>
      <c r="EW1109" s="22"/>
      <c r="EX1109" s="22"/>
      <c r="EY1109" s="22"/>
      <c r="EZ1109" s="22"/>
      <c r="FA1109" s="22"/>
      <c r="FB1109" s="22"/>
      <c r="FC1109" s="22"/>
      <c r="FD1109" s="22"/>
      <c r="FE1109" s="22"/>
      <c r="FT1109" s="27"/>
      <c r="FU1109" s="27"/>
    </row>
    <row r="1110" spans="24:177" s="9" customFormat="1" x14ac:dyDescent="0.2">
      <c r="X1110" s="50"/>
      <c r="AD1110" s="22"/>
      <c r="AW1110" s="8"/>
      <c r="AX1110" s="108"/>
      <c r="AY1110" s="102"/>
      <c r="AZ1110" s="109"/>
      <c r="BA1110" s="11"/>
      <c r="BB1110" s="9" t="s">
        <v>559</v>
      </c>
      <c r="BC1110" s="22">
        <v>366</v>
      </c>
      <c r="BD1110" s="22"/>
      <c r="CA1110" s="18"/>
      <c r="CD1110" s="22"/>
      <c r="CE1110" s="22"/>
      <c r="DH1110" s="22"/>
      <c r="DI1110" s="22"/>
      <c r="DJ1110" s="22"/>
      <c r="DK1110" s="344"/>
      <c r="DL1110" s="361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22"/>
      <c r="EG1110" s="22"/>
      <c r="EH1110" s="22"/>
      <c r="EI1110" s="22"/>
      <c r="EJ1110" s="22"/>
      <c r="EK1110" s="22"/>
      <c r="EL1110" s="22"/>
      <c r="EM1110" s="22"/>
      <c r="EN1110" s="344"/>
      <c r="EO1110" s="344"/>
      <c r="EP1110" s="22"/>
      <c r="EQ1110" s="22"/>
      <c r="ER1110" s="22"/>
      <c r="ES1110" s="344"/>
      <c r="ET1110" s="349"/>
      <c r="EU1110" s="344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T1110" s="27"/>
      <c r="FU1110" s="27"/>
    </row>
    <row r="1111" spans="24:177" s="9" customFormat="1" x14ac:dyDescent="0.2">
      <c r="X1111" s="50"/>
      <c r="AD1111" s="22"/>
      <c r="AW1111" s="8"/>
      <c r="AX1111" s="108"/>
      <c r="AY1111" s="102"/>
      <c r="AZ1111" s="109"/>
      <c r="BA1111" s="11"/>
      <c r="BB1111" s="9" t="s">
        <v>559</v>
      </c>
      <c r="BC1111" s="22">
        <v>367</v>
      </c>
      <c r="BD1111" s="22"/>
      <c r="CA1111" s="18"/>
      <c r="CD1111" s="22"/>
      <c r="CE1111" s="22"/>
      <c r="DH1111" s="22"/>
      <c r="DI1111" s="22"/>
      <c r="DJ1111" s="22"/>
      <c r="DK1111" s="344"/>
      <c r="DL1111" s="361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22"/>
      <c r="EG1111" s="22"/>
      <c r="EH1111" s="22"/>
      <c r="EI1111" s="22"/>
      <c r="EJ1111" s="22"/>
      <c r="EK1111" s="22"/>
      <c r="EL1111" s="22"/>
      <c r="EM1111" s="22"/>
      <c r="EN1111" s="344"/>
      <c r="EO1111" s="344"/>
      <c r="EP1111" s="22"/>
      <c r="EQ1111" s="22"/>
      <c r="ER1111" s="22"/>
      <c r="ES1111" s="344"/>
      <c r="ET1111" s="349"/>
      <c r="EU1111" s="344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T1111" s="27"/>
      <c r="FU1111" s="27"/>
    </row>
    <row r="1112" spans="24:177" s="9" customFormat="1" x14ac:dyDescent="0.2">
      <c r="X1112" s="50"/>
      <c r="AD1112" s="22"/>
      <c r="AW1112" s="8"/>
      <c r="AX1112" s="108"/>
      <c r="AY1112" s="102"/>
      <c r="AZ1112" s="109"/>
      <c r="BA1112" s="11"/>
      <c r="BB1112" s="9" t="s">
        <v>559</v>
      </c>
      <c r="BC1112" s="22">
        <v>368</v>
      </c>
      <c r="BD1112" s="22"/>
      <c r="CA1112" s="18"/>
      <c r="CD1112" s="22"/>
      <c r="CE1112" s="22"/>
      <c r="DH1112" s="22"/>
      <c r="DI1112" s="22"/>
      <c r="DJ1112" s="22"/>
      <c r="DK1112" s="344"/>
      <c r="DL1112" s="361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22"/>
      <c r="EG1112" s="22"/>
      <c r="EH1112" s="22"/>
      <c r="EI1112" s="22"/>
      <c r="EJ1112" s="22"/>
      <c r="EK1112" s="22"/>
      <c r="EL1112" s="22"/>
      <c r="EM1112" s="22"/>
      <c r="EN1112" s="344"/>
      <c r="EO1112" s="344"/>
      <c r="EP1112" s="22"/>
      <c r="EQ1112" s="22"/>
      <c r="ER1112" s="22"/>
      <c r="ES1112" s="344"/>
      <c r="ET1112" s="349"/>
      <c r="EU1112" s="344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T1112" s="27"/>
      <c r="FU1112" s="27"/>
    </row>
    <row r="1113" spans="24:177" s="9" customFormat="1" x14ac:dyDescent="0.2">
      <c r="X1113" s="50"/>
      <c r="AD1113" s="22"/>
      <c r="AW1113" s="8"/>
      <c r="AX1113" s="108"/>
      <c r="AY1113" s="102"/>
      <c r="AZ1113" s="109"/>
      <c r="BA1113" s="11"/>
      <c r="BB1113" s="9" t="s">
        <v>559</v>
      </c>
      <c r="BC1113" s="22">
        <v>369</v>
      </c>
      <c r="BD1113" s="22"/>
      <c r="CA1113" s="18"/>
      <c r="CD1113" s="22"/>
      <c r="CE1113" s="22"/>
      <c r="DH1113" s="22"/>
      <c r="DI1113" s="22"/>
      <c r="DJ1113" s="22"/>
      <c r="DK1113" s="344"/>
      <c r="DL1113" s="361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22"/>
      <c r="EG1113" s="22"/>
      <c r="EH1113" s="22"/>
      <c r="EI1113" s="22"/>
      <c r="EJ1113" s="22"/>
      <c r="EK1113" s="22"/>
      <c r="EL1113" s="22"/>
      <c r="EM1113" s="22"/>
      <c r="EN1113" s="344"/>
      <c r="EO1113" s="344"/>
      <c r="EP1113" s="22"/>
      <c r="EQ1113" s="22"/>
      <c r="ER1113" s="22"/>
      <c r="ES1113" s="344"/>
      <c r="ET1113" s="349"/>
      <c r="EU1113" s="344"/>
      <c r="EV1113" s="22"/>
      <c r="EW1113" s="22"/>
      <c r="EX1113" s="22"/>
      <c r="EY1113" s="22"/>
      <c r="EZ1113" s="22"/>
      <c r="FA1113" s="22"/>
      <c r="FB1113" s="22"/>
      <c r="FC1113" s="22"/>
      <c r="FD1113" s="22"/>
      <c r="FE1113" s="22"/>
      <c r="FT1113" s="27"/>
      <c r="FU1113" s="27"/>
    </row>
    <row r="1114" spans="24:177" s="9" customFormat="1" x14ac:dyDescent="0.2">
      <c r="X1114" s="50"/>
      <c r="AD1114" s="22"/>
      <c r="AW1114" s="8"/>
      <c r="AX1114" s="108"/>
      <c r="AY1114" s="102"/>
      <c r="AZ1114" s="109"/>
      <c r="BA1114" s="11"/>
      <c r="BB1114" s="9" t="s">
        <v>559</v>
      </c>
      <c r="BC1114" s="22">
        <v>370</v>
      </c>
      <c r="BD1114" s="22"/>
      <c r="CA1114" s="18"/>
      <c r="CD1114" s="22"/>
      <c r="CE1114" s="22"/>
      <c r="DH1114" s="22"/>
      <c r="DI1114" s="22"/>
      <c r="DJ1114" s="22"/>
      <c r="DK1114" s="344"/>
      <c r="DL1114" s="361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22"/>
      <c r="EG1114" s="22"/>
      <c r="EH1114" s="22"/>
      <c r="EI1114" s="22"/>
      <c r="EJ1114" s="22"/>
      <c r="EK1114" s="22"/>
      <c r="EL1114" s="22"/>
      <c r="EM1114" s="22"/>
      <c r="EN1114" s="344"/>
      <c r="EO1114" s="344"/>
      <c r="EP1114" s="22"/>
      <c r="EQ1114" s="22"/>
      <c r="ER1114" s="22"/>
      <c r="ES1114" s="344"/>
      <c r="ET1114" s="349"/>
      <c r="EU1114" s="344"/>
      <c r="EV1114" s="22"/>
      <c r="EW1114" s="22"/>
      <c r="EX1114" s="22"/>
      <c r="EY1114" s="22"/>
      <c r="EZ1114" s="22"/>
      <c r="FA1114" s="22"/>
      <c r="FB1114" s="22"/>
      <c r="FC1114" s="22"/>
      <c r="FD1114" s="22"/>
      <c r="FE1114" s="22"/>
      <c r="FT1114" s="27"/>
      <c r="FU1114" s="27"/>
    </row>
    <row r="1115" spans="24:177" s="9" customFormat="1" x14ac:dyDescent="0.2">
      <c r="X1115" s="50"/>
      <c r="AD1115" s="22"/>
      <c r="AW1115" s="8"/>
      <c r="AX1115" s="108"/>
      <c r="AY1115" s="102"/>
      <c r="AZ1115" s="109"/>
      <c r="BA1115" s="11"/>
      <c r="BB1115" s="9" t="s">
        <v>559</v>
      </c>
      <c r="BC1115" s="22">
        <v>371</v>
      </c>
      <c r="BD1115" s="22"/>
      <c r="CA1115" s="18"/>
      <c r="CD1115" s="22"/>
      <c r="CE1115" s="22"/>
      <c r="DH1115" s="22"/>
      <c r="DI1115" s="22"/>
      <c r="DJ1115" s="22"/>
      <c r="DK1115" s="344"/>
      <c r="DL1115" s="361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22"/>
      <c r="EG1115" s="22"/>
      <c r="EH1115" s="22"/>
      <c r="EI1115" s="22"/>
      <c r="EJ1115" s="22"/>
      <c r="EK1115" s="22"/>
      <c r="EL1115" s="22"/>
      <c r="EM1115" s="22"/>
      <c r="EN1115" s="344"/>
      <c r="EO1115" s="344"/>
      <c r="EP1115" s="22"/>
      <c r="EQ1115" s="22"/>
      <c r="ER1115" s="22"/>
      <c r="ES1115" s="344"/>
      <c r="ET1115" s="349"/>
      <c r="EU1115" s="344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T1115" s="27"/>
      <c r="FU1115" s="27"/>
    </row>
    <row r="1116" spans="24:177" s="9" customFormat="1" x14ac:dyDescent="0.2">
      <c r="X1116" s="50"/>
      <c r="AD1116" s="22"/>
      <c r="AW1116" s="8"/>
      <c r="AX1116" s="108"/>
      <c r="AY1116" s="102"/>
      <c r="AZ1116" s="109"/>
      <c r="BA1116" s="11"/>
      <c r="BB1116" s="9" t="s">
        <v>559</v>
      </c>
      <c r="BC1116" s="22">
        <v>372</v>
      </c>
      <c r="BD1116" s="22"/>
      <c r="CA1116" s="18"/>
      <c r="CD1116" s="22"/>
      <c r="CE1116" s="22"/>
      <c r="DH1116" s="22"/>
      <c r="DI1116" s="22"/>
      <c r="DJ1116" s="22"/>
      <c r="DK1116" s="344"/>
      <c r="DL1116" s="361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22"/>
      <c r="EG1116" s="22"/>
      <c r="EH1116" s="22"/>
      <c r="EI1116" s="22"/>
      <c r="EJ1116" s="22"/>
      <c r="EK1116" s="22"/>
      <c r="EL1116" s="22"/>
      <c r="EM1116" s="22"/>
      <c r="EN1116" s="344"/>
      <c r="EO1116" s="344"/>
      <c r="EP1116" s="22"/>
      <c r="EQ1116" s="22"/>
      <c r="ER1116" s="22"/>
      <c r="ES1116" s="344"/>
      <c r="ET1116" s="349"/>
      <c r="EU1116" s="344"/>
      <c r="EV1116" s="22"/>
      <c r="EW1116" s="22"/>
      <c r="EX1116" s="22"/>
      <c r="EY1116" s="22"/>
      <c r="EZ1116" s="22"/>
      <c r="FA1116" s="22"/>
      <c r="FB1116" s="22"/>
      <c r="FC1116" s="22"/>
      <c r="FD1116" s="22"/>
      <c r="FE1116" s="22"/>
      <c r="FT1116" s="27"/>
      <c r="FU1116" s="27"/>
    </row>
    <row r="1117" spans="24:177" s="9" customFormat="1" x14ac:dyDescent="0.2">
      <c r="X1117" s="50"/>
      <c r="AD1117" s="22"/>
      <c r="AW1117" s="8"/>
      <c r="AX1117" s="108"/>
      <c r="AY1117" s="102"/>
      <c r="AZ1117" s="109"/>
      <c r="BA1117" s="11"/>
      <c r="BB1117" s="9" t="s">
        <v>559</v>
      </c>
      <c r="BC1117" s="22">
        <v>373</v>
      </c>
      <c r="BD1117" s="22"/>
      <c r="CA1117" s="18"/>
      <c r="CD1117" s="22"/>
      <c r="CE1117" s="22"/>
      <c r="DH1117" s="22"/>
      <c r="DI1117" s="22"/>
      <c r="DJ1117" s="22"/>
      <c r="DK1117" s="344"/>
      <c r="DL1117" s="361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22"/>
      <c r="EG1117" s="22"/>
      <c r="EH1117" s="22"/>
      <c r="EI1117" s="22"/>
      <c r="EJ1117" s="22"/>
      <c r="EK1117" s="22"/>
      <c r="EL1117" s="22"/>
      <c r="EM1117" s="22"/>
      <c r="EN1117" s="344"/>
      <c r="EO1117" s="344"/>
      <c r="EP1117" s="22"/>
      <c r="EQ1117" s="22"/>
      <c r="ER1117" s="22"/>
      <c r="ES1117" s="344"/>
      <c r="ET1117" s="349"/>
      <c r="EU1117" s="344"/>
      <c r="EV1117" s="22"/>
      <c r="EW1117" s="22"/>
      <c r="EX1117" s="22"/>
      <c r="EY1117" s="22"/>
      <c r="EZ1117" s="22"/>
      <c r="FA1117" s="22"/>
      <c r="FB1117" s="22"/>
      <c r="FC1117" s="22"/>
      <c r="FD1117" s="22"/>
      <c r="FE1117" s="22"/>
      <c r="FT1117" s="27"/>
      <c r="FU1117" s="27"/>
    </row>
    <row r="1118" spans="24:177" s="9" customFormat="1" x14ac:dyDescent="0.2">
      <c r="X1118" s="50"/>
      <c r="AD1118" s="22"/>
      <c r="AW1118" s="8"/>
      <c r="AX1118" s="108"/>
      <c r="AY1118" s="102"/>
      <c r="AZ1118" s="109"/>
      <c r="BA1118" s="11"/>
      <c r="BB1118" s="9" t="s">
        <v>559</v>
      </c>
      <c r="BC1118" s="22">
        <v>374</v>
      </c>
      <c r="BD1118" s="22"/>
      <c r="CA1118" s="18"/>
      <c r="CD1118" s="22"/>
      <c r="CE1118" s="22"/>
      <c r="DH1118" s="22"/>
      <c r="DI1118" s="22"/>
      <c r="DJ1118" s="22"/>
      <c r="DK1118" s="344"/>
      <c r="DL1118" s="361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22"/>
      <c r="EG1118" s="22"/>
      <c r="EH1118" s="22"/>
      <c r="EI1118" s="22"/>
      <c r="EJ1118" s="22"/>
      <c r="EK1118" s="22"/>
      <c r="EL1118" s="22"/>
      <c r="EM1118" s="22"/>
      <c r="EN1118" s="344"/>
      <c r="EO1118" s="344"/>
      <c r="EP1118" s="22"/>
      <c r="EQ1118" s="22"/>
      <c r="ER1118" s="22"/>
      <c r="ES1118" s="344"/>
      <c r="ET1118" s="349"/>
      <c r="EU1118" s="344"/>
      <c r="EV1118" s="22"/>
      <c r="EW1118" s="22"/>
      <c r="EX1118" s="22"/>
      <c r="EY1118" s="22"/>
      <c r="EZ1118" s="22"/>
      <c r="FA1118" s="22"/>
      <c r="FB1118" s="22"/>
      <c r="FC1118" s="22"/>
      <c r="FD1118" s="22"/>
      <c r="FE1118" s="22"/>
      <c r="FT1118" s="27"/>
      <c r="FU1118" s="27"/>
    </row>
    <row r="1119" spans="24:177" s="9" customFormat="1" x14ac:dyDescent="0.2">
      <c r="X1119" s="50"/>
      <c r="AD1119" s="22"/>
      <c r="AW1119" s="8"/>
      <c r="AX1119" s="108"/>
      <c r="AY1119" s="102"/>
      <c r="AZ1119" s="109"/>
      <c r="BA1119" s="11"/>
      <c r="BB1119" s="9" t="s">
        <v>559</v>
      </c>
      <c r="BC1119" s="22">
        <v>375</v>
      </c>
      <c r="BD1119" s="22"/>
      <c r="CA1119" s="18"/>
      <c r="CD1119" s="22"/>
      <c r="CE1119" s="22"/>
      <c r="DH1119" s="22"/>
      <c r="DI1119" s="22"/>
      <c r="DJ1119" s="22"/>
      <c r="DK1119" s="344"/>
      <c r="DL1119" s="361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22"/>
      <c r="EG1119" s="22"/>
      <c r="EH1119" s="22"/>
      <c r="EI1119" s="22"/>
      <c r="EJ1119" s="22"/>
      <c r="EK1119" s="22"/>
      <c r="EL1119" s="22"/>
      <c r="EM1119" s="22"/>
      <c r="EN1119" s="344"/>
      <c r="EO1119" s="344"/>
      <c r="EP1119" s="22"/>
      <c r="EQ1119" s="22"/>
      <c r="ER1119" s="22"/>
      <c r="ES1119" s="344"/>
      <c r="ET1119" s="349"/>
      <c r="EU1119" s="344"/>
      <c r="EV1119" s="22"/>
      <c r="EW1119" s="22"/>
      <c r="EX1119" s="22"/>
      <c r="EY1119" s="22"/>
      <c r="EZ1119" s="22"/>
      <c r="FA1119" s="22"/>
      <c r="FB1119" s="22"/>
      <c r="FC1119" s="22"/>
      <c r="FD1119" s="22"/>
      <c r="FE1119" s="22"/>
      <c r="FT1119" s="27"/>
      <c r="FU1119" s="27"/>
    </row>
    <row r="1120" spans="24:177" s="9" customFormat="1" x14ac:dyDescent="0.2">
      <c r="X1120" s="50"/>
      <c r="AD1120" s="22"/>
      <c r="AW1120" s="8"/>
      <c r="AX1120" s="108"/>
      <c r="AY1120" s="102"/>
      <c r="AZ1120" s="109"/>
      <c r="BA1120" s="11"/>
      <c r="BB1120" s="9" t="s">
        <v>559</v>
      </c>
      <c r="BC1120" s="22">
        <v>376</v>
      </c>
      <c r="BD1120" s="22"/>
      <c r="CA1120" s="18"/>
      <c r="CD1120" s="22"/>
      <c r="CE1120" s="22"/>
      <c r="DH1120" s="22"/>
      <c r="DI1120" s="22"/>
      <c r="DJ1120" s="22"/>
      <c r="DK1120" s="344"/>
      <c r="DL1120" s="361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22"/>
      <c r="EG1120" s="22"/>
      <c r="EH1120" s="22"/>
      <c r="EI1120" s="22"/>
      <c r="EJ1120" s="22"/>
      <c r="EK1120" s="22"/>
      <c r="EL1120" s="22"/>
      <c r="EM1120" s="22"/>
      <c r="EN1120" s="344"/>
      <c r="EO1120" s="344"/>
      <c r="EP1120" s="22"/>
      <c r="EQ1120" s="22"/>
      <c r="ER1120" s="22"/>
      <c r="ES1120" s="344"/>
      <c r="ET1120" s="349"/>
      <c r="EU1120" s="344"/>
      <c r="EV1120" s="22"/>
      <c r="EW1120" s="22"/>
      <c r="EX1120" s="22"/>
      <c r="EY1120" s="22"/>
      <c r="EZ1120" s="22"/>
      <c r="FA1120" s="22"/>
      <c r="FB1120" s="22"/>
      <c r="FC1120" s="22"/>
      <c r="FD1120" s="22"/>
      <c r="FE1120" s="22"/>
      <c r="FT1120" s="27"/>
      <c r="FU1120" s="27"/>
    </row>
    <row r="1121" spans="24:177" s="9" customFormat="1" x14ac:dyDescent="0.2">
      <c r="X1121" s="50"/>
      <c r="AD1121" s="22"/>
      <c r="AW1121" s="8"/>
      <c r="AX1121" s="108"/>
      <c r="AY1121" s="102"/>
      <c r="AZ1121" s="109"/>
      <c r="BA1121" s="11"/>
      <c r="BB1121" s="9" t="s">
        <v>559</v>
      </c>
      <c r="BC1121" s="22">
        <v>377</v>
      </c>
      <c r="BD1121" s="22"/>
      <c r="CA1121" s="18"/>
      <c r="CD1121" s="22"/>
      <c r="CE1121" s="22"/>
      <c r="DH1121" s="22"/>
      <c r="DI1121" s="22"/>
      <c r="DJ1121" s="22"/>
      <c r="DK1121" s="344"/>
      <c r="DL1121" s="361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22"/>
      <c r="EG1121" s="22"/>
      <c r="EH1121" s="22"/>
      <c r="EI1121" s="22"/>
      <c r="EJ1121" s="22"/>
      <c r="EK1121" s="22"/>
      <c r="EL1121" s="22"/>
      <c r="EM1121" s="22"/>
      <c r="EN1121" s="344"/>
      <c r="EO1121" s="344"/>
      <c r="EP1121" s="22"/>
      <c r="EQ1121" s="22"/>
      <c r="ER1121" s="22"/>
      <c r="ES1121" s="344"/>
      <c r="ET1121" s="349"/>
      <c r="EU1121" s="344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T1121" s="27"/>
      <c r="FU1121" s="27"/>
    </row>
    <row r="1122" spans="24:177" s="9" customFormat="1" x14ac:dyDescent="0.2">
      <c r="X1122" s="50"/>
      <c r="AD1122" s="22"/>
      <c r="AW1122" s="8"/>
      <c r="AX1122" s="108"/>
      <c r="AY1122" s="102"/>
      <c r="AZ1122" s="109"/>
      <c r="BA1122" s="11"/>
      <c r="BB1122" s="9" t="s">
        <v>559</v>
      </c>
      <c r="BC1122" s="22">
        <v>378</v>
      </c>
      <c r="BD1122" s="22"/>
      <c r="CA1122" s="18"/>
      <c r="CD1122" s="22"/>
      <c r="CE1122" s="22"/>
      <c r="DH1122" s="22"/>
      <c r="DI1122" s="22"/>
      <c r="DJ1122" s="22"/>
      <c r="DK1122" s="344"/>
      <c r="DL1122" s="361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22"/>
      <c r="EG1122" s="22"/>
      <c r="EH1122" s="22"/>
      <c r="EI1122" s="22"/>
      <c r="EJ1122" s="22"/>
      <c r="EK1122" s="22"/>
      <c r="EL1122" s="22"/>
      <c r="EM1122" s="22"/>
      <c r="EN1122" s="344"/>
      <c r="EO1122" s="344"/>
      <c r="EP1122" s="22"/>
      <c r="EQ1122" s="22"/>
      <c r="ER1122" s="22"/>
      <c r="ES1122" s="344"/>
      <c r="ET1122" s="349"/>
      <c r="EU1122" s="344"/>
      <c r="EV1122" s="22"/>
      <c r="EW1122" s="22"/>
      <c r="EX1122" s="22"/>
      <c r="EY1122" s="22"/>
      <c r="EZ1122" s="22"/>
      <c r="FA1122" s="22"/>
      <c r="FB1122" s="22"/>
      <c r="FC1122" s="22"/>
      <c r="FD1122" s="22"/>
      <c r="FE1122" s="22"/>
      <c r="FT1122" s="27"/>
      <c r="FU1122" s="27"/>
    </row>
    <row r="1123" spans="24:177" s="9" customFormat="1" x14ac:dyDescent="0.2">
      <c r="X1123" s="50"/>
      <c r="AD1123" s="22"/>
      <c r="AW1123" s="8"/>
      <c r="AX1123" s="108"/>
      <c r="AY1123" s="102"/>
      <c r="AZ1123" s="109"/>
      <c r="BA1123" s="11"/>
      <c r="BB1123" s="9" t="s">
        <v>559</v>
      </c>
      <c r="BC1123" s="22">
        <v>379</v>
      </c>
      <c r="BD1123" s="22"/>
      <c r="CA1123" s="18"/>
      <c r="CD1123" s="22"/>
      <c r="CE1123" s="22"/>
      <c r="DH1123" s="22"/>
      <c r="DI1123" s="22"/>
      <c r="DJ1123" s="22"/>
      <c r="DK1123" s="344"/>
      <c r="DL1123" s="361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22"/>
      <c r="EG1123" s="22"/>
      <c r="EH1123" s="22"/>
      <c r="EI1123" s="22"/>
      <c r="EJ1123" s="22"/>
      <c r="EK1123" s="22"/>
      <c r="EL1123" s="22"/>
      <c r="EM1123" s="22"/>
      <c r="EN1123" s="344"/>
      <c r="EO1123" s="344"/>
      <c r="EP1123" s="22"/>
      <c r="EQ1123" s="22"/>
      <c r="ER1123" s="22"/>
      <c r="ES1123" s="344"/>
      <c r="ET1123" s="349"/>
      <c r="EU1123" s="344"/>
      <c r="EV1123" s="22"/>
      <c r="EW1123" s="22"/>
      <c r="EX1123" s="22"/>
      <c r="EY1123" s="22"/>
      <c r="EZ1123" s="22"/>
      <c r="FA1123" s="22"/>
      <c r="FB1123" s="22"/>
      <c r="FC1123" s="22"/>
      <c r="FD1123" s="22"/>
      <c r="FE1123" s="22"/>
      <c r="FT1123" s="27"/>
      <c r="FU1123" s="27"/>
    </row>
    <row r="1124" spans="24:177" s="9" customFormat="1" x14ac:dyDescent="0.2">
      <c r="X1124" s="50"/>
      <c r="AD1124" s="22"/>
      <c r="AW1124" s="8"/>
      <c r="AX1124" s="108"/>
      <c r="AY1124" s="102"/>
      <c r="AZ1124" s="109"/>
      <c r="BA1124" s="11"/>
      <c r="BB1124" s="9" t="s">
        <v>559</v>
      </c>
      <c r="BC1124" s="22">
        <v>380</v>
      </c>
      <c r="BD1124" s="22"/>
      <c r="CA1124" s="18"/>
      <c r="CD1124" s="22"/>
      <c r="CE1124" s="22"/>
      <c r="DH1124" s="22"/>
      <c r="DI1124" s="22"/>
      <c r="DJ1124" s="22"/>
      <c r="DK1124" s="344"/>
      <c r="DL1124" s="361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22"/>
      <c r="EG1124" s="22"/>
      <c r="EH1124" s="22"/>
      <c r="EI1124" s="22"/>
      <c r="EJ1124" s="22"/>
      <c r="EK1124" s="22"/>
      <c r="EL1124" s="22"/>
      <c r="EM1124" s="22"/>
      <c r="EN1124" s="344"/>
      <c r="EO1124" s="344"/>
      <c r="EP1124" s="22"/>
      <c r="EQ1124" s="22"/>
      <c r="ER1124" s="22"/>
      <c r="ES1124" s="344"/>
      <c r="ET1124" s="349"/>
      <c r="EU1124" s="344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T1124" s="27"/>
      <c r="FU1124" s="27"/>
    </row>
    <row r="1125" spans="24:177" s="9" customFormat="1" x14ac:dyDescent="0.2">
      <c r="X1125" s="50"/>
      <c r="AD1125" s="22"/>
      <c r="AW1125" s="8"/>
      <c r="AX1125" s="108"/>
      <c r="AY1125" s="102"/>
      <c r="AZ1125" s="109"/>
      <c r="BA1125" s="11"/>
      <c r="BB1125" s="9" t="s">
        <v>559</v>
      </c>
      <c r="BC1125" s="22">
        <v>381</v>
      </c>
      <c r="BD1125" s="22"/>
      <c r="CA1125" s="18"/>
      <c r="CD1125" s="22"/>
      <c r="CE1125" s="22"/>
      <c r="DH1125" s="22"/>
      <c r="DI1125" s="22"/>
      <c r="DJ1125" s="22"/>
      <c r="DK1125" s="344"/>
      <c r="DL1125" s="361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22"/>
      <c r="EG1125" s="22"/>
      <c r="EH1125" s="22"/>
      <c r="EI1125" s="22"/>
      <c r="EJ1125" s="22"/>
      <c r="EK1125" s="22"/>
      <c r="EL1125" s="22"/>
      <c r="EM1125" s="22"/>
      <c r="EN1125" s="344"/>
      <c r="EO1125" s="344"/>
      <c r="EP1125" s="22"/>
      <c r="EQ1125" s="22"/>
      <c r="ER1125" s="22"/>
      <c r="ES1125" s="344"/>
      <c r="ET1125" s="349"/>
      <c r="EU1125" s="344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T1125" s="27"/>
      <c r="FU1125" s="27"/>
    </row>
    <row r="1126" spans="24:177" s="9" customFormat="1" x14ac:dyDescent="0.2">
      <c r="X1126" s="50"/>
      <c r="AD1126" s="22"/>
      <c r="AW1126" s="8"/>
      <c r="AX1126" s="108"/>
      <c r="AY1126" s="102"/>
      <c r="AZ1126" s="109"/>
      <c r="BA1126" s="11"/>
      <c r="BB1126" s="9" t="s">
        <v>559</v>
      </c>
      <c r="BC1126" s="22">
        <v>382</v>
      </c>
      <c r="BD1126" s="22"/>
      <c r="CA1126" s="18"/>
      <c r="CD1126" s="22"/>
      <c r="CE1126" s="22"/>
      <c r="DH1126" s="22"/>
      <c r="DI1126" s="22"/>
      <c r="DJ1126" s="22"/>
      <c r="DK1126" s="344"/>
      <c r="DL1126" s="361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22"/>
      <c r="EG1126" s="22"/>
      <c r="EH1126" s="22"/>
      <c r="EI1126" s="22"/>
      <c r="EJ1126" s="22"/>
      <c r="EK1126" s="22"/>
      <c r="EL1126" s="22"/>
      <c r="EM1126" s="22"/>
      <c r="EN1126" s="344"/>
      <c r="EO1126" s="344"/>
      <c r="EP1126" s="22"/>
      <c r="EQ1126" s="22"/>
      <c r="ER1126" s="22"/>
      <c r="ES1126" s="344"/>
      <c r="ET1126" s="349"/>
      <c r="EU1126" s="344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T1126" s="27"/>
      <c r="FU1126" s="27"/>
    </row>
    <row r="1127" spans="24:177" s="9" customFormat="1" x14ac:dyDescent="0.2">
      <c r="X1127" s="50"/>
      <c r="AD1127" s="22"/>
      <c r="AW1127" s="8"/>
      <c r="AX1127" s="108"/>
      <c r="AY1127" s="102"/>
      <c r="AZ1127" s="109"/>
      <c r="BA1127" s="11"/>
      <c r="BB1127" s="9" t="s">
        <v>559</v>
      </c>
      <c r="BC1127" s="22">
        <v>383</v>
      </c>
      <c r="BD1127" s="22"/>
      <c r="CA1127" s="18"/>
      <c r="CD1127" s="22"/>
      <c r="CE1127" s="22"/>
      <c r="DH1127" s="22"/>
      <c r="DI1127" s="22"/>
      <c r="DJ1127" s="22"/>
      <c r="DK1127" s="344"/>
      <c r="DL1127" s="361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22"/>
      <c r="EG1127" s="22"/>
      <c r="EH1127" s="22"/>
      <c r="EI1127" s="22"/>
      <c r="EJ1127" s="22"/>
      <c r="EK1127" s="22"/>
      <c r="EL1127" s="22"/>
      <c r="EM1127" s="22"/>
      <c r="EN1127" s="344"/>
      <c r="EO1127" s="344"/>
      <c r="EP1127" s="22"/>
      <c r="EQ1127" s="22"/>
      <c r="ER1127" s="22"/>
      <c r="ES1127" s="344"/>
      <c r="ET1127" s="349"/>
      <c r="EU1127" s="344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T1127" s="27"/>
      <c r="FU1127" s="27"/>
    </row>
    <row r="1128" spans="24:177" s="9" customFormat="1" x14ac:dyDescent="0.2">
      <c r="X1128" s="50"/>
      <c r="AD1128" s="22"/>
      <c r="AW1128" s="8"/>
      <c r="AX1128" s="108"/>
      <c r="AY1128" s="102"/>
      <c r="AZ1128" s="109"/>
      <c r="BA1128" s="11"/>
      <c r="BB1128" s="9" t="s">
        <v>559</v>
      </c>
      <c r="BC1128" s="22">
        <v>384</v>
      </c>
      <c r="BD1128" s="22"/>
      <c r="CA1128" s="18"/>
      <c r="CD1128" s="22"/>
      <c r="CE1128" s="22"/>
      <c r="DH1128" s="22"/>
      <c r="DI1128" s="22"/>
      <c r="DJ1128" s="22"/>
      <c r="DK1128" s="344"/>
      <c r="DL1128" s="361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22"/>
      <c r="EG1128" s="22"/>
      <c r="EH1128" s="22"/>
      <c r="EI1128" s="22"/>
      <c r="EJ1128" s="22"/>
      <c r="EK1128" s="22"/>
      <c r="EL1128" s="22"/>
      <c r="EM1128" s="22"/>
      <c r="EN1128" s="344"/>
      <c r="EO1128" s="344"/>
      <c r="EP1128" s="22"/>
      <c r="EQ1128" s="22"/>
      <c r="ER1128" s="22"/>
      <c r="ES1128" s="344"/>
      <c r="ET1128" s="349"/>
      <c r="EU1128" s="344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T1128" s="27"/>
      <c r="FU1128" s="27"/>
    </row>
    <row r="1129" spans="24:177" s="9" customFormat="1" x14ac:dyDescent="0.2">
      <c r="X1129" s="50"/>
      <c r="AD1129" s="22"/>
      <c r="AW1129" s="8"/>
      <c r="AX1129" s="108"/>
      <c r="AY1129" s="102"/>
      <c r="AZ1129" s="109"/>
      <c r="BA1129" s="11"/>
      <c r="BB1129" s="9" t="s">
        <v>559</v>
      </c>
      <c r="BC1129" s="22">
        <v>385</v>
      </c>
      <c r="BD1129" s="22"/>
      <c r="CA1129" s="18"/>
      <c r="CD1129" s="22"/>
      <c r="CE1129" s="22"/>
      <c r="DH1129" s="22"/>
      <c r="DI1129" s="22"/>
      <c r="DJ1129" s="22"/>
      <c r="DK1129" s="344"/>
      <c r="DL1129" s="361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22"/>
      <c r="EG1129" s="22"/>
      <c r="EH1129" s="22"/>
      <c r="EI1129" s="22"/>
      <c r="EJ1129" s="22"/>
      <c r="EK1129" s="22"/>
      <c r="EL1129" s="22"/>
      <c r="EM1129" s="22"/>
      <c r="EN1129" s="344"/>
      <c r="EO1129" s="344"/>
      <c r="EP1129" s="22"/>
      <c r="EQ1129" s="22"/>
      <c r="ER1129" s="22"/>
      <c r="ES1129" s="344"/>
      <c r="ET1129" s="349"/>
      <c r="EU1129" s="344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T1129" s="27"/>
      <c r="FU1129" s="27"/>
    </row>
    <row r="1130" spans="24:177" s="9" customFormat="1" x14ac:dyDescent="0.2">
      <c r="X1130" s="50"/>
      <c r="AD1130" s="22"/>
      <c r="AW1130" s="8"/>
      <c r="AX1130" s="108"/>
      <c r="AY1130" s="102"/>
      <c r="AZ1130" s="109"/>
      <c r="BA1130" s="11"/>
      <c r="BB1130" s="9" t="s">
        <v>559</v>
      </c>
      <c r="BC1130" s="22">
        <v>386</v>
      </c>
      <c r="BD1130" s="22"/>
      <c r="CA1130" s="18"/>
      <c r="CD1130" s="22"/>
      <c r="CE1130" s="22"/>
      <c r="DH1130" s="22"/>
      <c r="DI1130" s="22"/>
      <c r="DJ1130" s="22"/>
      <c r="DK1130" s="344"/>
      <c r="DL1130" s="361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22"/>
      <c r="EG1130" s="22"/>
      <c r="EH1130" s="22"/>
      <c r="EI1130" s="22"/>
      <c r="EJ1130" s="22"/>
      <c r="EK1130" s="22"/>
      <c r="EL1130" s="22"/>
      <c r="EM1130" s="22"/>
      <c r="EN1130" s="344"/>
      <c r="EO1130" s="344"/>
      <c r="EP1130" s="22"/>
      <c r="EQ1130" s="22"/>
      <c r="ER1130" s="22"/>
      <c r="ES1130" s="344"/>
      <c r="ET1130" s="349"/>
      <c r="EU1130" s="344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T1130" s="27"/>
      <c r="FU1130" s="27"/>
    </row>
    <row r="1131" spans="24:177" s="9" customFormat="1" x14ac:dyDescent="0.2">
      <c r="X1131" s="50"/>
      <c r="AD1131" s="22"/>
      <c r="AW1131" s="8"/>
      <c r="AX1131" s="108"/>
      <c r="AY1131" s="102"/>
      <c r="AZ1131" s="109"/>
      <c r="BA1131" s="11"/>
      <c r="BB1131" s="9" t="s">
        <v>559</v>
      </c>
      <c r="BC1131" s="22">
        <v>387</v>
      </c>
      <c r="BD1131" s="22"/>
      <c r="CA1131" s="18"/>
      <c r="CD1131" s="22"/>
      <c r="CE1131" s="22"/>
      <c r="DH1131" s="22"/>
      <c r="DI1131" s="22"/>
      <c r="DJ1131" s="22"/>
      <c r="DK1131" s="344"/>
      <c r="DL1131" s="361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22"/>
      <c r="EG1131" s="22"/>
      <c r="EH1131" s="22"/>
      <c r="EI1131" s="22"/>
      <c r="EJ1131" s="22"/>
      <c r="EK1131" s="22"/>
      <c r="EL1131" s="22"/>
      <c r="EM1131" s="22"/>
      <c r="EN1131" s="344"/>
      <c r="EO1131" s="344"/>
      <c r="EP1131" s="22"/>
      <c r="EQ1131" s="22"/>
      <c r="ER1131" s="22"/>
      <c r="ES1131" s="344"/>
      <c r="ET1131" s="349"/>
      <c r="EU1131" s="344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T1131" s="27"/>
      <c r="FU1131" s="27"/>
    </row>
    <row r="1132" spans="24:177" s="9" customFormat="1" x14ac:dyDescent="0.2">
      <c r="X1132" s="50"/>
      <c r="AD1132" s="22"/>
      <c r="AW1132" s="8"/>
      <c r="AX1132" s="108"/>
      <c r="AY1132" s="102"/>
      <c r="AZ1132" s="109"/>
      <c r="BA1132" s="11"/>
      <c r="BB1132" s="9" t="s">
        <v>559</v>
      </c>
      <c r="BC1132" s="22">
        <v>388</v>
      </c>
      <c r="BD1132" s="22"/>
      <c r="CA1132" s="18"/>
      <c r="CD1132" s="22"/>
      <c r="CE1132" s="22"/>
      <c r="DH1132" s="22"/>
      <c r="DI1132" s="22"/>
      <c r="DJ1132" s="22"/>
      <c r="DK1132" s="344"/>
      <c r="DL1132" s="361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22"/>
      <c r="EG1132" s="22"/>
      <c r="EH1132" s="22"/>
      <c r="EI1132" s="22"/>
      <c r="EJ1132" s="22"/>
      <c r="EK1132" s="22"/>
      <c r="EL1132" s="22"/>
      <c r="EM1132" s="22"/>
      <c r="EN1132" s="344"/>
      <c r="EO1132" s="344"/>
      <c r="EP1132" s="22"/>
      <c r="EQ1132" s="22"/>
      <c r="ER1132" s="22"/>
      <c r="ES1132" s="344"/>
      <c r="ET1132" s="349"/>
      <c r="EU1132" s="344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T1132" s="27"/>
      <c r="FU1132" s="27"/>
    </row>
    <row r="1133" spans="24:177" s="9" customFormat="1" x14ac:dyDescent="0.2">
      <c r="X1133" s="50"/>
      <c r="AD1133" s="22"/>
      <c r="AW1133" s="8"/>
      <c r="AX1133" s="108"/>
      <c r="AY1133" s="102"/>
      <c r="AZ1133" s="109"/>
      <c r="BA1133" s="11"/>
      <c r="BB1133" s="9" t="s">
        <v>559</v>
      </c>
      <c r="BC1133" s="22">
        <v>389</v>
      </c>
      <c r="BD1133" s="22"/>
      <c r="CA1133" s="18"/>
      <c r="CD1133" s="22"/>
      <c r="CE1133" s="22"/>
      <c r="DH1133" s="22"/>
      <c r="DI1133" s="22"/>
      <c r="DJ1133" s="22"/>
      <c r="DK1133" s="344"/>
      <c r="DL1133" s="361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22"/>
      <c r="EG1133" s="22"/>
      <c r="EH1133" s="22"/>
      <c r="EI1133" s="22"/>
      <c r="EJ1133" s="22"/>
      <c r="EK1133" s="22"/>
      <c r="EL1133" s="22"/>
      <c r="EM1133" s="22"/>
      <c r="EN1133" s="344"/>
      <c r="EO1133" s="344"/>
      <c r="EP1133" s="22"/>
      <c r="EQ1133" s="22"/>
      <c r="ER1133" s="22"/>
      <c r="ES1133" s="344"/>
      <c r="ET1133" s="349"/>
      <c r="EU1133" s="344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T1133" s="27"/>
      <c r="FU1133" s="27"/>
    </row>
    <row r="1134" spans="24:177" s="9" customFormat="1" x14ac:dyDescent="0.2">
      <c r="X1134" s="50"/>
      <c r="AD1134" s="22"/>
      <c r="AW1134" s="8"/>
      <c r="AX1134" s="108"/>
      <c r="AY1134" s="102"/>
      <c r="AZ1134" s="109"/>
      <c r="BA1134" s="11"/>
      <c r="BB1134" s="9" t="s">
        <v>559</v>
      </c>
      <c r="BC1134" s="22">
        <v>390</v>
      </c>
      <c r="BD1134" s="22"/>
      <c r="CA1134" s="18"/>
      <c r="CD1134" s="22"/>
      <c r="CE1134" s="22"/>
      <c r="DH1134" s="22"/>
      <c r="DI1134" s="22"/>
      <c r="DJ1134" s="22"/>
      <c r="DK1134" s="344"/>
      <c r="DL1134" s="361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22"/>
      <c r="EG1134" s="22"/>
      <c r="EH1134" s="22"/>
      <c r="EI1134" s="22"/>
      <c r="EJ1134" s="22"/>
      <c r="EK1134" s="22"/>
      <c r="EL1134" s="22"/>
      <c r="EM1134" s="22"/>
      <c r="EN1134" s="344"/>
      <c r="EO1134" s="344"/>
      <c r="EP1134" s="22"/>
      <c r="EQ1134" s="22"/>
      <c r="ER1134" s="22"/>
      <c r="ES1134" s="344"/>
      <c r="ET1134" s="349"/>
      <c r="EU1134" s="344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T1134" s="27"/>
      <c r="FU1134" s="27"/>
    </row>
    <row r="1135" spans="24:177" s="9" customFormat="1" x14ac:dyDescent="0.2">
      <c r="X1135" s="50"/>
      <c r="AD1135" s="22"/>
      <c r="AW1135" s="8"/>
      <c r="AX1135" s="108"/>
      <c r="AY1135" s="102"/>
      <c r="AZ1135" s="109"/>
      <c r="BA1135" s="11"/>
      <c r="BB1135" s="9" t="s">
        <v>559</v>
      </c>
      <c r="BC1135" s="22">
        <v>391</v>
      </c>
      <c r="BD1135" s="22"/>
      <c r="CA1135" s="18"/>
      <c r="CD1135" s="22"/>
      <c r="CE1135" s="22"/>
      <c r="DH1135" s="22"/>
      <c r="DI1135" s="22"/>
      <c r="DJ1135" s="22"/>
      <c r="DK1135" s="344"/>
      <c r="DL1135" s="361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22"/>
      <c r="EG1135" s="22"/>
      <c r="EH1135" s="22"/>
      <c r="EI1135" s="22"/>
      <c r="EJ1135" s="22"/>
      <c r="EK1135" s="22"/>
      <c r="EL1135" s="22"/>
      <c r="EM1135" s="22"/>
      <c r="EN1135" s="344"/>
      <c r="EO1135" s="344"/>
      <c r="EP1135" s="22"/>
      <c r="EQ1135" s="22"/>
      <c r="ER1135" s="22"/>
      <c r="ES1135" s="344"/>
      <c r="ET1135" s="349"/>
      <c r="EU1135" s="344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T1135" s="27"/>
      <c r="FU1135" s="27"/>
    </row>
    <row r="1136" spans="24:177" s="9" customFormat="1" x14ac:dyDescent="0.2">
      <c r="X1136" s="50"/>
      <c r="AD1136" s="22"/>
      <c r="AW1136" s="8"/>
      <c r="AX1136" s="108"/>
      <c r="AY1136" s="102"/>
      <c r="AZ1136" s="109"/>
      <c r="BA1136" s="11"/>
      <c r="BB1136" s="9" t="s">
        <v>559</v>
      </c>
      <c r="BC1136" s="22">
        <v>392</v>
      </c>
      <c r="BD1136" s="22"/>
      <c r="CA1136" s="18"/>
      <c r="CD1136" s="22"/>
      <c r="CE1136" s="22"/>
      <c r="DH1136" s="22"/>
      <c r="DI1136" s="22"/>
      <c r="DJ1136" s="22"/>
      <c r="DK1136" s="344"/>
      <c r="DL1136" s="361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22"/>
      <c r="EG1136" s="22"/>
      <c r="EH1136" s="22"/>
      <c r="EI1136" s="22"/>
      <c r="EJ1136" s="22"/>
      <c r="EK1136" s="22"/>
      <c r="EL1136" s="22"/>
      <c r="EM1136" s="22"/>
      <c r="EN1136" s="344"/>
      <c r="EO1136" s="344"/>
      <c r="EP1136" s="22"/>
      <c r="EQ1136" s="22"/>
      <c r="ER1136" s="22"/>
      <c r="ES1136" s="344"/>
      <c r="ET1136" s="349"/>
      <c r="EU1136" s="344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T1136" s="27"/>
      <c r="FU1136" s="27"/>
    </row>
    <row r="1137" spans="24:177" s="9" customFormat="1" x14ac:dyDescent="0.2">
      <c r="X1137" s="50"/>
      <c r="AD1137" s="22"/>
      <c r="AW1137" s="8"/>
      <c r="AX1137" s="108"/>
      <c r="AY1137" s="102"/>
      <c r="AZ1137" s="109"/>
      <c r="BA1137" s="11"/>
      <c r="BB1137" s="9" t="s">
        <v>559</v>
      </c>
      <c r="BC1137" s="22">
        <v>393</v>
      </c>
      <c r="BD1137" s="22"/>
      <c r="CA1137" s="18"/>
      <c r="CD1137" s="22"/>
      <c r="CE1137" s="22"/>
      <c r="DH1137" s="22"/>
      <c r="DI1137" s="22"/>
      <c r="DJ1137" s="22"/>
      <c r="DK1137" s="344"/>
      <c r="DL1137" s="361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22"/>
      <c r="EG1137" s="22"/>
      <c r="EH1137" s="22"/>
      <c r="EI1137" s="22"/>
      <c r="EJ1137" s="22"/>
      <c r="EK1137" s="22"/>
      <c r="EL1137" s="22"/>
      <c r="EM1137" s="22"/>
      <c r="EN1137" s="344"/>
      <c r="EO1137" s="344"/>
      <c r="EP1137" s="22"/>
      <c r="EQ1137" s="22"/>
      <c r="ER1137" s="22"/>
      <c r="ES1137" s="344"/>
      <c r="ET1137" s="349"/>
      <c r="EU1137" s="344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T1137" s="27"/>
      <c r="FU1137" s="27"/>
    </row>
    <row r="1138" spans="24:177" s="9" customFormat="1" x14ac:dyDescent="0.2">
      <c r="X1138" s="50"/>
      <c r="AD1138" s="22"/>
      <c r="AW1138" s="8"/>
      <c r="AX1138" s="108"/>
      <c r="AY1138" s="102"/>
      <c r="AZ1138" s="109"/>
      <c r="BA1138" s="11"/>
      <c r="BB1138" s="9" t="s">
        <v>559</v>
      </c>
      <c r="BC1138" s="22">
        <v>394</v>
      </c>
      <c r="BD1138" s="22"/>
      <c r="CA1138" s="18"/>
      <c r="CD1138" s="22"/>
      <c r="CE1138" s="22"/>
      <c r="DH1138" s="22"/>
      <c r="DI1138" s="22"/>
      <c r="DJ1138" s="22"/>
      <c r="DK1138" s="344"/>
      <c r="DL1138" s="361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22"/>
      <c r="EG1138" s="22"/>
      <c r="EH1138" s="22"/>
      <c r="EI1138" s="22"/>
      <c r="EJ1138" s="22"/>
      <c r="EK1138" s="22"/>
      <c r="EL1138" s="22"/>
      <c r="EM1138" s="22"/>
      <c r="EN1138" s="344"/>
      <c r="EO1138" s="344"/>
      <c r="EP1138" s="22"/>
      <c r="EQ1138" s="22"/>
      <c r="ER1138" s="22"/>
      <c r="ES1138" s="344"/>
      <c r="ET1138" s="349"/>
      <c r="EU1138" s="344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T1138" s="27"/>
      <c r="FU1138" s="27"/>
    </row>
    <row r="1139" spans="24:177" s="9" customFormat="1" x14ac:dyDescent="0.2">
      <c r="X1139" s="50"/>
      <c r="AD1139" s="22"/>
      <c r="AW1139" s="8"/>
      <c r="AX1139" s="108"/>
      <c r="AY1139" s="102"/>
      <c r="AZ1139" s="109"/>
      <c r="BA1139" s="11"/>
      <c r="BB1139" s="9" t="s">
        <v>559</v>
      </c>
      <c r="BC1139" s="22">
        <v>395</v>
      </c>
      <c r="BD1139" s="22"/>
      <c r="CA1139" s="18"/>
      <c r="CD1139" s="22"/>
      <c r="CE1139" s="22"/>
      <c r="DH1139" s="22"/>
      <c r="DI1139" s="22"/>
      <c r="DJ1139" s="22"/>
      <c r="DK1139" s="344"/>
      <c r="DL1139" s="361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22"/>
      <c r="EG1139" s="22"/>
      <c r="EH1139" s="22"/>
      <c r="EI1139" s="22"/>
      <c r="EJ1139" s="22"/>
      <c r="EK1139" s="22"/>
      <c r="EL1139" s="22"/>
      <c r="EM1139" s="22"/>
      <c r="EN1139" s="344"/>
      <c r="EO1139" s="344"/>
      <c r="EP1139" s="22"/>
      <c r="EQ1139" s="22"/>
      <c r="ER1139" s="22"/>
      <c r="ES1139" s="344"/>
      <c r="ET1139" s="349"/>
      <c r="EU1139" s="344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T1139" s="27"/>
      <c r="FU1139" s="27"/>
    </row>
    <row r="1140" spans="24:177" s="9" customFormat="1" x14ac:dyDescent="0.2">
      <c r="X1140" s="50"/>
      <c r="AD1140" s="22"/>
      <c r="AW1140" s="8"/>
      <c r="AX1140" s="108"/>
      <c r="AY1140" s="102"/>
      <c r="AZ1140" s="109"/>
      <c r="BA1140" s="11"/>
      <c r="BB1140" s="9" t="s">
        <v>559</v>
      </c>
      <c r="BC1140" s="22">
        <v>396</v>
      </c>
      <c r="BD1140" s="22"/>
      <c r="CA1140" s="18"/>
      <c r="CD1140" s="22"/>
      <c r="CE1140" s="22"/>
      <c r="DH1140" s="22"/>
      <c r="DI1140" s="22"/>
      <c r="DJ1140" s="22"/>
      <c r="DK1140" s="344"/>
      <c r="DL1140" s="361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22"/>
      <c r="EG1140" s="22"/>
      <c r="EH1140" s="22"/>
      <c r="EI1140" s="22"/>
      <c r="EJ1140" s="22"/>
      <c r="EK1140" s="22"/>
      <c r="EL1140" s="22"/>
      <c r="EM1140" s="22"/>
      <c r="EN1140" s="344"/>
      <c r="EO1140" s="344"/>
      <c r="EP1140" s="22"/>
      <c r="EQ1140" s="22"/>
      <c r="ER1140" s="22"/>
      <c r="ES1140" s="344"/>
      <c r="ET1140" s="349"/>
      <c r="EU1140" s="344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T1140" s="27"/>
      <c r="FU1140" s="27"/>
    </row>
    <row r="1141" spans="24:177" s="9" customFormat="1" x14ac:dyDescent="0.2">
      <c r="X1141" s="50"/>
      <c r="AD1141" s="22"/>
      <c r="AW1141" s="8"/>
      <c r="AX1141" s="108"/>
      <c r="AY1141" s="102"/>
      <c r="AZ1141" s="109"/>
      <c r="BA1141" s="11"/>
      <c r="BB1141" s="9" t="s">
        <v>559</v>
      </c>
      <c r="BC1141" s="22">
        <v>397</v>
      </c>
      <c r="BD1141" s="22"/>
      <c r="CA1141" s="18"/>
      <c r="CD1141" s="22"/>
      <c r="CE1141" s="22"/>
      <c r="DH1141" s="22"/>
      <c r="DI1141" s="22"/>
      <c r="DJ1141" s="22"/>
      <c r="DK1141" s="344"/>
      <c r="DL1141" s="361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22"/>
      <c r="EG1141" s="22"/>
      <c r="EH1141" s="22"/>
      <c r="EI1141" s="22"/>
      <c r="EJ1141" s="22"/>
      <c r="EK1141" s="22"/>
      <c r="EL1141" s="22"/>
      <c r="EM1141" s="22"/>
      <c r="EN1141" s="344"/>
      <c r="EO1141" s="344"/>
      <c r="EP1141" s="22"/>
      <c r="EQ1141" s="22"/>
      <c r="ER1141" s="22"/>
      <c r="ES1141" s="344"/>
      <c r="ET1141" s="349"/>
      <c r="EU1141" s="344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T1141" s="27"/>
      <c r="FU1141" s="27"/>
    </row>
    <row r="1142" spans="24:177" s="9" customFormat="1" x14ac:dyDescent="0.2">
      <c r="X1142" s="50"/>
      <c r="AD1142" s="22"/>
      <c r="AW1142" s="8"/>
      <c r="AX1142" s="108"/>
      <c r="AY1142" s="102"/>
      <c r="AZ1142" s="109"/>
      <c r="BA1142" s="11"/>
      <c r="BB1142" s="9" t="s">
        <v>559</v>
      </c>
      <c r="BC1142" s="22">
        <v>398</v>
      </c>
      <c r="BD1142" s="22"/>
      <c r="CA1142" s="18"/>
      <c r="CD1142" s="22"/>
      <c r="CE1142" s="22"/>
      <c r="DH1142" s="22"/>
      <c r="DI1142" s="22"/>
      <c r="DJ1142" s="22"/>
      <c r="DK1142" s="344"/>
      <c r="DL1142" s="361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22"/>
      <c r="EG1142" s="22"/>
      <c r="EH1142" s="22"/>
      <c r="EI1142" s="22"/>
      <c r="EJ1142" s="22"/>
      <c r="EK1142" s="22"/>
      <c r="EL1142" s="22"/>
      <c r="EM1142" s="22"/>
      <c r="EN1142" s="344"/>
      <c r="EO1142" s="344"/>
      <c r="EP1142" s="22"/>
      <c r="EQ1142" s="22"/>
      <c r="ER1142" s="22"/>
      <c r="ES1142" s="344"/>
      <c r="ET1142" s="349"/>
      <c r="EU1142" s="344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T1142" s="27"/>
      <c r="FU1142" s="27"/>
    </row>
    <row r="1143" spans="24:177" s="9" customFormat="1" x14ac:dyDescent="0.2">
      <c r="X1143" s="50"/>
      <c r="AD1143" s="22"/>
      <c r="AW1143" s="8"/>
      <c r="AX1143" s="108"/>
      <c r="AY1143" s="102"/>
      <c r="AZ1143" s="109"/>
      <c r="BA1143" s="11"/>
      <c r="BB1143" s="9" t="s">
        <v>559</v>
      </c>
      <c r="BC1143" s="22">
        <v>399</v>
      </c>
      <c r="BD1143" s="22"/>
      <c r="CA1143" s="18"/>
      <c r="CD1143" s="22"/>
      <c r="CE1143" s="22"/>
      <c r="DH1143" s="22"/>
      <c r="DI1143" s="22"/>
      <c r="DJ1143" s="22"/>
      <c r="DK1143" s="344"/>
      <c r="DL1143" s="361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22"/>
      <c r="EG1143" s="22"/>
      <c r="EH1143" s="22"/>
      <c r="EI1143" s="22"/>
      <c r="EJ1143" s="22"/>
      <c r="EK1143" s="22"/>
      <c r="EL1143" s="22"/>
      <c r="EM1143" s="22"/>
      <c r="EN1143" s="344"/>
      <c r="EO1143" s="344"/>
      <c r="EP1143" s="22"/>
      <c r="EQ1143" s="22"/>
      <c r="ER1143" s="22"/>
      <c r="ES1143" s="344"/>
      <c r="ET1143" s="349"/>
      <c r="EU1143" s="344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T1143" s="27"/>
      <c r="FU1143" s="27"/>
    </row>
    <row r="1144" spans="24:177" s="9" customFormat="1" x14ac:dyDescent="0.2">
      <c r="X1144" s="50"/>
      <c r="AD1144" s="22"/>
      <c r="AW1144" s="8"/>
      <c r="AX1144" s="108"/>
      <c r="AY1144" s="102"/>
      <c r="AZ1144" s="109"/>
      <c r="BA1144" s="11"/>
      <c r="BB1144" s="9" t="s">
        <v>559</v>
      </c>
      <c r="BC1144" s="22">
        <v>400</v>
      </c>
      <c r="BD1144" s="22"/>
      <c r="CA1144" s="18"/>
      <c r="CD1144" s="22"/>
      <c r="CE1144" s="22"/>
      <c r="DH1144" s="22"/>
      <c r="DI1144" s="22"/>
      <c r="DJ1144" s="22"/>
      <c r="DK1144" s="344"/>
      <c r="DL1144" s="361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22"/>
      <c r="EG1144" s="22"/>
      <c r="EH1144" s="22"/>
      <c r="EI1144" s="22"/>
      <c r="EJ1144" s="22"/>
      <c r="EK1144" s="22"/>
      <c r="EL1144" s="22"/>
      <c r="EM1144" s="22"/>
      <c r="EN1144" s="344"/>
      <c r="EO1144" s="344"/>
      <c r="EP1144" s="22"/>
      <c r="EQ1144" s="22"/>
      <c r="ER1144" s="22"/>
      <c r="ES1144" s="344"/>
      <c r="ET1144" s="349"/>
      <c r="EU1144" s="344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T1144" s="27"/>
      <c r="FU1144" s="27"/>
    </row>
    <row r="1145" spans="24:177" s="9" customFormat="1" x14ac:dyDescent="0.2">
      <c r="X1145" s="50"/>
      <c r="AD1145" s="22"/>
      <c r="AW1145" s="8"/>
      <c r="AX1145" s="108"/>
      <c r="AY1145" s="102"/>
      <c r="AZ1145" s="109"/>
      <c r="BA1145" s="11"/>
      <c r="BB1145" s="9" t="s">
        <v>560</v>
      </c>
      <c r="BC1145" s="22">
        <v>250</v>
      </c>
      <c r="BD1145" s="22"/>
      <c r="CA1145" s="18"/>
      <c r="CD1145" s="22"/>
      <c r="CE1145" s="22"/>
      <c r="DH1145" s="22"/>
      <c r="DI1145" s="22"/>
      <c r="DJ1145" s="22"/>
      <c r="DK1145" s="344"/>
      <c r="DL1145" s="361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22"/>
      <c r="EG1145" s="22"/>
      <c r="EH1145" s="22"/>
      <c r="EI1145" s="22"/>
      <c r="EJ1145" s="22"/>
      <c r="EK1145" s="22"/>
      <c r="EL1145" s="22"/>
      <c r="EM1145" s="22"/>
      <c r="EN1145" s="344"/>
      <c r="EO1145" s="344"/>
      <c r="EP1145" s="22"/>
      <c r="EQ1145" s="22"/>
      <c r="ER1145" s="22"/>
      <c r="ES1145" s="344"/>
      <c r="ET1145" s="349"/>
      <c r="EU1145" s="344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T1145" s="27"/>
      <c r="FU1145" s="27"/>
    </row>
    <row r="1146" spans="24:177" s="9" customFormat="1" x14ac:dyDescent="0.2">
      <c r="X1146" s="50"/>
      <c r="AD1146" s="22"/>
      <c r="AW1146" s="8"/>
      <c r="AX1146" s="108"/>
      <c r="AY1146" s="102"/>
      <c r="AZ1146" s="109"/>
      <c r="BA1146" s="11"/>
      <c r="BB1146" s="9" t="s">
        <v>560</v>
      </c>
      <c r="BC1146" s="22">
        <v>251</v>
      </c>
      <c r="BD1146" s="22"/>
      <c r="CA1146" s="18"/>
      <c r="CD1146" s="22"/>
      <c r="CE1146" s="22"/>
      <c r="DH1146" s="22"/>
      <c r="DI1146" s="22"/>
      <c r="DJ1146" s="22"/>
      <c r="DK1146" s="344"/>
      <c r="DL1146" s="361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22"/>
      <c r="EG1146" s="22"/>
      <c r="EH1146" s="22"/>
      <c r="EI1146" s="22"/>
      <c r="EJ1146" s="22"/>
      <c r="EK1146" s="22"/>
      <c r="EL1146" s="22"/>
      <c r="EM1146" s="22"/>
      <c r="EN1146" s="344"/>
      <c r="EO1146" s="344"/>
      <c r="EP1146" s="22"/>
      <c r="EQ1146" s="22"/>
      <c r="ER1146" s="22"/>
      <c r="ES1146" s="344"/>
      <c r="ET1146" s="349"/>
      <c r="EU1146" s="344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T1146" s="27"/>
      <c r="FU1146" s="27"/>
    </row>
    <row r="1147" spans="24:177" s="9" customFormat="1" x14ac:dyDescent="0.2">
      <c r="X1147" s="50"/>
      <c r="AD1147" s="22"/>
      <c r="AW1147" s="8"/>
      <c r="AX1147" s="108"/>
      <c r="AY1147" s="102"/>
      <c r="AZ1147" s="109"/>
      <c r="BA1147" s="11"/>
      <c r="BB1147" s="9" t="s">
        <v>560</v>
      </c>
      <c r="BC1147" s="22">
        <v>252</v>
      </c>
      <c r="BD1147" s="22"/>
      <c r="CA1147" s="18"/>
      <c r="CD1147" s="22"/>
      <c r="CE1147" s="22"/>
      <c r="DH1147" s="22"/>
      <c r="DI1147" s="22"/>
      <c r="DJ1147" s="22"/>
      <c r="DK1147" s="344"/>
      <c r="DL1147" s="361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22"/>
      <c r="EG1147" s="22"/>
      <c r="EH1147" s="22"/>
      <c r="EI1147" s="22"/>
      <c r="EJ1147" s="22"/>
      <c r="EK1147" s="22"/>
      <c r="EL1147" s="22"/>
      <c r="EM1147" s="22"/>
      <c r="EN1147" s="344"/>
      <c r="EO1147" s="344"/>
      <c r="EP1147" s="22"/>
      <c r="EQ1147" s="22"/>
      <c r="ER1147" s="22"/>
      <c r="ES1147" s="344"/>
      <c r="ET1147" s="349"/>
      <c r="EU1147" s="344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T1147" s="27"/>
      <c r="FU1147" s="27"/>
    </row>
    <row r="1148" spans="24:177" s="9" customFormat="1" x14ac:dyDescent="0.2">
      <c r="X1148" s="50"/>
      <c r="AD1148" s="22"/>
      <c r="AW1148" s="8"/>
      <c r="AX1148" s="108"/>
      <c r="AY1148" s="102"/>
      <c r="AZ1148" s="109"/>
      <c r="BA1148" s="11"/>
      <c r="BB1148" s="9" t="s">
        <v>560</v>
      </c>
      <c r="BC1148" s="22">
        <v>253</v>
      </c>
      <c r="BD1148" s="22"/>
      <c r="CA1148" s="18"/>
      <c r="CD1148" s="22"/>
      <c r="CE1148" s="22"/>
      <c r="DH1148" s="22"/>
      <c r="DI1148" s="22"/>
      <c r="DJ1148" s="22"/>
      <c r="DK1148" s="344"/>
      <c r="DL1148" s="361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22"/>
      <c r="EG1148" s="22"/>
      <c r="EH1148" s="22"/>
      <c r="EI1148" s="22"/>
      <c r="EJ1148" s="22"/>
      <c r="EK1148" s="22"/>
      <c r="EL1148" s="22"/>
      <c r="EM1148" s="22"/>
      <c r="EN1148" s="344"/>
      <c r="EO1148" s="344"/>
      <c r="EP1148" s="22"/>
      <c r="EQ1148" s="22"/>
      <c r="ER1148" s="22"/>
      <c r="ES1148" s="344"/>
      <c r="ET1148" s="349"/>
      <c r="EU1148" s="344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T1148" s="27"/>
      <c r="FU1148" s="27"/>
    </row>
    <row r="1149" spans="24:177" s="9" customFormat="1" x14ac:dyDescent="0.2">
      <c r="X1149" s="50"/>
      <c r="AD1149" s="22"/>
      <c r="AW1149" s="8"/>
      <c r="AX1149" s="108"/>
      <c r="AY1149" s="102"/>
      <c r="AZ1149" s="109"/>
      <c r="BA1149" s="11"/>
      <c r="BB1149" s="9" t="s">
        <v>560</v>
      </c>
      <c r="BC1149" s="22">
        <v>254</v>
      </c>
      <c r="BD1149" s="22"/>
      <c r="CA1149" s="18"/>
      <c r="CD1149" s="22"/>
      <c r="CE1149" s="22"/>
      <c r="DH1149" s="22"/>
      <c r="DI1149" s="22"/>
      <c r="DJ1149" s="22"/>
      <c r="DK1149" s="344"/>
      <c r="DL1149" s="361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22"/>
      <c r="EG1149" s="22"/>
      <c r="EH1149" s="22"/>
      <c r="EI1149" s="22"/>
      <c r="EJ1149" s="22"/>
      <c r="EK1149" s="22"/>
      <c r="EL1149" s="22"/>
      <c r="EM1149" s="22"/>
      <c r="EN1149" s="344"/>
      <c r="EO1149" s="344"/>
      <c r="EP1149" s="22"/>
      <c r="EQ1149" s="22"/>
      <c r="ER1149" s="22"/>
      <c r="ES1149" s="344"/>
      <c r="ET1149" s="349"/>
      <c r="EU1149" s="344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T1149" s="27"/>
      <c r="FU1149" s="27"/>
    </row>
    <row r="1150" spans="24:177" s="9" customFormat="1" x14ac:dyDescent="0.2">
      <c r="X1150" s="50"/>
      <c r="AD1150" s="22"/>
      <c r="AW1150" s="8"/>
      <c r="AX1150" s="108"/>
      <c r="AY1150" s="102"/>
      <c r="AZ1150" s="109"/>
      <c r="BA1150" s="11"/>
      <c r="BB1150" s="9" t="s">
        <v>560</v>
      </c>
      <c r="BC1150" s="22">
        <v>255</v>
      </c>
      <c r="BD1150" s="22"/>
      <c r="CA1150" s="18"/>
      <c r="CD1150" s="22"/>
      <c r="CE1150" s="22"/>
      <c r="DH1150" s="22"/>
      <c r="DI1150" s="22"/>
      <c r="DJ1150" s="22"/>
      <c r="DK1150" s="344"/>
      <c r="DL1150" s="361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22"/>
      <c r="EG1150" s="22"/>
      <c r="EH1150" s="22"/>
      <c r="EI1150" s="22"/>
      <c r="EJ1150" s="22"/>
      <c r="EK1150" s="22"/>
      <c r="EL1150" s="22"/>
      <c r="EM1150" s="22"/>
      <c r="EN1150" s="344"/>
      <c r="EO1150" s="344"/>
      <c r="EP1150" s="22"/>
      <c r="EQ1150" s="22"/>
      <c r="ER1150" s="22"/>
      <c r="ES1150" s="344"/>
      <c r="ET1150" s="349"/>
      <c r="EU1150" s="344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T1150" s="27"/>
      <c r="FU1150" s="27"/>
    </row>
    <row r="1151" spans="24:177" s="9" customFormat="1" x14ac:dyDescent="0.2">
      <c r="X1151" s="50"/>
      <c r="AD1151" s="22"/>
      <c r="AW1151" s="8"/>
      <c r="AX1151" s="108"/>
      <c r="AY1151" s="102"/>
      <c r="AZ1151" s="109"/>
      <c r="BA1151" s="11"/>
      <c r="BB1151" s="9" t="s">
        <v>560</v>
      </c>
      <c r="BC1151" s="22">
        <v>256</v>
      </c>
      <c r="BD1151" s="22"/>
      <c r="CA1151" s="18"/>
      <c r="CD1151" s="22"/>
      <c r="CE1151" s="22"/>
      <c r="DH1151" s="22"/>
      <c r="DI1151" s="22"/>
      <c r="DJ1151" s="22"/>
      <c r="DK1151" s="344"/>
      <c r="DL1151" s="361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22"/>
      <c r="EG1151" s="22"/>
      <c r="EH1151" s="22"/>
      <c r="EI1151" s="22"/>
      <c r="EJ1151" s="22"/>
      <c r="EK1151" s="22"/>
      <c r="EL1151" s="22"/>
      <c r="EM1151" s="22"/>
      <c r="EN1151" s="344"/>
      <c r="EO1151" s="344"/>
      <c r="EP1151" s="22"/>
      <c r="EQ1151" s="22"/>
      <c r="ER1151" s="22"/>
      <c r="ES1151" s="344"/>
      <c r="ET1151" s="349"/>
      <c r="EU1151" s="344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T1151" s="27"/>
      <c r="FU1151" s="27"/>
    </row>
    <row r="1152" spans="24:177" s="9" customFormat="1" x14ac:dyDescent="0.2">
      <c r="X1152" s="50"/>
      <c r="AD1152" s="22"/>
      <c r="AW1152" s="8"/>
      <c r="AX1152" s="108"/>
      <c r="AY1152" s="102"/>
      <c r="AZ1152" s="109"/>
      <c r="BA1152" s="11"/>
      <c r="BB1152" s="9" t="s">
        <v>560</v>
      </c>
      <c r="BC1152" s="22">
        <v>257</v>
      </c>
      <c r="BD1152" s="22"/>
      <c r="CA1152" s="18"/>
      <c r="CD1152" s="22"/>
      <c r="CE1152" s="22"/>
      <c r="DH1152" s="22"/>
      <c r="DI1152" s="22"/>
      <c r="DJ1152" s="22"/>
      <c r="DK1152" s="344"/>
      <c r="DL1152" s="361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22"/>
      <c r="EG1152" s="22"/>
      <c r="EH1152" s="22"/>
      <c r="EI1152" s="22"/>
      <c r="EJ1152" s="22"/>
      <c r="EK1152" s="22"/>
      <c r="EL1152" s="22"/>
      <c r="EM1152" s="22"/>
      <c r="EN1152" s="344"/>
      <c r="EO1152" s="344"/>
      <c r="EP1152" s="22"/>
      <c r="EQ1152" s="22"/>
      <c r="ER1152" s="22"/>
      <c r="ES1152" s="344"/>
      <c r="ET1152" s="349"/>
      <c r="EU1152" s="344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T1152" s="27"/>
      <c r="FU1152" s="27"/>
    </row>
    <row r="1153" spans="24:177" s="9" customFormat="1" x14ac:dyDescent="0.2">
      <c r="X1153" s="50"/>
      <c r="AD1153" s="22"/>
      <c r="AW1153" s="8"/>
      <c r="AX1153" s="108"/>
      <c r="AY1153" s="102"/>
      <c r="AZ1153" s="109"/>
      <c r="BA1153" s="11"/>
      <c r="BB1153" s="9" t="s">
        <v>560</v>
      </c>
      <c r="BC1153" s="22">
        <v>258</v>
      </c>
      <c r="BD1153" s="22"/>
      <c r="CA1153" s="18"/>
      <c r="CD1153" s="22"/>
      <c r="CE1153" s="22"/>
      <c r="DH1153" s="22"/>
      <c r="DI1153" s="22"/>
      <c r="DJ1153" s="22"/>
      <c r="DK1153" s="344"/>
      <c r="DL1153" s="361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22"/>
      <c r="EG1153" s="22"/>
      <c r="EH1153" s="22"/>
      <c r="EI1153" s="22"/>
      <c r="EJ1153" s="22"/>
      <c r="EK1153" s="22"/>
      <c r="EL1153" s="22"/>
      <c r="EM1153" s="22"/>
      <c r="EN1153" s="344"/>
      <c r="EO1153" s="344"/>
      <c r="EP1153" s="22"/>
      <c r="EQ1153" s="22"/>
      <c r="ER1153" s="22"/>
      <c r="ES1153" s="344"/>
      <c r="ET1153" s="349"/>
      <c r="EU1153" s="344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T1153" s="27"/>
      <c r="FU1153" s="27"/>
    </row>
    <row r="1154" spans="24:177" s="9" customFormat="1" x14ac:dyDescent="0.2">
      <c r="X1154" s="50"/>
      <c r="AD1154" s="22"/>
      <c r="AW1154" s="8"/>
      <c r="AX1154" s="108"/>
      <c r="AY1154" s="102"/>
      <c r="AZ1154" s="109"/>
      <c r="BA1154" s="11"/>
      <c r="BB1154" s="9" t="s">
        <v>560</v>
      </c>
      <c r="BC1154" s="22">
        <v>259</v>
      </c>
      <c r="BD1154" s="22"/>
      <c r="CA1154" s="18"/>
      <c r="CD1154" s="22"/>
      <c r="CE1154" s="22"/>
      <c r="DH1154" s="22"/>
      <c r="DI1154" s="22"/>
      <c r="DJ1154" s="22"/>
      <c r="DK1154" s="344"/>
      <c r="DL1154" s="361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22"/>
      <c r="EG1154" s="22"/>
      <c r="EH1154" s="22"/>
      <c r="EI1154" s="22"/>
      <c r="EJ1154" s="22"/>
      <c r="EK1154" s="22"/>
      <c r="EL1154" s="22"/>
      <c r="EM1154" s="22"/>
      <c r="EN1154" s="344"/>
      <c r="EO1154" s="344"/>
      <c r="EP1154" s="22"/>
      <c r="EQ1154" s="22"/>
      <c r="ER1154" s="22"/>
      <c r="ES1154" s="344"/>
      <c r="ET1154" s="349"/>
      <c r="EU1154" s="344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T1154" s="27"/>
      <c r="FU1154" s="27"/>
    </row>
    <row r="1155" spans="24:177" s="9" customFormat="1" x14ac:dyDescent="0.2">
      <c r="X1155" s="50"/>
      <c r="AD1155" s="22"/>
      <c r="AW1155" s="8"/>
      <c r="AX1155" s="108"/>
      <c r="AY1155" s="102"/>
      <c r="AZ1155" s="109"/>
      <c r="BA1155" s="11"/>
      <c r="BB1155" s="9" t="s">
        <v>560</v>
      </c>
      <c r="BC1155" s="22">
        <v>260</v>
      </c>
      <c r="BD1155" s="22"/>
      <c r="CA1155" s="18"/>
      <c r="CD1155" s="22"/>
      <c r="CE1155" s="22"/>
      <c r="DH1155" s="22"/>
      <c r="DI1155" s="22"/>
      <c r="DJ1155" s="22"/>
      <c r="DK1155" s="344"/>
      <c r="DL1155" s="361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22"/>
      <c r="EG1155" s="22"/>
      <c r="EH1155" s="22"/>
      <c r="EI1155" s="22"/>
      <c r="EJ1155" s="22"/>
      <c r="EK1155" s="22"/>
      <c r="EL1155" s="22"/>
      <c r="EM1155" s="22"/>
      <c r="EN1155" s="344"/>
      <c r="EO1155" s="344"/>
      <c r="EP1155" s="22"/>
      <c r="EQ1155" s="22"/>
      <c r="ER1155" s="22"/>
      <c r="ES1155" s="344"/>
      <c r="ET1155" s="349"/>
      <c r="EU1155" s="344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T1155" s="27"/>
      <c r="FU1155" s="27"/>
    </row>
    <row r="1156" spans="24:177" s="9" customFormat="1" x14ac:dyDescent="0.2">
      <c r="X1156" s="50"/>
      <c r="AD1156" s="22"/>
      <c r="AW1156" s="8"/>
      <c r="AX1156" s="108"/>
      <c r="AY1156" s="102"/>
      <c r="AZ1156" s="109"/>
      <c r="BA1156" s="11"/>
      <c r="BB1156" s="9" t="s">
        <v>560</v>
      </c>
      <c r="BC1156" s="22">
        <v>261</v>
      </c>
      <c r="BD1156" s="22"/>
      <c r="CA1156" s="18"/>
      <c r="CD1156" s="22"/>
      <c r="CE1156" s="22"/>
      <c r="DH1156" s="22"/>
      <c r="DI1156" s="22"/>
      <c r="DJ1156" s="22"/>
      <c r="DK1156" s="344"/>
      <c r="DL1156" s="361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22"/>
      <c r="EG1156" s="22"/>
      <c r="EH1156" s="22"/>
      <c r="EI1156" s="22"/>
      <c r="EJ1156" s="22"/>
      <c r="EK1156" s="22"/>
      <c r="EL1156" s="22"/>
      <c r="EM1156" s="22"/>
      <c r="EN1156" s="344"/>
      <c r="EO1156" s="344"/>
      <c r="EP1156" s="22"/>
      <c r="EQ1156" s="22"/>
      <c r="ER1156" s="22"/>
      <c r="ES1156" s="344"/>
      <c r="ET1156" s="349"/>
      <c r="EU1156" s="344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T1156" s="27"/>
      <c r="FU1156" s="27"/>
    </row>
    <row r="1157" spans="24:177" s="9" customFormat="1" x14ac:dyDescent="0.2">
      <c r="X1157" s="50"/>
      <c r="AD1157" s="22"/>
      <c r="AW1157" s="8"/>
      <c r="AX1157" s="108"/>
      <c r="AY1157" s="102"/>
      <c r="AZ1157" s="109"/>
      <c r="BA1157" s="11"/>
      <c r="BB1157" s="9" t="s">
        <v>560</v>
      </c>
      <c r="BC1157" s="22">
        <v>262</v>
      </c>
      <c r="BD1157" s="22"/>
      <c r="CA1157" s="18"/>
      <c r="CD1157" s="22"/>
      <c r="CE1157" s="22"/>
      <c r="DH1157" s="22"/>
      <c r="DI1157" s="22"/>
      <c r="DJ1157" s="22"/>
      <c r="DK1157" s="344"/>
      <c r="DL1157" s="361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22"/>
      <c r="EG1157" s="22"/>
      <c r="EH1157" s="22"/>
      <c r="EI1157" s="22"/>
      <c r="EJ1157" s="22"/>
      <c r="EK1157" s="22"/>
      <c r="EL1157" s="22"/>
      <c r="EM1157" s="22"/>
      <c r="EN1157" s="344"/>
      <c r="EO1157" s="344"/>
      <c r="EP1157" s="22"/>
      <c r="EQ1157" s="22"/>
      <c r="ER1157" s="22"/>
      <c r="ES1157" s="344"/>
      <c r="ET1157" s="349"/>
      <c r="EU1157" s="344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T1157" s="27"/>
      <c r="FU1157" s="27"/>
    </row>
    <row r="1158" spans="24:177" s="9" customFormat="1" x14ac:dyDescent="0.2">
      <c r="X1158" s="50"/>
      <c r="AD1158" s="22"/>
      <c r="AW1158" s="8"/>
      <c r="AX1158" s="108"/>
      <c r="AY1158" s="102"/>
      <c r="AZ1158" s="109"/>
      <c r="BA1158" s="11"/>
      <c r="BB1158" s="9" t="s">
        <v>560</v>
      </c>
      <c r="BC1158" s="22">
        <v>263</v>
      </c>
      <c r="BD1158" s="22"/>
      <c r="CA1158" s="18"/>
      <c r="CD1158" s="22"/>
      <c r="CE1158" s="22"/>
      <c r="DH1158" s="22"/>
      <c r="DI1158" s="22"/>
      <c r="DJ1158" s="22"/>
      <c r="DK1158" s="344"/>
      <c r="DL1158" s="361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22"/>
      <c r="EG1158" s="22"/>
      <c r="EH1158" s="22"/>
      <c r="EI1158" s="22"/>
      <c r="EJ1158" s="22"/>
      <c r="EK1158" s="22"/>
      <c r="EL1158" s="22"/>
      <c r="EM1158" s="22"/>
      <c r="EN1158" s="344"/>
      <c r="EO1158" s="344"/>
      <c r="EP1158" s="22"/>
      <c r="EQ1158" s="22"/>
      <c r="ER1158" s="22"/>
      <c r="ES1158" s="344"/>
      <c r="ET1158" s="349"/>
      <c r="EU1158" s="344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T1158" s="27"/>
      <c r="FU1158" s="27"/>
    </row>
    <row r="1159" spans="24:177" s="9" customFormat="1" x14ac:dyDescent="0.2">
      <c r="X1159" s="50"/>
      <c r="AD1159" s="22"/>
      <c r="AW1159" s="8"/>
      <c r="AX1159" s="108"/>
      <c r="AY1159" s="102"/>
      <c r="AZ1159" s="109"/>
      <c r="BA1159" s="11"/>
      <c r="BB1159" s="9" t="s">
        <v>560</v>
      </c>
      <c r="BC1159" s="22">
        <v>264</v>
      </c>
      <c r="BD1159" s="22"/>
      <c r="CA1159" s="18"/>
      <c r="CD1159" s="22"/>
      <c r="CE1159" s="22"/>
      <c r="DH1159" s="22"/>
      <c r="DI1159" s="22"/>
      <c r="DJ1159" s="22"/>
      <c r="DK1159" s="344"/>
      <c r="DL1159" s="361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22"/>
      <c r="EG1159" s="22"/>
      <c r="EH1159" s="22"/>
      <c r="EI1159" s="22"/>
      <c r="EJ1159" s="22"/>
      <c r="EK1159" s="22"/>
      <c r="EL1159" s="22"/>
      <c r="EM1159" s="22"/>
      <c r="EN1159" s="344"/>
      <c r="EO1159" s="344"/>
      <c r="EP1159" s="22"/>
      <c r="EQ1159" s="22"/>
      <c r="ER1159" s="22"/>
      <c r="ES1159" s="344"/>
      <c r="ET1159" s="349"/>
      <c r="EU1159" s="344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T1159" s="27"/>
      <c r="FU1159" s="27"/>
    </row>
    <row r="1160" spans="24:177" s="9" customFormat="1" x14ac:dyDescent="0.2">
      <c r="X1160" s="50"/>
      <c r="AD1160" s="22"/>
      <c r="AW1160" s="8"/>
      <c r="AX1160" s="108"/>
      <c r="AY1160" s="102"/>
      <c r="AZ1160" s="109"/>
      <c r="BA1160" s="11"/>
      <c r="BB1160" s="9" t="s">
        <v>560</v>
      </c>
      <c r="BC1160" s="22">
        <v>265</v>
      </c>
      <c r="BD1160" s="22"/>
      <c r="CA1160" s="18"/>
      <c r="CD1160" s="22"/>
      <c r="CE1160" s="22"/>
      <c r="DH1160" s="22"/>
      <c r="DI1160" s="22"/>
      <c r="DJ1160" s="22"/>
      <c r="DK1160" s="344"/>
      <c r="DL1160" s="361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22"/>
      <c r="EG1160" s="22"/>
      <c r="EH1160" s="22"/>
      <c r="EI1160" s="22"/>
      <c r="EJ1160" s="22"/>
      <c r="EK1160" s="22"/>
      <c r="EL1160" s="22"/>
      <c r="EM1160" s="22"/>
      <c r="EN1160" s="344"/>
      <c r="EO1160" s="344"/>
      <c r="EP1160" s="22"/>
      <c r="EQ1160" s="22"/>
      <c r="ER1160" s="22"/>
      <c r="ES1160" s="344"/>
      <c r="ET1160" s="349"/>
      <c r="EU1160" s="344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T1160" s="27"/>
      <c r="FU1160" s="27"/>
    </row>
    <row r="1161" spans="24:177" s="9" customFormat="1" x14ac:dyDescent="0.2">
      <c r="X1161" s="50"/>
      <c r="AD1161" s="22"/>
      <c r="AW1161" s="8"/>
      <c r="AX1161" s="108"/>
      <c r="AY1161" s="102"/>
      <c r="AZ1161" s="109"/>
      <c r="BA1161" s="11"/>
      <c r="BB1161" s="9" t="s">
        <v>560</v>
      </c>
      <c r="BC1161" s="22">
        <v>266</v>
      </c>
      <c r="BD1161" s="22"/>
      <c r="CA1161" s="18"/>
      <c r="CD1161" s="22"/>
      <c r="CE1161" s="22"/>
      <c r="DH1161" s="22"/>
      <c r="DI1161" s="22"/>
      <c r="DJ1161" s="22"/>
      <c r="DK1161" s="344"/>
      <c r="DL1161" s="361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22"/>
      <c r="EG1161" s="22"/>
      <c r="EH1161" s="22"/>
      <c r="EI1161" s="22"/>
      <c r="EJ1161" s="22"/>
      <c r="EK1161" s="22"/>
      <c r="EL1161" s="22"/>
      <c r="EM1161" s="22"/>
      <c r="EN1161" s="344"/>
      <c r="EO1161" s="344"/>
      <c r="EP1161" s="22"/>
      <c r="EQ1161" s="22"/>
      <c r="ER1161" s="22"/>
      <c r="ES1161" s="344"/>
      <c r="ET1161" s="349"/>
      <c r="EU1161" s="344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T1161" s="27"/>
      <c r="FU1161" s="27"/>
    </row>
    <row r="1162" spans="24:177" s="9" customFormat="1" x14ac:dyDescent="0.2">
      <c r="X1162" s="50"/>
      <c r="AD1162" s="22"/>
      <c r="AW1162" s="8"/>
      <c r="AX1162" s="108"/>
      <c r="AY1162" s="102"/>
      <c r="AZ1162" s="109"/>
      <c r="BA1162" s="11"/>
      <c r="BB1162" s="9" t="s">
        <v>560</v>
      </c>
      <c r="BC1162" s="22">
        <v>267</v>
      </c>
      <c r="BD1162" s="22"/>
      <c r="CA1162" s="18"/>
      <c r="CD1162" s="22"/>
      <c r="CE1162" s="22"/>
      <c r="DH1162" s="22"/>
      <c r="DI1162" s="22"/>
      <c r="DJ1162" s="22"/>
      <c r="DK1162" s="344"/>
      <c r="DL1162" s="361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22"/>
      <c r="EG1162" s="22"/>
      <c r="EH1162" s="22"/>
      <c r="EI1162" s="22"/>
      <c r="EJ1162" s="22"/>
      <c r="EK1162" s="22"/>
      <c r="EL1162" s="22"/>
      <c r="EM1162" s="22"/>
      <c r="EN1162" s="344"/>
      <c r="EO1162" s="344"/>
      <c r="EP1162" s="22"/>
      <c r="EQ1162" s="22"/>
      <c r="ER1162" s="22"/>
      <c r="ES1162" s="344"/>
      <c r="ET1162" s="349"/>
      <c r="EU1162" s="344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T1162" s="27"/>
      <c r="FU1162" s="27"/>
    </row>
    <row r="1163" spans="24:177" s="9" customFormat="1" x14ac:dyDescent="0.2">
      <c r="X1163" s="50"/>
      <c r="AD1163" s="22"/>
      <c r="AW1163" s="8"/>
      <c r="AX1163" s="108"/>
      <c r="AY1163" s="102"/>
      <c r="AZ1163" s="109"/>
      <c r="BA1163" s="11"/>
      <c r="BB1163" s="9" t="s">
        <v>560</v>
      </c>
      <c r="BC1163" s="22">
        <v>268</v>
      </c>
      <c r="BD1163" s="22"/>
      <c r="CA1163" s="18"/>
      <c r="CD1163" s="22"/>
      <c r="CE1163" s="22"/>
      <c r="DH1163" s="22"/>
      <c r="DI1163" s="22"/>
      <c r="DJ1163" s="22"/>
      <c r="DK1163" s="344"/>
      <c r="DL1163" s="361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22"/>
      <c r="EG1163" s="22"/>
      <c r="EH1163" s="22"/>
      <c r="EI1163" s="22"/>
      <c r="EJ1163" s="22"/>
      <c r="EK1163" s="22"/>
      <c r="EL1163" s="22"/>
      <c r="EM1163" s="22"/>
      <c r="EN1163" s="344"/>
      <c r="EO1163" s="344"/>
      <c r="EP1163" s="22"/>
      <c r="EQ1163" s="22"/>
      <c r="ER1163" s="22"/>
      <c r="ES1163" s="344"/>
      <c r="ET1163" s="349"/>
      <c r="EU1163" s="344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T1163" s="27"/>
      <c r="FU1163" s="27"/>
    </row>
    <row r="1164" spans="24:177" s="9" customFormat="1" x14ac:dyDescent="0.2">
      <c r="X1164" s="50"/>
      <c r="AD1164" s="22"/>
      <c r="AW1164" s="8"/>
      <c r="AX1164" s="108"/>
      <c r="AY1164" s="102"/>
      <c r="AZ1164" s="109"/>
      <c r="BA1164" s="11"/>
      <c r="BB1164" s="9" t="s">
        <v>560</v>
      </c>
      <c r="BC1164" s="22">
        <v>269</v>
      </c>
      <c r="BD1164" s="22"/>
      <c r="CA1164" s="18"/>
      <c r="CD1164" s="22"/>
      <c r="CE1164" s="22"/>
      <c r="DH1164" s="22"/>
      <c r="DI1164" s="22"/>
      <c r="DJ1164" s="22"/>
      <c r="DK1164" s="344"/>
      <c r="DL1164" s="361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22"/>
      <c r="EG1164" s="22"/>
      <c r="EH1164" s="22"/>
      <c r="EI1164" s="22"/>
      <c r="EJ1164" s="22"/>
      <c r="EK1164" s="22"/>
      <c r="EL1164" s="22"/>
      <c r="EM1164" s="22"/>
      <c r="EN1164" s="344"/>
      <c r="EO1164" s="344"/>
      <c r="EP1164" s="22"/>
      <c r="EQ1164" s="22"/>
      <c r="ER1164" s="22"/>
      <c r="ES1164" s="344"/>
      <c r="ET1164" s="349"/>
      <c r="EU1164" s="344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T1164" s="27"/>
      <c r="FU1164" s="27"/>
    </row>
    <row r="1165" spans="24:177" s="9" customFormat="1" x14ac:dyDescent="0.2">
      <c r="X1165" s="50"/>
      <c r="AD1165" s="22"/>
      <c r="AW1165" s="8"/>
      <c r="AX1165" s="108"/>
      <c r="AY1165" s="102"/>
      <c r="AZ1165" s="109"/>
      <c r="BA1165" s="11"/>
      <c r="BB1165" s="9" t="s">
        <v>560</v>
      </c>
      <c r="BC1165" s="22">
        <v>270</v>
      </c>
      <c r="BD1165" s="22"/>
      <c r="CA1165" s="18"/>
      <c r="CD1165" s="22"/>
      <c r="CE1165" s="22"/>
      <c r="DH1165" s="22"/>
      <c r="DI1165" s="22"/>
      <c r="DJ1165" s="22"/>
      <c r="DK1165" s="344"/>
      <c r="DL1165" s="361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22"/>
      <c r="EG1165" s="22"/>
      <c r="EH1165" s="22"/>
      <c r="EI1165" s="22"/>
      <c r="EJ1165" s="22"/>
      <c r="EK1165" s="22"/>
      <c r="EL1165" s="22"/>
      <c r="EM1165" s="22"/>
      <c r="EN1165" s="344"/>
      <c r="EO1165" s="344"/>
      <c r="EP1165" s="22"/>
      <c r="EQ1165" s="22"/>
      <c r="ER1165" s="22"/>
      <c r="ES1165" s="344"/>
      <c r="ET1165" s="349"/>
      <c r="EU1165" s="344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T1165" s="27"/>
      <c r="FU1165" s="27"/>
    </row>
    <row r="1166" spans="24:177" s="9" customFormat="1" x14ac:dyDescent="0.2">
      <c r="X1166" s="50"/>
      <c r="AD1166" s="22"/>
      <c r="AW1166" s="8"/>
      <c r="AX1166" s="108"/>
      <c r="AY1166" s="102"/>
      <c r="AZ1166" s="109"/>
      <c r="BA1166" s="11"/>
      <c r="BB1166" s="9" t="s">
        <v>560</v>
      </c>
      <c r="BC1166" s="22">
        <v>271</v>
      </c>
      <c r="BD1166" s="22"/>
      <c r="CA1166" s="18"/>
      <c r="CD1166" s="22"/>
      <c r="CE1166" s="22"/>
      <c r="DH1166" s="22"/>
      <c r="DI1166" s="22"/>
      <c r="DJ1166" s="22"/>
      <c r="DK1166" s="344"/>
      <c r="DL1166" s="361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22"/>
      <c r="EG1166" s="22"/>
      <c r="EH1166" s="22"/>
      <c r="EI1166" s="22"/>
      <c r="EJ1166" s="22"/>
      <c r="EK1166" s="22"/>
      <c r="EL1166" s="22"/>
      <c r="EM1166" s="22"/>
      <c r="EN1166" s="344"/>
      <c r="EO1166" s="344"/>
      <c r="EP1166" s="22"/>
      <c r="EQ1166" s="22"/>
      <c r="ER1166" s="22"/>
      <c r="ES1166" s="344"/>
      <c r="ET1166" s="349"/>
      <c r="EU1166" s="344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T1166" s="27"/>
      <c r="FU1166" s="27"/>
    </row>
    <row r="1167" spans="24:177" s="9" customFormat="1" x14ac:dyDescent="0.2">
      <c r="X1167" s="50"/>
      <c r="AD1167" s="22"/>
      <c r="AW1167" s="8"/>
      <c r="AX1167" s="108"/>
      <c r="AY1167" s="102"/>
      <c r="AZ1167" s="109"/>
      <c r="BA1167" s="11"/>
      <c r="BB1167" s="9" t="s">
        <v>560</v>
      </c>
      <c r="BC1167" s="22">
        <v>272</v>
      </c>
      <c r="BD1167" s="22"/>
      <c r="CA1167" s="18"/>
      <c r="CD1167" s="22"/>
      <c r="CE1167" s="22"/>
      <c r="DH1167" s="22"/>
      <c r="DI1167" s="22"/>
      <c r="DJ1167" s="22"/>
      <c r="DK1167" s="344"/>
      <c r="DL1167" s="361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22"/>
      <c r="EG1167" s="22"/>
      <c r="EH1167" s="22"/>
      <c r="EI1167" s="22"/>
      <c r="EJ1167" s="22"/>
      <c r="EK1167" s="22"/>
      <c r="EL1167" s="22"/>
      <c r="EM1167" s="22"/>
      <c r="EN1167" s="344"/>
      <c r="EO1167" s="344"/>
      <c r="EP1167" s="22"/>
      <c r="EQ1167" s="22"/>
      <c r="ER1167" s="22"/>
      <c r="ES1167" s="344"/>
      <c r="ET1167" s="349"/>
      <c r="EU1167" s="344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T1167" s="27"/>
      <c r="FU1167" s="27"/>
    </row>
    <row r="1168" spans="24:177" s="9" customFormat="1" x14ac:dyDescent="0.2">
      <c r="X1168" s="50"/>
      <c r="AD1168" s="22"/>
      <c r="AW1168" s="8"/>
      <c r="AX1168" s="108"/>
      <c r="AY1168" s="102"/>
      <c r="AZ1168" s="109"/>
      <c r="BA1168" s="11"/>
      <c r="BB1168" s="9" t="s">
        <v>560</v>
      </c>
      <c r="BC1168" s="22">
        <v>273</v>
      </c>
      <c r="BD1168" s="22"/>
      <c r="CA1168" s="18"/>
      <c r="CD1168" s="22"/>
      <c r="CE1168" s="22"/>
      <c r="DH1168" s="22"/>
      <c r="DI1168" s="22"/>
      <c r="DJ1168" s="22"/>
      <c r="DK1168" s="344"/>
      <c r="DL1168" s="361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22"/>
      <c r="EG1168" s="22"/>
      <c r="EH1168" s="22"/>
      <c r="EI1168" s="22"/>
      <c r="EJ1168" s="22"/>
      <c r="EK1168" s="22"/>
      <c r="EL1168" s="22"/>
      <c r="EM1168" s="22"/>
      <c r="EN1168" s="344"/>
      <c r="EO1168" s="344"/>
      <c r="EP1168" s="22"/>
      <c r="EQ1168" s="22"/>
      <c r="ER1168" s="22"/>
      <c r="ES1168" s="344"/>
      <c r="ET1168" s="349"/>
      <c r="EU1168" s="344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T1168" s="27"/>
      <c r="FU1168" s="27"/>
    </row>
    <row r="1169" spans="24:177" s="9" customFormat="1" x14ac:dyDescent="0.2">
      <c r="X1169" s="50"/>
      <c r="AD1169" s="22"/>
      <c r="AW1169" s="8"/>
      <c r="AX1169" s="108"/>
      <c r="AY1169" s="102"/>
      <c r="AZ1169" s="109"/>
      <c r="BA1169" s="11"/>
      <c r="BB1169" s="9" t="s">
        <v>560</v>
      </c>
      <c r="BC1169" s="22">
        <v>274</v>
      </c>
      <c r="BD1169" s="22"/>
      <c r="CA1169" s="18"/>
      <c r="CD1169" s="22"/>
      <c r="CE1169" s="22"/>
      <c r="DH1169" s="22"/>
      <c r="DI1169" s="22"/>
      <c r="DJ1169" s="22"/>
      <c r="DK1169" s="344"/>
      <c r="DL1169" s="361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22"/>
      <c r="EG1169" s="22"/>
      <c r="EH1169" s="22"/>
      <c r="EI1169" s="22"/>
      <c r="EJ1169" s="22"/>
      <c r="EK1169" s="22"/>
      <c r="EL1169" s="22"/>
      <c r="EM1169" s="22"/>
      <c r="EN1169" s="344"/>
      <c r="EO1169" s="344"/>
      <c r="EP1169" s="22"/>
      <c r="EQ1169" s="22"/>
      <c r="ER1169" s="22"/>
      <c r="ES1169" s="344"/>
      <c r="ET1169" s="349"/>
      <c r="EU1169" s="344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T1169" s="27"/>
      <c r="FU1169" s="27"/>
    </row>
    <row r="1170" spans="24:177" s="9" customFormat="1" x14ac:dyDescent="0.2">
      <c r="X1170" s="50"/>
      <c r="AD1170" s="22"/>
      <c r="AW1170" s="8"/>
      <c r="AX1170" s="108"/>
      <c r="AY1170" s="102"/>
      <c r="AZ1170" s="109"/>
      <c r="BA1170" s="11"/>
      <c r="BB1170" s="9" t="s">
        <v>560</v>
      </c>
      <c r="BC1170" s="22">
        <v>275</v>
      </c>
      <c r="BD1170" s="22"/>
      <c r="CA1170" s="18"/>
      <c r="CD1170" s="22"/>
      <c r="CE1170" s="22"/>
      <c r="DH1170" s="22"/>
      <c r="DI1170" s="22"/>
      <c r="DJ1170" s="22"/>
      <c r="DK1170" s="344"/>
      <c r="DL1170" s="361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22"/>
      <c r="EG1170" s="22"/>
      <c r="EH1170" s="22"/>
      <c r="EI1170" s="22"/>
      <c r="EJ1170" s="22"/>
      <c r="EK1170" s="22"/>
      <c r="EL1170" s="22"/>
      <c r="EM1170" s="22"/>
      <c r="EN1170" s="344"/>
      <c r="EO1170" s="344"/>
      <c r="EP1170" s="22"/>
      <c r="EQ1170" s="22"/>
      <c r="ER1170" s="22"/>
      <c r="ES1170" s="344"/>
      <c r="ET1170" s="349"/>
      <c r="EU1170" s="344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T1170" s="27"/>
      <c r="FU1170" s="27"/>
    </row>
    <row r="1171" spans="24:177" s="9" customFormat="1" x14ac:dyDescent="0.2">
      <c r="X1171" s="50"/>
      <c r="AD1171" s="22"/>
      <c r="AW1171" s="8"/>
      <c r="AX1171" s="108"/>
      <c r="AY1171" s="102"/>
      <c r="AZ1171" s="109"/>
      <c r="BA1171" s="11"/>
      <c r="BB1171" s="9" t="s">
        <v>560</v>
      </c>
      <c r="BC1171" s="22">
        <v>276</v>
      </c>
      <c r="BD1171" s="22"/>
      <c r="CA1171" s="18"/>
      <c r="CD1171" s="22"/>
      <c r="CE1171" s="22"/>
      <c r="DH1171" s="22"/>
      <c r="DI1171" s="22"/>
      <c r="DJ1171" s="22"/>
      <c r="DK1171" s="344"/>
      <c r="DL1171" s="361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22"/>
      <c r="EG1171" s="22"/>
      <c r="EH1171" s="22"/>
      <c r="EI1171" s="22"/>
      <c r="EJ1171" s="22"/>
      <c r="EK1171" s="22"/>
      <c r="EL1171" s="22"/>
      <c r="EM1171" s="22"/>
      <c r="EN1171" s="344"/>
      <c r="EO1171" s="344"/>
      <c r="EP1171" s="22"/>
      <c r="EQ1171" s="22"/>
      <c r="ER1171" s="22"/>
      <c r="ES1171" s="344"/>
      <c r="ET1171" s="349"/>
      <c r="EU1171" s="344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T1171" s="27"/>
      <c r="FU1171" s="27"/>
    </row>
    <row r="1172" spans="24:177" s="9" customFormat="1" x14ac:dyDescent="0.2">
      <c r="X1172" s="50"/>
      <c r="AD1172" s="22"/>
      <c r="AW1172" s="8"/>
      <c r="AX1172" s="108"/>
      <c r="AY1172" s="102"/>
      <c r="AZ1172" s="109"/>
      <c r="BA1172" s="11"/>
      <c r="BB1172" s="9" t="s">
        <v>560</v>
      </c>
      <c r="BC1172" s="22">
        <v>277</v>
      </c>
      <c r="BD1172" s="22"/>
      <c r="CA1172" s="18"/>
      <c r="CD1172" s="22"/>
      <c r="CE1172" s="22"/>
      <c r="DH1172" s="22"/>
      <c r="DI1172" s="22"/>
      <c r="DJ1172" s="22"/>
      <c r="DK1172" s="344"/>
      <c r="DL1172" s="361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22"/>
      <c r="EG1172" s="22"/>
      <c r="EH1172" s="22"/>
      <c r="EI1172" s="22"/>
      <c r="EJ1172" s="22"/>
      <c r="EK1172" s="22"/>
      <c r="EL1172" s="22"/>
      <c r="EM1172" s="22"/>
      <c r="EN1172" s="344"/>
      <c r="EO1172" s="344"/>
      <c r="EP1172" s="22"/>
      <c r="EQ1172" s="22"/>
      <c r="ER1172" s="22"/>
      <c r="ES1172" s="344"/>
      <c r="ET1172" s="349"/>
      <c r="EU1172" s="344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T1172" s="27"/>
      <c r="FU1172" s="27"/>
    </row>
    <row r="1173" spans="24:177" s="9" customFormat="1" x14ac:dyDescent="0.2">
      <c r="X1173" s="50"/>
      <c r="AD1173" s="22"/>
      <c r="AW1173" s="8"/>
      <c r="AX1173" s="108"/>
      <c r="AY1173" s="102"/>
      <c r="AZ1173" s="109"/>
      <c r="BA1173" s="11"/>
      <c r="BB1173" s="9" t="s">
        <v>560</v>
      </c>
      <c r="BC1173" s="22">
        <v>278</v>
      </c>
      <c r="BD1173" s="22"/>
      <c r="CA1173" s="18"/>
      <c r="CD1173" s="22"/>
      <c r="CE1173" s="22"/>
      <c r="DH1173" s="22"/>
      <c r="DI1173" s="22"/>
      <c r="DJ1173" s="22"/>
      <c r="DK1173" s="344"/>
      <c r="DL1173" s="361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22"/>
      <c r="EG1173" s="22"/>
      <c r="EH1173" s="22"/>
      <c r="EI1173" s="22"/>
      <c r="EJ1173" s="22"/>
      <c r="EK1173" s="22"/>
      <c r="EL1173" s="22"/>
      <c r="EM1173" s="22"/>
      <c r="EN1173" s="344"/>
      <c r="EO1173" s="344"/>
      <c r="EP1173" s="22"/>
      <c r="EQ1173" s="22"/>
      <c r="ER1173" s="22"/>
      <c r="ES1173" s="344"/>
      <c r="ET1173" s="349"/>
      <c r="EU1173" s="344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T1173" s="27"/>
      <c r="FU1173" s="27"/>
    </row>
    <row r="1174" spans="24:177" s="9" customFormat="1" x14ac:dyDescent="0.2">
      <c r="X1174" s="50"/>
      <c r="AD1174" s="22"/>
      <c r="AW1174" s="8"/>
      <c r="AX1174" s="108"/>
      <c r="AY1174" s="102"/>
      <c r="AZ1174" s="109"/>
      <c r="BA1174" s="11"/>
      <c r="BB1174" s="9" t="s">
        <v>560</v>
      </c>
      <c r="BC1174" s="22">
        <v>279</v>
      </c>
      <c r="BD1174" s="22"/>
      <c r="CA1174" s="18"/>
      <c r="CD1174" s="22"/>
      <c r="CE1174" s="22"/>
      <c r="DH1174" s="22"/>
      <c r="DI1174" s="22"/>
      <c r="DJ1174" s="22"/>
      <c r="DK1174" s="344"/>
      <c r="DL1174" s="361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22"/>
      <c r="EG1174" s="22"/>
      <c r="EH1174" s="22"/>
      <c r="EI1174" s="22"/>
      <c r="EJ1174" s="22"/>
      <c r="EK1174" s="22"/>
      <c r="EL1174" s="22"/>
      <c r="EM1174" s="22"/>
      <c r="EN1174" s="344"/>
      <c r="EO1174" s="344"/>
      <c r="EP1174" s="22"/>
      <c r="EQ1174" s="22"/>
      <c r="ER1174" s="22"/>
      <c r="ES1174" s="344"/>
      <c r="ET1174" s="349"/>
      <c r="EU1174" s="344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T1174" s="27"/>
      <c r="FU1174" s="27"/>
    </row>
    <row r="1175" spans="24:177" s="9" customFormat="1" x14ac:dyDescent="0.2">
      <c r="X1175" s="50"/>
      <c r="AD1175" s="22"/>
      <c r="AW1175" s="8"/>
      <c r="AX1175" s="108"/>
      <c r="AY1175" s="102"/>
      <c r="AZ1175" s="109"/>
      <c r="BA1175" s="11"/>
      <c r="BB1175" s="9" t="s">
        <v>560</v>
      </c>
      <c r="BC1175" s="22">
        <v>280</v>
      </c>
      <c r="BD1175" s="22"/>
      <c r="CA1175" s="18"/>
      <c r="CD1175" s="22"/>
      <c r="CE1175" s="22"/>
      <c r="DH1175" s="22"/>
      <c r="DI1175" s="22"/>
      <c r="DJ1175" s="22"/>
      <c r="DK1175" s="344"/>
      <c r="DL1175" s="361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22"/>
      <c r="EG1175" s="22"/>
      <c r="EH1175" s="22"/>
      <c r="EI1175" s="22"/>
      <c r="EJ1175" s="22"/>
      <c r="EK1175" s="22"/>
      <c r="EL1175" s="22"/>
      <c r="EM1175" s="22"/>
      <c r="EN1175" s="344"/>
      <c r="EO1175" s="344"/>
      <c r="EP1175" s="22"/>
      <c r="EQ1175" s="22"/>
      <c r="ER1175" s="22"/>
      <c r="ES1175" s="344"/>
      <c r="ET1175" s="349"/>
      <c r="EU1175" s="344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T1175" s="27"/>
      <c r="FU1175" s="27"/>
    </row>
    <row r="1176" spans="24:177" s="9" customFormat="1" x14ac:dyDescent="0.2">
      <c r="X1176" s="50"/>
      <c r="AD1176" s="22"/>
      <c r="AW1176" s="8"/>
      <c r="AX1176" s="108"/>
      <c r="AY1176" s="102"/>
      <c r="AZ1176" s="109"/>
      <c r="BA1176" s="11"/>
      <c r="BB1176" s="9" t="s">
        <v>560</v>
      </c>
      <c r="BC1176" s="22">
        <v>281</v>
      </c>
      <c r="BD1176" s="22"/>
      <c r="CA1176" s="18"/>
      <c r="CD1176" s="22"/>
      <c r="CE1176" s="22"/>
      <c r="DH1176" s="22"/>
      <c r="DI1176" s="22"/>
      <c r="DJ1176" s="22"/>
      <c r="DK1176" s="344"/>
      <c r="DL1176" s="361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22"/>
      <c r="EG1176" s="22"/>
      <c r="EH1176" s="22"/>
      <c r="EI1176" s="22"/>
      <c r="EJ1176" s="22"/>
      <c r="EK1176" s="22"/>
      <c r="EL1176" s="22"/>
      <c r="EM1176" s="22"/>
      <c r="EN1176" s="344"/>
      <c r="EO1176" s="344"/>
      <c r="EP1176" s="22"/>
      <c r="EQ1176" s="22"/>
      <c r="ER1176" s="22"/>
      <c r="ES1176" s="344"/>
      <c r="ET1176" s="349"/>
      <c r="EU1176" s="344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T1176" s="27"/>
      <c r="FU1176" s="27"/>
    </row>
    <row r="1177" spans="24:177" s="9" customFormat="1" x14ac:dyDescent="0.2">
      <c r="X1177" s="50"/>
      <c r="AD1177" s="22"/>
      <c r="AW1177" s="8"/>
      <c r="AX1177" s="108"/>
      <c r="AY1177" s="102"/>
      <c r="AZ1177" s="109"/>
      <c r="BA1177" s="11"/>
      <c r="BB1177" s="9" t="s">
        <v>560</v>
      </c>
      <c r="BC1177" s="22">
        <v>282</v>
      </c>
      <c r="BD1177" s="22"/>
      <c r="CA1177" s="18"/>
      <c r="CD1177" s="22"/>
      <c r="CE1177" s="22"/>
      <c r="DH1177" s="22"/>
      <c r="DI1177" s="22"/>
      <c r="DJ1177" s="22"/>
      <c r="DK1177" s="344"/>
      <c r="DL1177" s="361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22"/>
      <c r="EG1177" s="22"/>
      <c r="EH1177" s="22"/>
      <c r="EI1177" s="22"/>
      <c r="EJ1177" s="22"/>
      <c r="EK1177" s="22"/>
      <c r="EL1177" s="22"/>
      <c r="EM1177" s="22"/>
      <c r="EN1177" s="344"/>
      <c r="EO1177" s="344"/>
      <c r="EP1177" s="22"/>
      <c r="EQ1177" s="22"/>
      <c r="ER1177" s="22"/>
      <c r="ES1177" s="344"/>
      <c r="ET1177" s="349"/>
      <c r="EU1177" s="344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T1177" s="27"/>
      <c r="FU1177" s="27"/>
    </row>
    <row r="1178" spans="24:177" s="9" customFormat="1" x14ac:dyDescent="0.2">
      <c r="X1178" s="50"/>
      <c r="AD1178" s="22"/>
      <c r="AW1178" s="8"/>
      <c r="AX1178" s="108"/>
      <c r="AY1178" s="102"/>
      <c r="AZ1178" s="109"/>
      <c r="BA1178" s="11"/>
      <c r="BB1178" s="9" t="s">
        <v>560</v>
      </c>
      <c r="BC1178" s="22">
        <v>283</v>
      </c>
      <c r="BD1178" s="22"/>
      <c r="CA1178" s="18"/>
      <c r="CD1178" s="22"/>
      <c r="CE1178" s="22"/>
      <c r="DH1178" s="22"/>
      <c r="DI1178" s="22"/>
      <c r="DJ1178" s="22"/>
      <c r="DK1178" s="344"/>
      <c r="DL1178" s="361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22"/>
      <c r="EG1178" s="22"/>
      <c r="EH1178" s="22"/>
      <c r="EI1178" s="22"/>
      <c r="EJ1178" s="22"/>
      <c r="EK1178" s="22"/>
      <c r="EL1178" s="22"/>
      <c r="EM1178" s="22"/>
      <c r="EN1178" s="344"/>
      <c r="EO1178" s="344"/>
      <c r="EP1178" s="22"/>
      <c r="EQ1178" s="22"/>
      <c r="ER1178" s="22"/>
      <c r="ES1178" s="344"/>
      <c r="ET1178" s="349"/>
      <c r="EU1178" s="344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T1178" s="27"/>
      <c r="FU1178" s="27"/>
    </row>
    <row r="1179" spans="24:177" s="9" customFormat="1" x14ac:dyDescent="0.2">
      <c r="X1179" s="50"/>
      <c r="AD1179" s="22"/>
      <c r="AW1179" s="8"/>
      <c r="AX1179" s="108"/>
      <c r="AY1179" s="102"/>
      <c r="AZ1179" s="109"/>
      <c r="BA1179" s="11"/>
      <c r="BB1179" s="9" t="s">
        <v>560</v>
      </c>
      <c r="BC1179" s="22">
        <v>284</v>
      </c>
      <c r="BD1179" s="22"/>
      <c r="CA1179" s="18"/>
      <c r="CD1179" s="22"/>
      <c r="CE1179" s="22"/>
      <c r="DH1179" s="22"/>
      <c r="DI1179" s="22"/>
      <c r="DJ1179" s="22"/>
      <c r="DK1179" s="344"/>
      <c r="DL1179" s="361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22"/>
      <c r="EG1179" s="22"/>
      <c r="EH1179" s="22"/>
      <c r="EI1179" s="22"/>
      <c r="EJ1179" s="22"/>
      <c r="EK1179" s="22"/>
      <c r="EL1179" s="22"/>
      <c r="EM1179" s="22"/>
      <c r="EN1179" s="344"/>
      <c r="EO1179" s="344"/>
      <c r="EP1179" s="22"/>
      <c r="EQ1179" s="22"/>
      <c r="ER1179" s="22"/>
      <c r="ES1179" s="344"/>
      <c r="ET1179" s="349"/>
      <c r="EU1179" s="344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T1179" s="27"/>
      <c r="FU1179" s="27"/>
    </row>
    <row r="1180" spans="24:177" s="9" customFormat="1" x14ac:dyDescent="0.2">
      <c r="X1180" s="50"/>
      <c r="AD1180" s="22"/>
      <c r="AW1180" s="8"/>
      <c r="AX1180" s="108"/>
      <c r="AY1180" s="102"/>
      <c r="AZ1180" s="109"/>
      <c r="BA1180" s="11"/>
      <c r="BB1180" s="9" t="s">
        <v>560</v>
      </c>
      <c r="BC1180" s="22">
        <v>285</v>
      </c>
      <c r="BD1180" s="22"/>
      <c r="CA1180" s="18"/>
      <c r="CD1180" s="22"/>
      <c r="CE1180" s="22"/>
      <c r="DH1180" s="22"/>
      <c r="DI1180" s="22"/>
      <c r="DJ1180" s="22"/>
      <c r="DK1180" s="344"/>
      <c r="DL1180" s="361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22"/>
      <c r="EG1180" s="22"/>
      <c r="EH1180" s="22"/>
      <c r="EI1180" s="22"/>
      <c r="EJ1180" s="22"/>
      <c r="EK1180" s="22"/>
      <c r="EL1180" s="22"/>
      <c r="EM1180" s="22"/>
      <c r="EN1180" s="344"/>
      <c r="EO1180" s="344"/>
      <c r="EP1180" s="22"/>
      <c r="EQ1180" s="22"/>
      <c r="ER1180" s="22"/>
      <c r="ES1180" s="344"/>
      <c r="ET1180" s="349"/>
      <c r="EU1180" s="344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T1180" s="27"/>
      <c r="FU1180" s="27"/>
    </row>
    <row r="1181" spans="24:177" s="9" customFormat="1" x14ac:dyDescent="0.2">
      <c r="X1181" s="50"/>
      <c r="AD1181" s="22"/>
      <c r="AW1181" s="8"/>
      <c r="AX1181" s="108"/>
      <c r="AY1181" s="102"/>
      <c r="AZ1181" s="109"/>
      <c r="BA1181" s="11"/>
      <c r="BB1181" s="9" t="s">
        <v>560</v>
      </c>
      <c r="BC1181" s="22">
        <v>286</v>
      </c>
      <c r="BD1181" s="22"/>
      <c r="CA1181" s="18"/>
      <c r="CD1181" s="22"/>
      <c r="CE1181" s="22"/>
      <c r="DH1181" s="22"/>
      <c r="DI1181" s="22"/>
      <c r="DJ1181" s="22"/>
      <c r="DK1181" s="344"/>
      <c r="DL1181" s="361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22"/>
      <c r="EG1181" s="22"/>
      <c r="EH1181" s="22"/>
      <c r="EI1181" s="22"/>
      <c r="EJ1181" s="22"/>
      <c r="EK1181" s="22"/>
      <c r="EL1181" s="22"/>
      <c r="EM1181" s="22"/>
      <c r="EN1181" s="344"/>
      <c r="EO1181" s="344"/>
      <c r="EP1181" s="22"/>
      <c r="EQ1181" s="22"/>
      <c r="ER1181" s="22"/>
      <c r="ES1181" s="344"/>
      <c r="ET1181" s="349"/>
      <c r="EU1181" s="344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T1181" s="27"/>
      <c r="FU1181" s="27"/>
    </row>
    <row r="1182" spans="24:177" s="9" customFormat="1" x14ac:dyDescent="0.2">
      <c r="X1182" s="50"/>
      <c r="AD1182" s="22"/>
      <c r="AW1182" s="8"/>
      <c r="AX1182" s="108"/>
      <c r="AY1182" s="102"/>
      <c r="AZ1182" s="109"/>
      <c r="BA1182" s="11"/>
      <c r="BB1182" s="9" t="s">
        <v>560</v>
      </c>
      <c r="BC1182" s="22">
        <v>287</v>
      </c>
      <c r="BD1182" s="22"/>
      <c r="CA1182" s="18"/>
      <c r="CD1182" s="22"/>
      <c r="CE1182" s="22"/>
      <c r="DH1182" s="22"/>
      <c r="DI1182" s="22"/>
      <c r="DJ1182" s="22"/>
      <c r="DK1182" s="344"/>
      <c r="DL1182" s="361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22"/>
      <c r="EG1182" s="22"/>
      <c r="EH1182" s="22"/>
      <c r="EI1182" s="22"/>
      <c r="EJ1182" s="22"/>
      <c r="EK1182" s="22"/>
      <c r="EL1182" s="22"/>
      <c r="EM1182" s="22"/>
      <c r="EN1182" s="344"/>
      <c r="EO1182" s="344"/>
      <c r="EP1182" s="22"/>
      <c r="EQ1182" s="22"/>
      <c r="ER1182" s="22"/>
      <c r="ES1182" s="344"/>
      <c r="ET1182" s="349"/>
      <c r="EU1182" s="344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T1182" s="27"/>
      <c r="FU1182" s="27"/>
    </row>
    <row r="1183" spans="24:177" s="9" customFormat="1" x14ac:dyDescent="0.2">
      <c r="X1183" s="50"/>
      <c r="AD1183" s="22"/>
      <c r="AW1183" s="8"/>
      <c r="AX1183" s="108"/>
      <c r="AY1183" s="102"/>
      <c r="AZ1183" s="109"/>
      <c r="BA1183" s="11"/>
      <c r="BB1183" s="9" t="s">
        <v>560</v>
      </c>
      <c r="BC1183" s="22">
        <v>288</v>
      </c>
      <c r="BD1183" s="22"/>
      <c r="CA1183" s="18"/>
      <c r="CD1183" s="22"/>
      <c r="CE1183" s="22"/>
      <c r="DH1183" s="22"/>
      <c r="DI1183" s="22"/>
      <c r="DJ1183" s="22"/>
      <c r="DK1183" s="344"/>
      <c r="DL1183" s="361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22"/>
      <c r="EG1183" s="22"/>
      <c r="EH1183" s="22"/>
      <c r="EI1183" s="22"/>
      <c r="EJ1183" s="22"/>
      <c r="EK1183" s="22"/>
      <c r="EL1183" s="22"/>
      <c r="EM1183" s="22"/>
      <c r="EN1183" s="344"/>
      <c r="EO1183" s="344"/>
      <c r="EP1183" s="22"/>
      <c r="EQ1183" s="22"/>
      <c r="ER1183" s="22"/>
      <c r="ES1183" s="344"/>
      <c r="ET1183" s="349"/>
      <c r="EU1183" s="344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T1183" s="27"/>
      <c r="FU1183" s="27"/>
    </row>
    <row r="1184" spans="24:177" s="9" customFormat="1" x14ac:dyDescent="0.2">
      <c r="X1184" s="50"/>
      <c r="AD1184" s="22"/>
      <c r="AW1184" s="8"/>
      <c r="AX1184" s="108"/>
      <c r="AY1184" s="102"/>
      <c r="AZ1184" s="109"/>
      <c r="BA1184" s="11"/>
      <c r="BB1184" s="9" t="s">
        <v>560</v>
      </c>
      <c r="BC1184" s="22">
        <v>289</v>
      </c>
      <c r="BD1184" s="22"/>
      <c r="CA1184" s="18"/>
      <c r="CD1184" s="22"/>
      <c r="CE1184" s="22"/>
      <c r="DH1184" s="22"/>
      <c r="DI1184" s="22"/>
      <c r="DJ1184" s="22"/>
      <c r="DK1184" s="344"/>
      <c r="DL1184" s="361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22"/>
      <c r="EG1184" s="22"/>
      <c r="EH1184" s="22"/>
      <c r="EI1184" s="22"/>
      <c r="EJ1184" s="22"/>
      <c r="EK1184" s="22"/>
      <c r="EL1184" s="22"/>
      <c r="EM1184" s="22"/>
      <c r="EN1184" s="344"/>
      <c r="EO1184" s="344"/>
      <c r="EP1184" s="22"/>
      <c r="EQ1184" s="22"/>
      <c r="ER1184" s="22"/>
      <c r="ES1184" s="344"/>
      <c r="ET1184" s="349"/>
      <c r="EU1184" s="344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T1184" s="27"/>
      <c r="FU1184" s="27"/>
    </row>
    <row r="1185" spans="24:177" s="9" customFormat="1" x14ac:dyDescent="0.2">
      <c r="X1185" s="50"/>
      <c r="AD1185" s="22"/>
      <c r="AW1185" s="8"/>
      <c r="AX1185" s="108"/>
      <c r="AY1185" s="102"/>
      <c r="AZ1185" s="109"/>
      <c r="BA1185" s="11"/>
      <c r="BB1185" s="9" t="s">
        <v>560</v>
      </c>
      <c r="BC1185" s="22">
        <v>290</v>
      </c>
      <c r="BD1185" s="22"/>
      <c r="CA1185" s="18"/>
      <c r="CD1185" s="22"/>
      <c r="CE1185" s="22"/>
      <c r="DH1185" s="22"/>
      <c r="DI1185" s="22"/>
      <c r="DJ1185" s="22"/>
      <c r="DK1185" s="344"/>
      <c r="DL1185" s="361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22"/>
      <c r="EG1185" s="22"/>
      <c r="EH1185" s="22"/>
      <c r="EI1185" s="22"/>
      <c r="EJ1185" s="22"/>
      <c r="EK1185" s="22"/>
      <c r="EL1185" s="22"/>
      <c r="EM1185" s="22"/>
      <c r="EN1185" s="344"/>
      <c r="EO1185" s="344"/>
      <c r="EP1185" s="22"/>
      <c r="EQ1185" s="22"/>
      <c r="ER1185" s="22"/>
      <c r="ES1185" s="344"/>
      <c r="ET1185" s="349"/>
      <c r="EU1185" s="344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T1185" s="27"/>
      <c r="FU1185" s="27"/>
    </row>
    <row r="1186" spans="24:177" s="9" customFormat="1" x14ac:dyDescent="0.2">
      <c r="X1186" s="50"/>
      <c r="AD1186" s="22"/>
      <c r="AW1186" s="8"/>
      <c r="AX1186" s="108"/>
      <c r="AY1186" s="102"/>
      <c r="AZ1186" s="109"/>
      <c r="BA1186" s="11"/>
      <c r="BB1186" s="9" t="s">
        <v>560</v>
      </c>
      <c r="BC1186" s="22">
        <v>291</v>
      </c>
      <c r="BD1186" s="22"/>
      <c r="CA1186" s="18"/>
      <c r="CD1186" s="22"/>
      <c r="CE1186" s="22"/>
      <c r="DH1186" s="22"/>
      <c r="DI1186" s="22"/>
      <c r="DJ1186" s="22"/>
      <c r="DK1186" s="344"/>
      <c r="DL1186" s="361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22"/>
      <c r="EG1186" s="22"/>
      <c r="EH1186" s="22"/>
      <c r="EI1186" s="22"/>
      <c r="EJ1186" s="22"/>
      <c r="EK1186" s="22"/>
      <c r="EL1186" s="22"/>
      <c r="EM1186" s="22"/>
      <c r="EN1186" s="344"/>
      <c r="EO1186" s="344"/>
      <c r="EP1186" s="22"/>
      <c r="EQ1186" s="22"/>
      <c r="ER1186" s="22"/>
      <c r="ES1186" s="344"/>
      <c r="ET1186" s="349"/>
      <c r="EU1186" s="344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T1186" s="27"/>
      <c r="FU1186" s="27"/>
    </row>
    <row r="1187" spans="24:177" s="9" customFormat="1" x14ac:dyDescent="0.2">
      <c r="X1187" s="50"/>
      <c r="AD1187" s="22"/>
      <c r="AW1187" s="8"/>
      <c r="AX1187" s="108"/>
      <c r="AY1187" s="102"/>
      <c r="AZ1187" s="109"/>
      <c r="BA1187" s="11"/>
      <c r="BB1187" s="9" t="s">
        <v>560</v>
      </c>
      <c r="BC1187" s="22">
        <v>292</v>
      </c>
      <c r="BD1187" s="22"/>
      <c r="CA1187" s="18"/>
      <c r="CD1187" s="22"/>
      <c r="CE1187" s="22"/>
      <c r="DH1187" s="22"/>
      <c r="DI1187" s="22"/>
      <c r="DJ1187" s="22"/>
      <c r="DK1187" s="344"/>
      <c r="DL1187" s="361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22"/>
      <c r="EG1187" s="22"/>
      <c r="EH1187" s="22"/>
      <c r="EI1187" s="22"/>
      <c r="EJ1187" s="22"/>
      <c r="EK1187" s="22"/>
      <c r="EL1187" s="22"/>
      <c r="EM1187" s="22"/>
      <c r="EN1187" s="344"/>
      <c r="EO1187" s="344"/>
      <c r="EP1187" s="22"/>
      <c r="EQ1187" s="22"/>
      <c r="ER1187" s="22"/>
      <c r="ES1187" s="344"/>
      <c r="ET1187" s="349"/>
      <c r="EU1187" s="344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T1187" s="27"/>
      <c r="FU1187" s="27"/>
    </row>
    <row r="1188" spans="24:177" s="9" customFormat="1" x14ac:dyDescent="0.2">
      <c r="X1188" s="50"/>
      <c r="AD1188" s="22"/>
      <c r="AW1188" s="8"/>
      <c r="AX1188" s="108"/>
      <c r="AY1188" s="102"/>
      <c r="AZ1188" s="109"/>
      <c r="BA1188" s="11"/>
      <c r="BB1188" s="9" t="s">
        <v>560</v>
      </c>
      <c r="BC1188" s="22">
        <v>293</v>
      </c>
      <c r="BD1188" s="22"/>
      <c r="CA1188" s="18"/>
      <c r="CD1188" s="22"/>
      <c r="CE1188" s="22"/>
      <c r="DH1188" s="22"/>
      <c r="DI1188" s="22"/>
      <c r="DJ1188" s="22"/>
      <c r="DK1188" s="344"/>
      <c r="DL1188" s="361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22"/>
      <c r="EG1188" s="22"/>
      <c r="EH1188" s="22"/>
      <c r="EI1188" s="22"/>
      <c r="EJ1188" s="22"/>
      <c r="EK1188" s="22"/>
      <c r="EL1188" s="22"/>
      <c r="EM1188" s="22"/>
      <c r="EN1188" s="344"/>
      <c r="EO1188" s="344"/>
      <c r="EP1188" s="22"/>
      <c r="EQ1188" s="22"/>
      <c r="ER1188" s="22"/>
      <c r="ES1188" s="344"/>
      <c r="ET1188" s="349"/>
      <c r="EU1188" s="344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T1188" s="27"/>
      <c r="FU1188" s="27"/>
    </row>
    <row r="1189" spans="24:177" s="9" customFormat="1" x14ac:dyDescent="0.2">
      <c r="X1189" s="50"/>
      <c r="AD1189" s="22"/>
      <c r="AW1189" s="8"/>
      <c r="AX1189" s="108"/>
      <c r="AY1189" s="102"/>
      <c r="AZ1189" s="109"/>
      <c r="BA1189" s="11"/>
      <c r="BB1189" s="9" t="s">
        <v>560</v>
      </c>
      <c r="BC1189" s="22">
        <v>294</v>
      </c>
      <c r="BD1189" s="22"/>
      <c r="CA1189" s="18"/>
      <c r="CD1189" s="22"/>
      <c r="CE1189" s="22"/>
      <c r="DH1189" s="22"/>
      <c r="DI1189" s="22"/>
      <c r="DJ1189" s="22"/>
      <c r="DK1189" s="344"/>
      <c r="DL1189" s="361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22"/>
      <c r="EG1189" s="22"/>
      <c r="EH1189" s="22"/>
      <c r="EI1189" s="22"/>
      <c r="EJ1189" s="22"/>
      <c r="EK1189" s="22"/>
      <c r="EL1189" s="22"/>
      <c r="EM1189" s="22"/>
      <c r="EN1189" s="344"/>
      <c r="EO1189" s="344"/>
      <c r="EP1189" s="22"/>
      <c r="EQ1189" s="22"/>
      <c r="ER1189" s="22"/>
      <c r="ES1189" s="344"/>
      <c r="ET1189" s="349"/>
      <c r="EU1189" s="344"/>
      <c r="EV1189" s="22"/>
      <c r="EW1189" s="22"/>
      <c r="EX1189" s="22"/>
      <c r="EY1189" s="22"/>
      <c r="EZ1189" s="22"/>
      <c r="FA1189" s="22"/>
      <c r="FB1189" s="22"/>
      <c r="FC1189" s="22"/>
      <c r="FD1189" s="22"/>
      <c r="FE1189" s="22"/>
      <c r="FT1189" s="27"/>
      <c r="FU1189" s="27"/>
    </row>
    <row r="1190" spans="24:177" s="9" customFormat="1" x14ac:dyDescent="0.2">
      <c r="X1190" s="50"/>
      <c r="AD1190" s="22"/>
      <c r="AW1190" s="8"/>
      <c r="AX1190" s="108"/>
      <c r="AY1190" s="102"/>
      <c r="AZ1190" s="109"/>
      <c r="BA1190" s="11"/>
      <c r="BB1190" s="9" t="s">
        <v>560</v>
      </c>
      <c r="BC1190" s="22">
        <v>295</v>
      </c>
      <c r="BD1190" s="22"/>
      <c r="CA1190" s="18"/>
      <c r="CD1190" s="22"/>
      <c r="CE1190" s="22"/>
      <c r="DH1190" s="22"/>
      <c r="DI1190" s="22"/>
      <c r="DJ1190" s="22"/>
      <c r="DK1190" s="344"/>
      <c r="DL1190" s="361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22"/>
      <c r="EG1190" s="22"/>
      <c r="EH1190" s="22"/>
      <c r="EI1190" s="22"/>
      <c r="EJ1190" s="22"/>
      <c r="EK1190" s="22"/>
      <c r="EL1190" s="22"/>
      <c r="EM1190" s="22"/>
      <c r="EN1190" s="344"/>
      <c r="EO1190" s="344"/>
      <c r="EP1190" s="22"/>
      <c r="EQ1190" s="22"/>
      <c r="ER1190" s="22"/>
      <c r="ES1190" s="344"/>
      <c r="ET1190" s="349"/>
      <c r="EU1190" s="344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T1190" s="27"/>
      <c r="FU1190" s="27"/>
    </row>
    <row r="1191" spans="24:177" s="9" customFormat="1" x14ac:dyDescent="0.2">
      <c r="X1191" s="50"/>
      <c r="AD1191" s="22"/>
      <c r="AW1191" s="8"/>
      <c r="AX1191" s="108"/>
      <c r="AY1191" s="102"/>
      <c r="AZ1191" s="109"/>
      <c r="BA1191" s="11"/>
      <c r="BB1191" s="9" t="s">
        <v>560</v>
      </c>
      <c r="BC1191" s="22">
        <v>296</v>
      </c>
      <c r="BD1191" s="22"/>
      <c r="CA1191" s="18"/>
      <c r="CD1191" s="22"/>
      <c r="CE1191" s="22"/>
      <c r="DH1191" s="22"/>
      <c r="DI1191" s="22"/>
      <c r="DJ1191" s="22"/>
      <c r="DK1191" s="344"/>
      <c r="DL1191" s="361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22"/>
      <c r="EG1191" s="22"/>
      <c r="EH1191" s="22"/>
      <c r="EI1191" s="22"/>
      <c r="EJ1191" s="22"/>
      <c r="EK1191" s="22"/>
      <c r="EL1191" s="22"/>
      <c r="EM1191" s="22"/>
      <c r="EN1191" s="344"/>
      <c r="EO1191" s="344"/>
      <c r="EP1191" s="22"/>
      <c r="EQ1191" s="22"/>
      <c r="ER1191" s="22"/>
      <c r="ES1191" s="344"/>
      <c r="ET1191" s="349"/>
      <c r="EU1191" s="344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T1191" s="27"/>
      <c r="FU1191" s="27"/>
    </row>
    <row r="1192" spans="24:177" s="9" customFormat="1" x14ac:dyDescent="0.2">
      <c r="X1192" s="50"/>
      <c r="AD1192" s="22"/>
      <c r="AW1192" s="8"/>
      <c r="AX1192" s="108"/>
      <c r="AY1192" s="102"/>
      <c r="AZ1192" s="109"/>
      <c r="BA1192" s="11"/>
      <c r="BB1192" s="9" t="s">
        <v>560</v>
      </c>
      <c r="BC1192" s="22">
        <v>297</v>
      </c>
      <c r="BD1192" s="22"/>
      <c r="CA1192" s="18"/>
      <c r="CD1192" s="22"/>
      <c r="CE1192" s="22"/>
      <c r="DH1192" s="22"/>
      <c r="DI1192" s="22"/>
      <c r="DJ1192" s="22"/>
      <c r="DK1192" s="344"/>
      <c r="DL1192" s="361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22"/>
      <c r="EG1192" s="22"/>
      <c r="EH1192" s="22"/>
      <c r="EI1192" s="22"/>
      <c r="EJ1192" s="22"/>
      <c r="EK1192" s="22"/>
      <c r="EL1192" s="22"/>
      <c r="EM1192" s="22"/>
      <c r="EN1192" s="344"/>
      <c r="EO1192" s="344"/>
      <c r="EP1192" s="22"/>
      <c r="EQ1192" s="22"/>
      <c r="ER1192" s="22"/>
      <c r="ES1192" s="344"/>
      <c r="ET1192" s="349"/>
      <c r="EU1192" s="344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T1192" s="27"/>
      <c r="FU1192" s="27"/>
    </row>
    <row r="1193" spans="24:177" s="9" customFormat="1" x14ac:dyDescent="0.2">
      <c r="X1193" s="50"/>
      <c r="AD1193" s="22"/>
      <c r="AW1193" s="8"/>
      <c r="AX1193" s="108"/>
      <c r="AY1193" s="102"/>
      <c r="AZ1193" s="109"/>
      <c r="BA1193" s="11"/>
      <c r="BB1193" s="9" t="s">
        <v>560</v>
      </c>
      <c r="BC1193" s="22">
        <v>298</v>
      </c>
      <c r="BD1193" s="22"/>
      <c r="CA1193" s="18"/>
      <c r="CD1193" s="22"/>
      <c r="CE1193" s="22"/>
      <c r="DH1193" s="22"/>
      <c r="DI1193" s="22"/>
      <c r="DJ1193" s="22"/>
      <c r="DK1193" s="344"/>
      <c r="DL1193" s="361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22"/>
      <c r="EG1193" s="22"/>
      <c r="EH1193" s="22"/>
      <c r="EI1193" s="22"/>
      <c r="EJ1193" s="22"/>
      <c r="EK1193" s="22"/>
      <c r="EL1193" s="22"/>
      <c r="EM1193" s="22"/>
      <c r="EN1193" s="344"/>
      <c r="EO1193" s="344"/>
      <c r="EP1193" s="22"/>
      <c r="EQ1193" s="22"/>
      <c r="ER1193" s="22"/>
      <c r="ES1193" s="344"/>
      <c r="ET1193" s="349"/>
      <c r="EU1193" s="344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T1193" s="27"/>
      <c r="FU1193" s="27"/>
    </row>
    <row r="1194" spans="24:177" s="9" customFormat="1" x14ac:dyDescent="0.2">
      <c r="X1194" s="50"/>
      <c r="AD1194" s="22"/>
      <c r="AW1194" s="8"/>
      <c r="AX1194" s="108"/>
      <c r="AY1194" s="102"/>
      <c r="AZ1194" s="109"/>
      <c r="BA1194" s="11"/>
      <c r="BB1194" s="9" t="s">
        <v>560</v>
      </c>
      <c r="BC1194" s="22">
        <v>299</v>
      </c>
      <c r="BD1194" s="22"/>
      <c r="CA1194" s="18"/>
      <c r="CD1194" s="22"/>
      <c r="CE1194" s="22"/>
      <c r="DH1194" s="22"/>
      <c r="DI1194" s="22"/>
      <c r="DJ1194" s="22"/>
      <c r="DK1194" s="344"/>
      <c r="DL1194" s="361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22"/>
      <c r="EG1194" s="22"/>
      <c r="EH1194" s="22"/>
      <c r="EI1194" s="22"/>
      <c r="EJ1194" s="22"/>
      <c r="EK1194" s="22"/>
      <c r="EL1194" s="22"/>
      <c r="EM1194" s="22"/>
      <c r="EN1194" s="344"/>
      <c r="EO1194" s="344"/>
      <c r="EP1194" s="22"/>
      <c r="EQ1194" s="22"/>
      <c r="ER1194" s="22"/>
      <c r="ES1194" s="344"/>
      <c r="ET1194" s="349"/>
      <c r="EU1194" s="344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T1194" s="27"/>
      <c r="FU1194" s="27"/>
    </row>
    <row r="1195" spans="24:177" s="9" customFormat="1" x14ac:dyDescent="0.2">
      <c r="X1195" s="50"/>
      <c r="AD1195" s="22"/>
      <c r="AW1195" s="8"/>
      <c r="AX1195" s="108"/>
      <c r="AY1195" s="102"/>
      <c r="AZ1195" s="109"/>
      <c r="BA1195" s="11"/>
      <c r="BB1195" s="9" t="s">
        <v>560</v>
      </c>
      <c r="BC1195" s="22">
        <v>300</v>
      </c>
      <c r="BD1195" s="22"/>
      <c r="CA1195" s="18"/>
      <c r="CD1195" s="22"/>
      <c r="CE1195" s="22"/>
      <c r="DH1195" s="22"/>
      <c r="DI1195" s="22"/>
      <c r="DJ1195" s="22"/>
      <c r="DK1195" s="344"/>
      <c r="DL1195" s="361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22"/>
      <c r="EG1195" s="22"/>
      <c r="EH1195" s="22"/>
      <c r="EI1195" s="22"/>
      <c r="EJ1195" s="22"/>
      <c r="EK1195" s="22"/>
      <c r="EL1195" s="22"/>
      <c r="EM1195" s="22"/>
      <c r="EN1195" s="344"/>
      <c r="EO1195" s="344"/>
      <c r="EP1195" s="22"/>
      <c r="EQ1195" s="22"/>
      <c r="ER1195" s="22"/>
      <c r="ES1195" s="344"/>
      <c r="ET1195" s="349"/>
      <c r="EU1195" s="344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T1195" s="27"/>
      <c r="FU1195" s="27"/>
    </row>
    <row r="1196" spans="24:177" s="9" customFormat="1" x14ac:dyDescent="0.2">
      <c r="X1196" s="50"/>
      <c r="AD1196" s="22"/>
      <c r="AW1196" s="8"/>
      <c r="AX1196" s="108"/>
      <c r="AY1196" s="102"/>
      <c r="AZ1196" s="109"/>
      <c r="BA1196" s="11"/>
      <c r="BB1196" s="9" t="s">
        <v>560</v>
      </c>
      <c r="BC1196" s="22">
        <v>301</v>
      </c>
      <c r="BD1196" s="22"/>
      <c r="CA1196" s="18"/>
      <c r="CD1196" s="22"/>
      <c r="CE1196" s="22"/>
      <c r="DH1196" s="22"/>
      <c r="DI1196" s="22"/>
      <c r="DJ1196" s="22"/>
      <c r="DK1196" s="344"/>
      <c r="DL1196" s="361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22"/>
      <c r="EG1196" s="22"/>
      <c r="EH1196" s="22"/>
      <c r="EI1196" s="22"/>
      <c r="EJ1196" s="22"/>
      <c r="EK1196" s="22"/>
      <c r="EL1196" s="22"/>
      <c r="EM1196" s="22"/>
      <c r="EN1196" s="344"/>
      <c r="EO1196" s="344"/>
      <c r="EP1196" s="22"/>
      <c r="EQ1196" s="22"/>
      <c r="ER1196" s="22"/>
      <c r="ES1196" s="344"/>
      <c r="ET1196" s="349"/>
      <c r="EU1196" s="344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T1196" s="27"/>
      <c r="FU1196" s="27"/>
    </row>
    <row r="1197" spans="24:177" s="9" customFormat="1" x14ac:dyDescent="0.2">
      <c r="X1197" s="50"/>
      <c r="AD1197" s="22"/>
      <c r="AW1197" s="8"/>
      <c r="AX1197" s="108"/>
      <c r="AY1197" s="102"/>
      <c r="AZ1197" s="109"/>
      <c r="BA1197" s="11"/>
      <c r="BB1197" s="9" t="s">
        <v>560</v>
      </c>
      <c r="BC1197" s="22">
        <v>302</v>
      </c>
      <c r="BD1197" s="22"/>
      <c r="CA1197" s="18"/>
      <c r="CD1197" s="22"/>
      <c r="CE1197" s="22"/>
      <c r="DH1197" s="22"/>
      <c r="DI1197" s="22"/>
      <c r="DJ1197" s="22"/>
      <c r="DK1197" s="344"/>
      <c r="DL1197" s="361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22"/>
      <c r="EG1197" s="22"/>
      <c r="EH1197" s="22"/>
      <c r="EI1197" s="22"/>
      <c r="EJ1197" s="22"/>
      <c r="EK1197" s="22"/>
      <c r="EL1197" s="22"/>
      <c r="EM1197" s="22"/>
      <c r="EN1197" s="344"/>
      <c r="EO1197" s="344"/>
      <c r="EP1197" s="22"/>
      <c r="EQ1197" s="22"/>
      <c r="ER1197" s="22"/>
      <c r="ES1197" s="344"/>
      <c r="ET1197" s="349"/>
      <c r="EU1197" s="344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T1197" s="27"/>
      <c r="FU1197" s="27"/>
    </row>
    <row r="1198" spans="24:177" s="9" customFormat="1" x14ac:dyDescent="0.2">
      <c r="X1198" s="50"/>
      <c r="AD1198" s="22"/>
      <c r="AW1198" s="8"/>
      <c r="AX1198" s="108"/>
      <c r="AY1198" s="102"/>
      <c r="AZ1198" s="109"/>
      <c r="BA1198" s="11"/>
      <c r="BB1198" s="9" t="s">
        <v>560</v>
      </c>
      <c r="BC1198" s="22">
        <v>303</v>
      </c>
      <c r="BD1198" s="22"/>
      <c r="CA1198" s="18"/>
      <c r="CD1198" s="22"/>
      <c r="CE1198" s="22"/>
      <c r="DH1198" s="22"/>
      <c r="DI1198" s="22"/>
      <c r="DJ1198" s="22"/>
      <c r="DK1198" s="344"/>
      <c r="DL1198" s="361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22"/>
      <c r="EG1198" s="22"/>
      <c r="EH1198" s="22"/>
      <c r="EI1198" s="22"/>
      <c r="EJ1198" s="22"/>
      <c r="EK1198" s="22"/>
      <c r="EL1198" s="22"/>
      <c r="EM1198" s="22"/>
      <c r="EN1198" s="344"/>
      <c r="EO1198" s="344"/>
      <c r="EP1198" s="22"/>
      <c r="EQ1198" s="22"/>
      <c r="ER1198" s="22"/>
      <c r="ES1198" s="344"/>
      <c r="ET1198" s="349"/>
      <c r="EU1198" s="344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T1198" s="27"/>
      <c r="FU1198" s="27"/>
    </row>
    <row r="1199" spans="24:177" s="9" customFormat="1" x14ac:dyDescent="0.2">
      <c r="X1199" s="50"/>
      <c r="AD1199" s="22"/>
      <c r="AW1199" s="8"/>
      <c r="AX1199" s="108"/>
      <c r="AY1199" s="102"/>
      <c r="AZ1199" s="109"/>
      <c r="BA1199" s="11"/>
      <c r="BB1199" s="9" t="s">
        <v>560</v>
      </c>
      <c r="BC1199" s="22">
        <v>304</v>
      </c>
      <c r="BD1199" s="22"/>
      <c r="CA1199" s="18"/>
      <c r="CD1199" s="22"/>
      <c r="CE1199" s="22"/>
      <c r="DH1199" s="22"/>
      <c r="DI1199" s="22"/>
      <c r="DJ1199" s="22"/>
      <c r="DK1199" s="344"/>
      <c r="DL1199" s="361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22"/>
      <c r="EG1199" s="22"/>
      <c r="EH1199" s="22"/>
      <c r="EI1199" s="22"/>
      <c r="EJ1199" s="22"/>
      <c r="EK1199" s="22"/>
      <c r="EL1199" s="22"/>
      <c r="EM1199" s="22"/>
      <c r="EN1199" s="344"/>
      <c r="EO1199" s="344"/>
      <c r="EP1199" s="22"/>
      <c r="EQ1199" s="22"/>
      <c r="ER1199" s="22"/>
      <c r="ES1199" s="344"/>
      <c r="ET1199" s="349"/>
      <c r="EU1199" s="344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T1199" s="27"/>
      <c r="FU1199" s="27"/>
    </row>
    <row r="1200" spans="24:177" s="9" customFormat="1" x14ac:dyDescent="0.2">
      <c r="X1200" s="50"/>
      <c r="AD1200" s="22"/>
      <c r="AW1200" s="8"/>
      <c r="AX1200" s="108"/>
      <c r="AY1200" s="102"/>
      <c r="AZ1200" s="109"/>
      <c r="BA1200" s="11"/>
      <c r="BB1200" s="9" t="s">
        <v>560</v>
      </c>
      <c r="BC1200" s="22">
        <v>305</v>
      </c>
      <c r="BD1200" s="22"/>
      <c r="CA1200" s="18"/>
      <c r="CD1200" s="22"/>
      <c r="CE1200" s="22"/>
      <c r="DH1200" s="22"/>
      <c r="DI1200" s="22"/>
      <c r="DJ1200" s="22"/>
      <c r="DK1200" s="344"/>
      <c r="DL1200" s="361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22"/>
      <c r="EG1200" s="22"/>
      <c r="EH1200" s="22"/>
      <c r="EI1200" s="22"/>
      <c r="EJ1200" s="22"/>
      <c r="EK1200" s="22"/>
      <c r="EL1200" s="22"/>
      <c r="EM1200" s="22"/>
      <c r="EN1200" s="344"/>
      <c r="EO1200" s="344"/>
      <c r="EP1200" s="22"/>
      <c r="EQ1200" s="22"/>
      <c r="ER1200" s="22"/>
      <c r="ES1200" s="344"/>
      <c r="ET1200" s="349"/>
      <c r="EU1200" s="344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T1200" s="27"/>
      <c r="FU1200" s="27"/>
    </row>
    <row r="1201" spans="24:177" s="9" customFormat="1" x14ac:dyDescent="0.2">
      <c r="X1201" s="50"/>
      <c r="AD1201" s="22"/>
      <c r="AW1201" s="8"/>
      <c r="AX1201" s="108"/>
      <c r="AY1201" s="102"/>
      <c r="AZ1201" s="109"/>
      <c r="BA1201" s="11"/>
      <c r="BB1201" s="9" t="s">
        <v>560</v>
      </c>
      <c r="BC1201" s="22">
        <v>306</v>
      </c>
      <c r="BD1201" s="22"/>
      <c r="CA1201" s="18"/>
      <c r="CD1201" s="22"/>
      <c r="CE1201" s="22"/>
      <c r="DH1201" s="22"/>
      <c r="DI1201" s="22"/>
      <c r="DJ1201" s="22"/>
      <c r="DK1201" s="344"/>
      <c r="DL1201" s="361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22"/>
      <c r="EG1201" s="22"/>
      <c r="EH1201" s="22"/>
      <c r="EI1201" s="22"/>
      <c r="EJ1201" s="22"/>
      <c r="EK1201" s="22"/>
      <c r="EL1201" s="22"/>
      <c r="EM1201" s="22"/>
      <c r="EN1201" s="344"/>
      <c r="EO1201" s="344"/>
      <c r="EP1201" s="22"/>
      <c r="EQ1201" s="22"/>
      <c r="ER1201" s="22"/>
      <c r="ES1201" s="344"/>
      <c r="ET1201" s="349"/>
      <c r="EU1201" s="344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T1201" s="27"/>
      <c r="FU1201" s="27"/>
    </row>
    <row r="1202" spans="24:177" s="9" customFormat="1" x14ac:dyDescent="0.2">
      <c r="X1202" s="50"/>
      <c r="AD1202" s="22"/>
      <c r="AW1202" s="8"/>
      <c r="AX1202" s="108"/>
      <c r="AY1202" s="102"/>
      <c r="AZ1202" s="109"/>
      <c r="BA1202" s="11"/>
      <c r="BB1202" s="9" t="s">
        <v>560</v>
      </c>
      <c r="BC1202" s="22">
        <v>307</v>
      </c>
      <c r="BD1202" s="22"/>
      <c r="CA1202" s="18"/>
      <c r="CD1202" s="22"/>
      <c r="CE1202" s="22"/>
      <c r="DH1202" s="22"/>
      <c r="DI1202" s="22"/>
      <c r="DJ1202" s="22"/>
      <c r="DK1202" s="344"/>
      <c r="DL1202" s="361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22"/>
      <c r="EG1202" s="22"/>
      <c r="EH1202" s="22"/>
      <c r="EI1202" s="22"/>
      <c r="EJ1202" s="22"/>
      <c r="EK1202" s="22"/>
      <c r="EL1202" s="22"/>
      <c r="EM1202" s="22"/>
      <c r="EN1202" s="344"/>
      <c r="EO1202" s="344"/>
      <c r="EP1202" s="22"/>
      <c r="EQ1202" s="22"/>
      <c r="ER1202" s="22"/>
      <c r="ES1202" s="344"/>
      <c r="ET1202" s="349"/>
      <c r="EU1202" s="344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T1202" s="27"/>
      <c r="FU1202" s="27"/>
    </row>
    <row r="1203" spans="24:177" s="9" customFormat="1" x14ac:dyDescent="0.2">
      <c r="X1203" s="50"/>
      <c r="AD1203" s="22"/>
      <c r="AW1203" s="8"/>
      <c r="AX1203" s="108"/>
      <c r="AY1203" s="102"/>
      <c r="AZ1203" s="109"/>
      <c r="BA1203" s="11"/>
      <c r="BB1203" s="9" t="s">
        <v>560</v>
      </c>
      <c r="BC1203" s="22">
        <v>308</v>
      </c>
      <c r="BD1203" s="22"/>
      <c r="CA1203" s="18"/>
      <c r="CD1203" s="22"/>
      <c r="CE1203" s="22"/>
      <c r="DH1203" s="22"/>
      <c r="DI1203" s="22"/>
      <c r="DJ1203" s="22"/>
      <c r="DK1203" s="344"/>
      <c r="DL1203" s="361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22"/>
      <c r="EG1203" s="22"/>
      <c r="EH1203" s="22"/>
      <c r="EI1203" s="22"/>
      <c r="EJ1203" s="22"/>
      <c r="EK1203" s="22"/>
      <c r="EL1203" s="22"/>
      <c r="EM1203" s="22"/>
      <c r="EN1203" s="344"/>
      <c r="EO1203" s="344"/>
      <c r="EP1203" s="22"/>
      <c r="EQ1203" s="22"/>
      <c r="ER1203" s="22"/>
      <c r="ES1203" s="344"/>
      <c r="ET1203" s="349"/>
      <c r="EU1203" s="344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T1203" s="27"/>
      <c r="FU1203" s="27"/>
    </row>
    <row r="1204" spans="24:177" s="9" customFormat="1" x14ac:dyDescent="0.2">
      <c r="X1204" s="50"/>
      <c r="AD1204" s="22"/>
      <c r="AW1204" s="8"/>
      <c r="AX1204" s="108"/>
      <c r="AY1204" s="102"/>
      <c r="AZ1204" s="109"/>
      <c r="BA1204" s="11"/>
      <c r="BB1204" s="9" t="s">
        <v>560</v>
      </c>
      <c r="BC1204" s="22">
        <v>309</v>
      </c>
      <c r="BD1204" s="22"/>
      <c r="CA1204" s="18"/>
      <c r="CD1204" s="22"/>
      <c r="CE1204" s="22"/>
      <c r="DH1204" s="22"/>
      <c r="DI1204" s="22"/>
      <c r="DJ1204" s="22"/>
      <c r="DK1204" s="344"/>
      <c r="DL1204" s="361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22"/>
      <c r="EG1204" s="22"/>
      <c r="EH1204" s="22"/>
      <c r="EI1204" s="22"/>
      <c r="EJ1204" s="22"/>
      <c r="EK1204" s="22"/>
      <c r="EL1204" s="22"/>
      <c r="EM1204" s="22"/>
      <c r="EN1204" s="344"/>
      <c r="EO1204" s="344"/>
      <c r="EP1204" s="22"/>
      <c r="EQ1204" s="22"/>
      <c r="ER1204" s="22"/>
      <c r="ES1204" s="344"/>
      <c r="ET1204" s="349"/>
      <c r="EU1204" s="344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T1204" s="27"/>
      <c r="FU1204" s="27"/>
    </row>
    <row r="1205" spans="24:177" s="9" customFormat="1" x14ac:dyDescent="0.2">
      <c r="X1205" s="50"/>
      <c r="AD1205" s="22"/>
      <c r="AW1205" s="8"/>
      <c r="AX1205" s="108"/>
      <c r="AY1205" s="102"/>
      <c r="AZ1205" s="109"/>
      <c r="BA1205" s="11"/>
      <c r="BB1205" s="9" t="s">
        <v>560</v>
      </c>
      <c r="BC1205" s="22">
        <v>310</v>
      </c>
      <c r="BD1205" s="22"/>
      <c r="CA1205" s="18"/>
      <c r="CD1205" s="22"/>
      <c r="CE1205" s="22"/>
      <c r="DH1205" s="22"/>
      <c r="DI1205" s="22"/>
      <c r="DJ1205" s="22"/>
      <c r="DK1205" s="344"/>
      <c r="DL1205" s="361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22"/>
      <c r="EG1205" s="22"/>
      <c r="EH1205" s="22"/>
      <c r="EI1205" s="22"/>
      <c r="EJ1205" s="22"/>
      <c r="EK1205" s="22"/>
      <c r="EL1205" s="22"/>
      <c r="EM1205" s="22"/>
      <c r="EN1205" s="344"/>
      <c r="EO1205" s="344"/>
      <c r="EP1205" s="22"/>
      <c r="EQ1205" s="22"/>
      <c r="ER1205" s="22"/>
      <c r="ES1205" s="344"/>
      <c r="ET1205" s="349"/>
      <c r="EU1205" s="344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T1205" s="27"/>
      <c r="FU1205" s="27"/>
    </row>
    <row r="1206" spans="24:177" s="9" customFormat="1" x14ac:dyDescent="0.2">
      <c r="X1206" s="50"/>
      <c r="AD1206" s="22"/>
      <c r="AW1206" s="8"/>
      <c r="AX1206" s="108"/>
      <c r="AY1206" s="102"/>
      <c r="AZ1206" s="109"/>
      <c r="BA1206" s="11"/>
      <c r="BB1206" s="9" t="s">
        <v>560</v>
      </c>
      <c r="BC1206" s="22">
        <v>311</v>
      </c>
      <c r="BD1206" s="22"/>
      <c r="CA1206" s="18"/>
      <c r="CD1206" s="22"/>
      <c r="CE1206" s="22"/>
      <c r="DH1206" s="22"/>
      <c r="DI1206" s="22"/>
      <c r="DJ1206" s="22"/>
      <c r="DK1206" s="344"/>
      <c r="DL1206" s="361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22"/>
      <c r="EG1206" s="22"/>
      <c r="EH1206" s="22"/>
      <c r="EI1206" s="22"/>
      <c r="EJ1206" s="22"/>
      <c r="EK1206" s="22"/>
      <c r="EL1206" s="22"/>
      <c r="EM1206" s="22"/>
      <c r="EN1206" s="344"/>
      <c r="EO1206" s="344"/>
      <c r="EP1206" s="22"/>
      <c r="EQ1206" s="22"/>
      <c r="ER1206" s="22"/>
      <c r="ES1206" s="344"/>
      <c r="ET1206" s="349"/>
      <c r="EU1206" s="344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T1206" s="27"/>
      <c r="FU1206" s="27"/>
    </row>
    <row r="1207" spans="24:177" s="9" customFormat="1" x14ac:dyDescent="0.2">
      <c r="X1207" s="50"/>
      <c r="AD1207" s="22"/>
      <c r="AW1207" s="8"/>
      <c r="AX1207" s="108"/>
      <c r="AY1207" s="102"/>
      <c r="AZ1207" s="109"/>
      <c r="BA1207" s="11"/>
      <c r="BB1207" s="9" t="s">
        <v>560</v>
      </c>
      <c r="BC1207" s="22">
        <v>312</v>
      </c>
      <c r="BD1207" s="22"/>
      <c r="CA1207" s="18"/>
      <c r="CD1207" s="22"/>
      <c r="CE1207" s="22"/>
      <c r="DH1207" s="22"/>
      <c r="DI1207" s="22"/>
      <c r="DJ1207" s="22"/>
      <c r="DK1207" s="344"/>
      <c r="DL1207" s="361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22"/>
      <c r="EG1207" s="22"/>
      <c r="EH1207" s="22"/>
      <c r="EI1207" s="22"/>
      <c r="EJ1207" s="22"/>
      <c r="EK1207" s="22"/>
      <c r="EL1207" s="22"/>
      <c r="EM1207" s="22"/>
      <c r="EN1207" s="344"/>
      <c r="EO1207" s="344"/>
      <c r="EP1207" s="22"/>
      <c r="EQ1207" s="22"/>
      <c r="ER1207" s="22"/>
      <c r="ES1207" s="344"/>
      <c r="ET1207" s="349"/>
      <c r="EU1207" s="344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T1207" s="27"/>
      <c r="FU1207" s="27"/>
    </row>
    <row r="1208" spans="24:177" s="9" customFormat="1" x14ac:dyDescent="0.2">
      <c r="X1208" s="50"/>
      <c r="AD1208" s="22"/>
      <c r="AW1208" s="8"/>
      <c r="AX1208" s="108"/>
      <c r="AY1208" s="102"/>
      <c r="AZ1208" s="109"/>
      <c r="BA1208" s="11"/>
      <c r="BB1208" s="9" t="s">
        <v>560</v>
      </c>
      <c r="BC1208" s="22">
        <v>313</v>
      </c>
      <c r="BD1208" s="22"/>
      <c r="CA1208" s="18"/>
      <c r="CD1208" s="22"/>
      <c r="CE1208" s="22"/>
      <c r="DH1208" s="22"/>
      <c r="DI1208" s="22"/>
      <c r="DJ1208" s="22"/>
      <c r="DK1208" s="344"/>
      <c r="DL1208" s="361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22"/>
      <c r="EG1208" s="22"/>
      <c r="EH1208" s="22"/>
      <c r="EI1208" s="22"/>
      <c r="EJ1208" s="22"/>
      <c r="EK1208" s="22"/>
      <c r="EL1208" s="22"/>
      <c r="EM1208" s="22"/>
      <c r="EN1208" s="344"/>
      <c r="EO1208" s="344"/>
      <c r="EP1208" s="22"/>
      <c r="EQ1208" s="22"/>
      <c r="ER1208" s="22"/>
      <c r="ES1208" s="344"/>
      <c r="ET1208" s="349"/>
      <c r="EU1208" s="344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T1208" s="27"/>
      <c r="FU1208" s="27"/>
    </row>
    <row r="1209" spans="24:177" s="9" customFormat="1" x14ac:dyDescent="0.2">
      <c r="X1209" s="50"/>
      <c r="AD1209" s="22"/>
      <c r="AW1209" s="8"/>
      <c r="AX1209" s="108"/>
      <c r="AY1209" s="102"/>
      <c r="AZ1209" s="109"/>
      <c r="BA1209" s="11"/>
      <c r="BB1209" s="9" t="s">
        <v>560</v>
      </c>
      <c r="BC1209" s="22">
        <v>314</v>
      </c>
      <c r="BD1209" s="22"/>
      <c r="CA1209" s="18"/>
      <c r="CD1209" s="22"/>
      <c r="CE1209" s="22"/>
      <c r="DH1209" s="22"/>
      <c r="DI1209" s="22"/>
      <c r="DJ1209" s="22"/>
      <c r="DK1209" s="344"/>
      <c r="DL1209" s="361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22"/>
      <c r="EG1209" s="22"/>
      <c r="EH1209" s="22"/>
      <c r="EI1209" s="22"/>
      <c r="EJ1209" s="22"/>
      <c r="EK1209" s="22"/>
      <c r="EL1209" s="22"/>
      <c r="EM1209" s="22"/>
      <c r="EN1209" s="344"/>
      <c r="EO1209" s="344"/>
      <c r="EP1209" s="22"/>
      <c r="EQ1209" s="22"/>
      <c r="ER1209" s="22"/>
      <c r="ES1209" s="344"/>
      <c r="ET1209" s="349"/>
      <c r="EU1209" s="344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T1209" s="27"/>
      <c r="FU1209" s="27"/>
    </row>
    <row r="1210" spans="24:177" s="9" customFormat="1" x14ac:dyDescent="0.2">
      <c r="X1210" s="50"/>
      <c r="AD1210" s="22"/>
      <c r="AW1210" s="8"/>
      <c r="AX1210" s="108"/>
      <c r="AY1210" s="102"/>
      <c r="AZ1210" s="109"/>
      <c r="BA1210" s="11"/>
      <c r="BB1210" s="9" t="s">
        <v>560</v>
      </c>
      <c r="BC1210" s="22">
        <v>315</v>
      </c>
      <c r="BD1210" s="22"/>
      <c r="CA1210" s="18"/>
      <c r="CD1210" s="22"/>
      <c r="CE1210" s="22"/>
      <c r="DH1210" s="22"/>
      <c r="DI1210" s="22"/>
      <c r="DJ1210" s="22"/>
      <c r="DK1210" s="344"/>
      <c r="DL1210" s="361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22"/>
      <c r="EG1210" s="22"/>
      <c r="EH1210" s="22"/>
      <c r="EI1210" s="22"/>
      <c r="EJ1210" s="22"/>
      <c r="EK1210" s="22"/>
      <c r="EL1210" s="22"/>
      <c r="EM1210" s="22"/>
      <c r="EN1210" s="344"/>
      <c r="EO1210" s="344"/>
      <c r="EP1210" s="22"/>
      <c r="EQ1210" s="22"/>
      <c r="ER1210" s="22"/>
      <c r="ES1210" s="344"/>
      <c r="ET1210" s="349"/>
      <c r="EU1210" s="344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T1210" s="27"/>
      <c r="FU1210" s="27"/>
    </row>
    <row r="1211" spans="24:177" s="9" customFormat="1" x14ac:dyDescent="0.2">
      <c r="X1211" s="50"/>
      <c r="AD1211" s="22"/>
      <c r="AW1211" s="8"/>
      <c r="AX1211" s="108"/>
      <c r="AY1211" s="102"/>
      <c r="AZ1211" s="109"/>
      <c r="BA1211" s="11"/>
      <c r="BB1211" s="9" t="s">
        <v>560</v>
      </c>
      <c r="BC1211" s="22">
        <v>316</v>
      </c>
      <c r="BD1211" s="22"/>
      <c r="CA1211" s="18"/>
      <c r="CD1211" s="22"/>
      <c r="CE1211" s="22"/>
      <c r="DH1211" s="22"/>
      <c r="DI1211" s="22"/>
      <c r="DJ1211" s="22"/>
      <c r="DK1211" s="344"/>
      <c r="DL1211" s="361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22"/>
      <c r="EG1211" s="22"/>
      <c r="EH1211" s="22"/>
      <c r="EI1211" s="22"/>
      <c r="EJ1211" s="22"/>
      <c r="EK1211" s="22"/>
      <c r="EL1211" s="22"/>
      <c r="EM1211" s="22"/>
      <c r="EN1211" s="344"/>
      <c r="EO1211" s="344"/>
      <c r="EP1211" s="22"/>
      <c r="EQ1211" s="22"/>
      <c r="ER1211" s="22"/>
      <c r="ES1211" s="344"/>
      <c r="ET1211" s="349"/>
      <c r="EU1211" s="344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T1211" s="27"/>
      <c r="FU1211" s="27"/>
    </row>
    <row r="1212" spans="24:177" s="9" customFormat="1" x14ac:dyDescent="0.2">
      <c r="X1212" s="50"/>
      <c r="AD1212" s="22"/>
      <c r="AW1212" s="8"/>
      <c r="AX1212" s="108"/>
      <c r="AY1212" s="102"/>
      <c r="AZ1212" s="109"/>
      <c r="BA1212" s="11"/>
      <c r="BB1212" s="9" t="s">
        <v>560</v>
      </c>
      <c r="BC1212" s="22">
        <v>317</v>
      </c>
      <c r="BD1212" s="22"/>
      <c r="CA1212" s="18"/>
      <c r="CD1212" s="22"/>
      <c r="CE1212" s="22"/>
      <c r="DH1212" s="22"/>
      <c r="DI1212" s="22"/>
      <c r="DJ1212" s="22"/>
      <c r="DK1212" s="344"/>
      <c r="DL1212" s="361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22"/>
      <c r="EG1212" s="22"/>
      <c r="EH1212" s="22"/>
      <c r="EI1212" s="22"/>
      <c r="EJ1212" s="22"/>
      <c r="EK1212" s="22"/>
      <c r="EL1212" s="22"/>
      <c r="EM1212" s="22"/>
      <c r="EN1212" s="344"/>
      <c r="EO1212" s="344"/>
      <c r="EP1212" s="22"/>
      <c r="EQ1212" s="22"/>
      <c r="ER1212" s="22"/>
      <c r="ES1212" s="344"/>
      <c r="ET1212" s="349"/>
      <c r="EU1212" s="344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T1212" s="27"/>
      <c r="FU1212" s="27"/>
    </row>
    <row r="1213" spans="24:177" s="9" customFormat="1" x14ac:dyDescent="0.2">
      <c r="X1213" s="50"/>
      <c r="AD1213" s="22"/>
      <c r="AW1213" s="8"/>
      <c r="AX1213" s="108"/>
      <c r="AY1213" s="102"/>
      <c r="AZ1213" s="109"/>
      <c r="BA1213" s="11"/>
      <c r="BB1213" s="9" t="s">
        <v>560</v>
      </c>
      <c r="BC1213" s="22">
        <v>318</v>
      </c>
      <c r="BD1213" s="22"/>
      <c r="CA1213" s="18"/>
      <c r="CD1213" s="22"/>
      <c r="CE1213" s="22"/>
      <c r="DH1213" s="22"/>
      <c r="DI1213" s="22"/>
      <c r="DJ1213" s="22"/>
      <c r="DK1213" s="344"/>
      <c r="DL1213" s="361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22"/>
      <c r="EG1213" s="22"/>
      <c r="EH1213" s="22"/>
      <c r="EI1213" s="22"/>
      <c r="EJ1213" s="22"/>
      <c r="EK1213" s="22"/>
      <c r="EL1213" s="22"/>
      <c r="EM1213" s="22"/>
      <c r="EN1213" s="344"/>
      <c r="EO1213" s="344"/>
      <c r="EP1213" s="22"/>
      <c r="EQ1213" s="22"/>
      <c r="ER1213" s="22"/>
      <c r="ES1213" s="344"/>
      <c r="ET1213" s="349"/>
      <c r="EU1213" s="344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T1213" s="27"/>
      <c r="FU1213" s="27"/>
    </row>
    <row r="1214" spans="24:177" s="9" customFormat="1" x14ac:dyDescent="0.2">
      <c r="X1214" s="50"/>
      <c r="AD1214" s="22"/>
      <c r="AW1214" s="8"/>
      <c r="AX1214" s="108"/>
      <c r="AY1214" s="102"/>
      <c r="AZ1214" s="109"/>
      <c r="BA1214" s="11"/>
      <c r="BB1214" s="9" t="s">
        <v>560</v>
      </c>
      <c r="BC1214" s="22">
        <v>319</v>
      </c>
      <c r="BD1214" s="22"/>
      <c r="CA1214" s="18"/>
      <c r="CD1214" s="22"/>
      <c r="CE1214" s="22"/>
      <c r="DH1214" s="22"/>
      <c r="DI1214" s="22"/>
      <c r="DJ1214" s="22"/>
      <c r="DK1214" s="344"/>
      <c r="DL1214" s="361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22"/>
      <c r="EG1214" s="22"/>
      <c r="EH1214" s="22"/>
      <c r="EI1214" s="22"/>
      <c r="EJ1214" s="22"/>
      <c r="EK1214" s="22"/>
      <c r="EL1214" s="22"/>
      <c r="EM1214" s="22"/>
      <c r="EN1214" s="344"/>
      <c r="EO1214" s="344"/>
      <c r="EP1214" s="22"/>
      <c r="EQ1214" s="22"/>
      <c r="ER1214" s="22"/>
      <c r="ES1214" s="344"/>
      <c r="ET1214" s="349"/>
      <c r="EU1214" s="344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T1214" s="27"/>
      <c r="FU1214" s="27"/>
    </row>
    <row r="1215" spans="24:177" s="9" customFormat="1" x14ac:dyDescent="0.2">
      <c r="X1215" s="50"/>
      <c r="AD1215" s="22"/>
      <c r="AW1215" s="8"/>
      <c r="AX1215" s="108"/>
      <c r="AY1215" s="102"/>
      <c r="AZ1215" s="109"/>
      <c r="BA1215" s="11"/>
      <c r="BB1215" s="9" t="s">
        <v>560</v>
      </c>
      <c r="BC1215" s="22">
        <v>320</v>
      </c>
      <c r="BD1215" s="22"/>
      <c r="CA1215" s="18"/>
      <c r="CD1215" s="22"/>
      <c r="CE1215" s="22"/>
      <c r="DH1215" s="22"/>
      <c r="DI1215" s="22"/>
      <c r="DJ1215" s="22"/>
      <c r="DK1215" s="344"/>
      <c r="DL1215" s="361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22"/>
      <c r="EG1215" s="22"/>
      <c r="EH1215" s="22"/>
      <c r="EI1215" s="22"/>
      <c r="EJ1215" s="22"/>
      <c r="EK1215" s="22"/>
      <c r="EL1215" s="22"/>
      <c r="EM1215" s="22"/>
      <c r="EN1215" s="344"/>
      <c r="EO1215" s="344"/>
      <c r="EP1215" s="22"/>
      <c r="EQ1215" s="22"/>
      <c r="ER1215" s="22"/>
      <c r="ES1215" s="344"/>
      <c r="ET1215" s="349"/>
      <c r="EU1215" s="344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T1215" s="27"/>
      <c r="FU1215" s="27"/>
    </row>
    <row r="1216" spans="24:177" s="9" customFormat="1" x14ac:dyDescent="0.2">
      <c r="X1216" s="50"/>
      <c r="AD1216" s="22"/>
      <c r="AW1216" s="8"/>
      <c r="AX1216" s="108"/>
      <c r="AY1216" s="102"/>
      <c r="AZ1216" s="109"/>
      <c r="BA1216" s="11"/>
      <c r="BB1216" s="9" t="s">
        <v>560</v>
      </c>
      <c r="BC1216" s="22">
        <v>321</v>
      </c>
      <c r="BD1216" s="22"/>
      <c r="CA1216" s="18"/>
      <c r="CD1216" s="22"/>
      <c r="CE1216" s="22"/>
      <c r="DH1216" s="22"/>
      <c r="DI1216" s="22"/>
      <c r="DJ1216" s="22"/>
      <c r="DK1216" s="344"/>
      <c r="DL1216" s="361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22"/>
      <c r="EG1216" s="22"/>
      <c r="EH1216" s="22"/>
      <c r="EI1216" s="22"/>
      <c r="EJ1216" s="22"/>
      <c r="EK1216" s="22"/>
      <c r="EL1216" s="22"/>
      <c r="EM1216" s="22"/>
      <c r="EN1216" s="344"/>
      <c r="EO1216" s="344"/>
      <c r="EP1216" s="22"/>
      <c r="EQ1216" s="22"/>
      <c r="ER1216" s="22"/>
      <c r="ES1216" s="344"/>
      <c r="ET1216" s="349"/>
      <c r="EU1216" s="344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T1216" s="27"/>
      <c r="FU1216" s="27"/>
    </row>
    <row r="1217" spans="24:177" s="9" customFormat="1" x14ac:dyDescent="0.2">
      <c r="X1217" s="50"/>
      <c r="AD1217" s="22"/>
      <c r="AW1217" s="8"/>
      <c r="AX1217" s="108"/>
      <c r="AY1217" s="102"/>
      <c r="AZ1217" s="109"/>
      <c r="BA1217" s="11"/>
      <c r="BB1217" s="9" t="s">
        <v>560</v>
      </c>
      <c r="BC1217" s="22">
        <v>322</v>
      </c>
      <c r="BD1217" s="22"/>
      <c r="CA1217" s="18"/>
      <c r="CD1217" s="22"/>
      <c r="CE1217" s="22"/>
      <c r="DH1217" s="22"/>
      <c r="DI1217" s="22"/>
      <c r="DJ1217" s="22"/>
      <c r="DK1217" s="344"/>
      <c r="DL1217" s="361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22"/>
      <c r="EG1217" s="22"/>
      <c r="EH1217" s="22"/>
      <c r="EI1217" s="22"/>
      <c r="EJ1217" s="22"/>
      <c r="EK1217" s="22"/>
      <c r="EL1217" s="22"/>
      <c r="EM1217" s="22"/>
      <c r="EN1217" s="344"/>
      <c r="EO1217" s="344"/>
      <c r="EP1217" s="22"/>
      <c r="EQ1217" s="22"/>
      <c r="ER1217" s="22"/>
      <c r="ES1217" s="344"/>
      <c r="ET1217" s="349"/>
      <c r="EU1217" s="344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T1217" s="27"/>
      <c r="FU1217" s="27"/>
    </row>
    <row r="1218" spans="24:177" s="9" customFormat="1" x14ac:dyDescent="0.2">
      <c r="X1218" s="50"/>
      <c r="AD1218" s="22"/>
      <c r="AW1218" s="8"/>
      <c r="AX1218" s="108"/>
      <c r="AY1218" s="102"/>
      <c r="AZ1218" s="109"/>
      <c r="BA1218" s="11"/>
      <c r="BB1218" s="9" t="s">
        <v>560</v>
      </c>
      <c r="BC1218" s="22">
        <v>323</v>
      </c>
      <c r="BD1218" s="22"/>
      <c r="CA1218" s="18"/>
      <c r="CD1218" s="22"/>
      <c r="CE1218" s="22"/>
      <c r="DH1218" s="22"/>
      <c r="DI1218" s="22"/>
      <c r="DJ1218" s="22"/>
      <c r="DK1218" s="344"/>
      <c r="DL1218" s="361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22"/>
      <c r="EG1218" s="22"/>
      <c r="EH1218" s="22"/>
      <c r="EI1218" s="22"/>
      <c r="EJ1218" s="22"/>
      <c r="EK1218" s="22"/>
      <c r="EL1218" s="22"/>
      <c r="EM1218" s="22"/>
      <c r="EN1218" s="344"/>
      <c r="EO1218" s="344"/>
      <c r="EP1218" s="22"/>
      <c r="EQ1218" s="22"/>
      <c r="ER1218" s="22"/>
      <c r="ES1218" s="344"/>
      <c r="ET1218" s="349"/>
      <c r="EU1218" s="344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T1218" s="27"/>
      <c r="FU1218" s="27"/>
    </row>
    <row r="1219" spans="24:177" s="9" customFormat="1" x14ac:dyDescent="0.2">
      <c r="X1219" s="50"/>
      <c r="AD1219" s="22"/>
      <c r="AW1219" s="8"/>
      <c r="AX1219" s="108"/>
      <c r="AY1219" s="102"/>
      <c r="AZ1219" s="109"/>
      <c r="BA1219" s="11"/>
      <c r="BB1219" s="9" t="s">
        <v>560</v>
      </c>
      <c r="BC1219" s="22">
        <v>324</v>
      </c>
      <c r="BD1219" s="22"/>
      <c r="CA1219" s="18"/>
      <c r="CD1219" s="22"/>
      <c r="CE1219" s="22"/>
      <c r="DH1219" s="22"/>
      <c r="DI1219" s="22"/>
      <c r="DJ1219" s="22"/>
      <c r="DK1219" s="344"/>
      <c r="DL1219" s="361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22"/>
      <c r="EG1219" s="22"/>
      <c r="EH1219" s="22"/>
      <c r="EI1219" s="22"/>
      <c r="EJ1219" s="22"/>
      <c r="EK1219" s="22"/>
      <c r="EL1219" s="22"/>
      <c r="EM1219" s="22"/>
      <c r="EN1219" s="344"/>
      <c r="EO1219" s="344"/>
      <c r="EP1219" s="22"/>
      <c r="EQ1219" s="22"/>
      <c r="ER1219" s="22"/>
      <c r="ES1219" s="344"/>
      <c r="ET1219" s="349"/>
      <c r="EU1219" s="344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T1219" s="27"/>
      <c r="FU1219" s="27"/>
    </row>
    <row r="1220" spans="24:177" s="9" customFormat="1" x14ac:dyDescent="0.2">
      <c r="X1220" s="50"/>
      <c r="AD1220" s="22"/>
      <c r="AW1220" s="8"/>
      <c r="AX1220" s="108"/>
      <c r="AY1220" s="102"/>
      <c r="AZ1220" s="109"/>
      <c r="BA1220" s="11"/>
      <c r="BB1220" s="9" t="s">
        <v>560</v>
      </c>
      <c r="BC1220" s="22">
        <v>325</v>
      </c>
      <c r="BD1220" s="22"/>
      <c r="CA1220" s="18"/>
      <c r="CD1220" s="22"/>
      <c r="CE1220" s="22"/>
      <c r="DH1220" s="22"/>
      <c r="DI1220" s="22"/>
      <c r="DJ1220" s="22"/>
      <c r="DK1220" s="344"/>
      <c r="DL1220" s="361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22"/>
      <c r="EG1220" s="22"/>
      <c r="EH1220" s="22"/>
      <c r="EI1220" s="22"/>
      <c r="EJ1220" s="22"/>
      <c r="EK1220" s="22"/>
      <c r="EL1220" s="22"/>
      <c r="EM1220" s="22"/>
      <c r="EN1220" s="344"/>
      <c r="EO1220" s="344"/>
      <c r="EP1220" s="22"/>
      <c r="EQ1220" s="22"/>
      <c r="ER1220" s="22"/>
      <c r="ES1220" s="344"/>
      <c r="ET1220" s="349"/>
      <c r="EU1220" s="344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T1220" s="27"/>
      <c r="FU1220" s="27"/>
    </row>
    <row r="1221" spans="24:177" s="9" customFormat="1" x14ac:dyDescent="0.2">
      <c r="X1221" s="50"/>
      <c r="AD1221" s="22"/>
      <c r="AW1221" s="8"/>
      <c r="AX1221" s="108"/>
      <c r="AY1221" s="102"/>
      <c r="BB1221" s="9" t="s">
        <v>560</v>
      </c>
      <c r="BC1221" s="22">
        <v>326</v>
      </c>
      <c r="BD1221" s="22"/>
      <c r="CA1221" s="18"/>
      <c r="CD1221" s="22"/>
      <c r="CE1221" s="22"/>
      <c r="DH1221" s="22"/>
      <c r="DI1221" s="22"/>
      <c r="DJ1221" s="22"/>
      <c r="DK1221" s="344"/>
      <c r="DL1221" s="361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22"/>
      <c r="EG1221" s="22"/>
      <c r="EH1221" s="22"/>
      <c r="EI1221" s="22"/>
      <c r="EJ1221" s="22"/>
      <c r="EK1221" s="22"/>
      <c r="EL1221" s="22"/>
      <c r="EM1221" s="22"/>
      <c r="EN1221" s="344"/>
      <c r="EO1221" s="344"/>
      <c r="EP1221" s="22"/>
      <c r="EQ1221" s="22"/>
      <c r="ER1221" s="22"/>
      <c r="ES1221" s="344"/>
      <c r="ET1221" s="349"/>
      <c r="EU1221" s="344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T1221" s="27"/>
      <c r="FU1221" s="27"/>
    </row>
    <row r="1222" spans="24:177" s="9" customFormat="1" x14ac:dyDescent="0.2">
      <c r="X1222" s="50"/>
      <c r="AD1222" s="22"/>
      <c r="AW1222" s="8"/>
      <c r="AX1222" s="108"/>
      <c r="AY1222" s="102"/>
      <c r="AZ1222" s="109"/>
      <c r="BA1222" s="11"/>
      <c r="BB1222" s="9" t="s">
        <v>560</v>
      </c>
      <c r="BC1222" s="22">
        <v>327</v>
      </c>
      <c r="BD1222" s="22"/>
      <c r="CA1222" s="18"/>
      <c r="CD1222" s="22"/>
      <c r="CE1222" s="22"/>
      <c r="DH1222" s="22"/>
      <c r="DI1222" s="22"/>
      <c r="DJ1222" s="22"/>
      <c r="DK1222" s="344"/>
      <c r="DL1222" s="361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22"/>
      <c r="EG1222" s="22"/>
      <c r="EH1222" s="22"/>
      <c r="EI1222" s="22"/>
      <c r="EJ1222" s="22"/>
      <c r="EK1222" s="22"/>
      <c r="EL1222" s="22"/>
      <c r="EM1222" s="22"/>
      <c r="EN1222" s="344"/>
      <c r="EO1222" s="344"/>
      <c r="EP1222" s="22"/>
      <c r="EQ1222" s="22"/>
      <c r="ER1222" s="22"/>
      <c r="ES1222" s="344"/>
      <c r="ET1222" s="349"/>
      <c r="EU1222" s="344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T1222" s="27"/>
      <c r="FU1222" s="27"/>
    </row>
    <row r="1223" spans="24:177" s="9" customFormat="1" x14ac:dyDescent="0.2">
      <c r="X1223" s="50"/>
      <c r="AD1223" s="22"/>
      <c r="AW1223" s="8"/>
      <c r="AX1223" s="108"/>
      <c r="AY1223" s="102"/>
      <c r="AZ1223" s="109"/>
      <c r="BA1223" s="11"/>
      <c r="BB1223" s="9" t="s">
        <v>560</v>
      </c>
      <c r="BC1223" s="22">
        <v>328</v>
      </c>
      <c r="BD1223" s="22"/>
      <c r="CA1223" s="18"/>
      <c r="CD1223" s="22"/>
      <c r="CE1223" s="22"/>
      <c r="DH1223" s="22"/>
      <c r="DI1223" s="22"/>
      <c r="DJ1223" s="22"/>
      <c r="DK1223" s="344"/>
      <c r="DL1223" s="361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22"/>
      <c r="EG1223" s="22"/>
      <c r="EH1223" s="22"/>
      <c r="EI1223" s="22"/>
      <c r="EJ1223" s="22"/>
      <c r="EK1223" s="22"/>
      <c r="EL1223" s="22"/>
      <c r="EM1223" s="22"/>
      <c r="EN1223" s="344"/>
      <c r="EO1223" s="344"/>
      <c r="EP1223" s="22"/>
      <c r="EQ1223" s="22"/>
      <c r="ER1223" s="22"/>
      <c r="ES1223" s="344"/>
      <c r="ET1223" s="349"/>
      <c r="EU1223" s="344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T1223" s="27"/>
      <c r="FU1223" s="27"/>
    </row>
    <row r="1224" spans="24:177" s="9" customFormat="1" x14ac:dyDescent="0.2">
      <c r="X1224" s="50"/>
      <c r="AD1224" s="22"/>
      <c r="AW1224" s="8"/>
      <c r="AX1224" s="108"/>
      <c r="AY1224" s="102"/>
      <c r="AZ1224" s="109"/>
      <c r="BA1224" s="11"/>
      <c r="BB1224" s="9" t="s">
        <v>560</v>
      </c>
      <c r="BC1224" s="22">
        <v>329</v>
      </c>
      <c r="BD1224" s="22"/>
      <c r="CA1224" s="18"/>
      <c r="CD1224" s="22"/>
      <c r="CE1224" s="22"/>
      <c r="DH1224" s="22"/>
      <c r="DI1224" s="22"/>
      <c r="DJ1224" s="22"/>
      <c r="DK1224" s="344"/>
      <c r="DL1224" s="361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22"/>
      <c r="EG1224" s="22"/>
      <c r="EH1224" s="22"/>
      <c r="EI1224" s="22"/>
      <c r="EJ1224" s="22"/>
      <c r="EK1224" s="22"/>
      <c r="EL1224" s="22"/>
      <c r="EM1224" s="22"/>
      <c r="EN1224" s="344"/>
      <c r="EO1224" s="344"/>
      <c r="EP1224" s="22"/>
      <c r="EQ1224" s="22"/>
      <c r="ER1224" s="22"/>
      <c r="ES1224" s="344"/>
      <c r="ET1224" s="349"/>
      <c r="EU1224" s="344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T1224" s="27"/>
      <c r="FU1224" s="27"/>
    </row>
    <row r="1225" spans="24:177" s="9" customFormat="1" x14ac:dyDescent="0.2">
      <c r="X1225" s="50"/>
      <c r="AD1225" s="22"/>
      <c r="AW1225" s="8"/>
      <c r="AX1225" s="108"/>
      <c r="AY1225" s="102"/>
      <c r="AZ1225" s="109"/>
      <c r="BA1225" s="11"/>
      <c r="BB1225" s="9" t="s">
        <v>560</v>
      </c>
      <c r="BC1225" s="22">
        <v>330</v>
      </c>
      <c r="BD1225" s="22"/>
      <c r="CA1225" s="18"/>
      <c r="CD1225" s="22"/>
      <c r="CE1225" s="22"/>
      <c r="DH1225" s="22"/>
      <c r="DI1225" s="22"/>
      <c r="DJ1225" s="22"/>
      <c r="DK1225" s="344"/>
      <c r="DL1225" s="361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22"/>
      <c r="EG1225" s="22"/>
      <c r="EH1225" s="22"/>
      <c r="EI1225" s="22"/>
      <c r="EJ1225" s="22"/>
      <c r="EK1225" s="22"/>
      <c r="EL1225" s="22"/>
      <c r="EM1225" s="22"/>
      <c r="EN1225" s="344"/>
      <c r="EO1225" s="344"/>
      <c r="EP1225" s="22"/>
      <c r="EQ1225" s="22"/>
      <c r="ER1225" s="22"/>
      <c r="ES1225" s="344"/>
      <c r="ET1225" s="349"/>
      <c r="EU1225" s="344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T1225" s="27"/>
      <c r="FU1225" s="27"/>
    </row>
    <row r="1226" spans="24:177" s="9" customFormat="1" x14ac:dyDescent="0.2">
      <c r="X1226" s="50"/>
      <c r="AD1226" s="22"/>
      <c r="AW1226" s="8"/>
      <c r="AX1226" s="108"/>
      <c r="AY1226" s="102"/>
      <c r="AZ1226" s="109"/>
      <c r="BA1226" s="11"/>
      <c r="BB1226" s="9" t="s">
        <v>560</v>
      </c>
      <c r="BC1226" s="22">
        <v>331</v>
      </c>
      <c r="BD1226" s="22"/>
      <c r="CA1226" s="18"/>
      <c r="CD1226" s="22"/>
      <c r="CE1226" s="22"/>
      <c r="DH1226" s="22"/>
      <c r="DI1226" s="22"/>
      <c r="DJ1226" s="22"/>
      <c r="DK1226" s="344"/>
      <c r="DL1226" s="361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22"/>
      <c r="EG1226" s="22"/>
      <c r="EH1226" s="22"/>
      <c r="EI1226" s="22"/>
      <c r="EJ1226" s="22"/>
      <c r="EK1226" s="22"/>
      <c r="EL1226" s="22"/>
      <c r="EM1226" s="22"/>
      <c r="EN1226" s="344"/>
      <c r="EO1226" s="344"/>
      <c r="EP1226" s="22"/>
      <c r="EQ1226" s="22"/>
      <c r="ER1226" s="22"/>
      <c r="ES1226" s="344"/>
      <c r="ET1226" s="349"/>
      <c r="EU1226" s="344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T1226" s="27"/>
      <c r="FU1226" s="27"/>
    </row>
    <row r="1227" spans="24:177" s="9" customFormat="1" x14ac:dyDescent="0.2">
      <c r="X1227" s="50"/>
      <c r="AD1227" s="22"/>
      <c r="AW1227" s="8"/>
      <c r="AX1227" s="108"/>
      <c r="AY1227" s="102"/>
      <c r="AZ1227" s="109"/>
      <c r="BA1227" s="11"/>
      <c r="BB1227" s="9" t="s">
        <v>560</v>
      </c>
      <c r="BC1227" s="22">
        <v>332</v>
      </c>
      <c r="BD1227" s="22"/>
      <c r="CA1227" s="18"/>
      <c r="CD1227" s="22"/>
      <c r="CE1227" s="22"/>
      <c r="DH1227" s="22"/>
      <c r="DI1227" s="22"/>
      <c r="DJ1227" s="22"/>
      <c r="DK1227" s="344"/>
      <c r="DL1227" s="361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22"/>
      <c r="EG1227" s="22"/>
      <c r="EH1227" s="22"/>
      <c r="EI1227" s="22"/>
      <c r="EJ1227" s="22"/>
      <c r="EK1227" s="22"/>
      <c r="EL1227" s="22"/>
      <c r="EM1227" s="22"/>
      <c r="EN1227" s="344"/>
      <c r="EO1227" s="344"/>
      <c r="EP1227" s="22"/>
      <c r="EQ1227" s="22"/>
      <c r="ER1227" s="22"/>
      <c r="ES1227" s="344"/>
      <c r="ET1227" s="349"/>
      <c r="EU1227" s="344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T1227" s="27"/>
      <c r="FU1227" s="27"/>
    </row>
    <row r="1228" spans="24:177" s="9" customFormat="1" x14ac:dyDescent="0.2">
      <c r="X1228" s="50"/>
      <c r="AD1228" s="22"/>
      <c r="AW1228" s="8"/>
      <c r="AX1228" s="108"/>
      <c r="AY1228" s="102"/>
      <c r="AZ1228" s="109"/>
      <c r="BA1228" s="11"/>
      <c r="BB1228" s="9" t="s">
        <v>560</v>
      </c>
      <c r="BC1228" s="22">
        <v>333</v>
      </c>
      <c r="BD1228" s="22"/>
      <c r="CA1228" s="18"/>
      <c r="CD1228" s="22"/>
      <c r="CE1228" s="22"/>
      <c r="DH1228" s="22"/>
      <c r="DI1228" s="22"/>
      <c r="DJ1228" s="22"/>
      <c r="DK1228" s="344"/>
      <c r="DL1228" s="361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22"/>
      <c r="EG1228" s="22"/>
      <c r="EH1228" s="22"/>
      <c r="EI1228" s="22"/>
      <c r="EJ1228" s="22"/>
      <c r="EK1228" s="22"/>
      <c r="EL1228" s="22"/>
      <c r="EM1228" s="22"/>
      <c r="EN1228" s="344"/>
      <c r="EO1228" s="344"/>
      <c r="EP1228" s="22"/>
      <c r="EQ1228" s="22"/>
      <c r="ER1228" s="22"/>
      <c r="ES1228" s="344"/>
      <c r="ET1228" s="349"/>
      <c r="EU1228" s="344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T1228" s="27"/>
      <c r="FU1228" s="27"/>
    </row>
    <row r="1229" spans="24:177" s="9" customFormat="1" x14ac:dyDescent="0.2">
      <c r="X1229" s="50"/>
      <c r="AD1229" s="22"/>
      <c r="AW1229" s="8"/>
      <c r="AX1229" s="108"/>
      <c r="AY1229" s="102"/>
      <c r="AZ1229" s="109"/>
      <c r="BA1229" s="11"/>
      <c r="BB1229" s="9" t="s">
        <v>560</v>
      </c>
      <c r="BC1229" s="22">
        <v>334</v>
      </c>
      <c r="BD1229" s="22"/>
      <c r="CA1229" s="18"/>
      <c r="CD1229" s="22"/>
      <c r="CE1229" s="22"/>
      <c r="DH1229" s="22"/>
      <c r="DI1229" s="22"/>
      <c r="DJ1229" s="22"/>
      <c r="DK1229" s="344"/>
      <c r="DL1229" s="361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22"/>
      <c r="EG1229" s="22"/>
      <c r="EH1229" s="22"/>
      <c r="EI1229" s="22"/>
      <c r="EJ1229" s="22"/>
      <c r="EK1229" s="22"/>
      <c r="EL1229" s="22"/>
      <c r="EM1229" s="22"/>
      <c r="EN1229" s="344"/>
      <c r="EO1229" s="344"/>
      <c r="EP1229" s="22"/>
      <c r="EQ1229" s="22"/>
      <c r="ER1229" s="22"/>
      <c r="ES1229" s="344"/>
      <c r="ET1229" s="349"/>
      <c r="EU1229" s="344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T1229" s="27"/>
      <c r="FU1229" s="27"/>
    </row>
    <row r="1230" spans="24:177" s="9" customFormat="1" x14ac:dyDescent="0.2">
      <c r="X1230" s="50"/>
      <c r="AD1230" s="22"/>
      <c r="AW1230" s="8"/>
      <c r="AX1230" s="108"/>
      <c r="AY1230" s="102"/>
      <c r="AZ1230" s="109"/>
      <c r="BA1230" s="11"/>
      <c r="BB1230" s="9" t="s">
        <v>560</v>
      </c>
      <c r="BC1230" s="22">
        <v>335</v>
      </c>
      <c r="BD1230" s="22"/>
      <c r="CA1230" s="18"/>
      <c r="CD1230" s="22"/>
      <c r="CE1230" s="22"/>
      <c r="DH1230" s="22"/>
      <c r="DI1230" s="22"/>
      <c r="DJ1230" s="22"/>
      <c r="DK1230" s="344"/>
      <c r="DL1230" s="361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22"/>
      <c r="EG1230" s="22"/>
      <c r="EH1230" s="22"/>
      <c r="EI1230" s="22"/>
      <c r="EJ1230" s="22"/>
      <c r="EK1230" s="22"/>
      <c r="EL1230" s="22"/>
      <c r="EM1230" s="22"/>
      <c r="EN1230" s="344"/>
      <c r="EO1230" s="344"/>
      <c r="EP1230" s="22"/>
      <c r="EQ1230" s="22"/>
      <c r="ER1230" s="22"/>
      <c r="ES1230" s="344"/>
      <c r="ET1230" s="349"/>
      <c r="EU1230" s="344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T1230" s="27"/>
      <c r="FU1230" s="27"/>
    </row>
    <row r="1231" spans="24:177" s="9" customFormat="1" x14ac:dyDescent="0.2">
      <c r="X1231" s="50"/>
      <c r="AD1231" s="22"/>
      <c r="AW1231" s="8"/>
      <c r="AX1231" s="108"/>
      <c r="AY1231" s="102"/>
      <c r="AZ1231" s="109"/>
      <c r="BA1231" s="11"/>
      <c r="BB1231" s="9" t="s">
        <v>560</v>
      </c>
      <c r="BC1231" s="22">
        <v>336</v>
      </c>
      <c r="BD1231" s="22"/>
      <c r="CA1231" s="18"/>
      <c r="CD1231" s="22"/>
      <c r="CE1231" s="22"/>
      <c r="DH1231" s="22"/>
      <c r="DI1231" s="22"/>
      <c r="DJ1231" s="22"/>
      <c r="DK1231" s="344"/>
      <c r="DL1231" s="361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22"/>
      <c r="EG1231" s="22"/>
      <c r="EH1231" s="22"/>
      <c r="EI1231" s="22"/>
      <c r="EJ1231" s="22"/>
      <c r="EK1231" s="22"/>
      <c r="EL1231" s="22"/>
      <c r="EM1231" s="22"/>
      <c r="EN1231" s="344"/>
      <c r="EO1231" s="344"/>
      <c r="EP1231" s="22"/>
      <c r="EQ1231" s="22"/>
      <c r="ER1231" s="22"/>
      <c r="ES1231" s="344"/>
      <c r="ET1231" s="349"/>
      <c r="EU1231" s="344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T1231" s="27"/>
      <c r="FU1231" s="27"/>
    </row>
    <row r="1232" spans="24:177" s="9" customFormat="1" x14ac:dyDescent="0.2">
      <c r="X1232" s="50"/>
      <c r="AD1232" s="22"/>
      <c r="AW1232" s="8"/>
      <c r="AX1232" s="108"/>
      <c r="AY1232" s="102"/>
      <c r="AZ1232" s="109"/>
      <c r="BA1232" s="11"/>
      <c r="BB1232" s="9" t="s">
        <v>560</v>
      </c>
      <c r="BC1232" s="22">
        <v>337</v>
      </c>
      <c r="BD1232" s="22"/>
      <c r="CA1232" s="18"/>
      <c r="CD1232" s="22"/>
      <c r="CE1232" s="22"/>
      <c r="DH1232" s="22"/>
      <c r="DI1232" s="22"/>
      <c r="DJ1232" s="22"/>
      <c r="DK1232" s="344"/>
      <c r="DL1232" s="361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22"/>
      <c r="EG1232" s="22"/>
      <c r="EH1232" s="22"/>
      <c r="EI1232" s="22"/>
      <c r="EJ1232" s="22"/>
      <c r="EK1232" s="22"/>
      <c r="EL1232" s="22"/>
      <c r="EM1232" s="22"/>
      <c r="EN1232" s="344"/>
      <c r="EO1232" s="344"/>
      <c r="EP1232" s="22"/>
      <c r="EQ1232" s="22"/>
      <c r="ER1232" s="22"/>
      <c r="ES1232" s="344"/>
      <c r="ET1232" s="349"/>
      <c r="EU1232" s="344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T1232" s="27"/>
      <c r="FU1232" s="27"/>
    </row>
    <row r="1233" spans="24:177" s="9" customFormat="1" x14ac:dyDescent="0.2">
      <c r="X1233" s="50"/>
      <c r="AD1233" s="22"/>
      <c r="AW1233" s="8"/>
      <c r="AX1233" s="108"/>
      <c r="AY1233" s="102"/>
      <c r="AZ1233" s="109"/>
      <c r="BA1233" s="11"/>
      <c r="BB1233" s="9" t="s">
        <v>560</v>
      </c>
      <c r="BC1233" s="22">
        <v>338</v>
      </c>
      <c r="BD1233" s="22"/>
      <c r="CA1233" s="18"/>
      <c r="CD1233" s="22"/>
      <c r="CE1233" s="22"/>
      <c r="DH1233" s="22"/>
      <c r="DI1233" s="22"/>
      <c r="DJ1233" s="22"/>
      <c r="DK1233" s="344"/>
      <c r="DL1233" s="361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22"/>
      <c r="EG1233" s="22"/>
      <c r="EH1233" s="22"/>
      <c r="EI1233" s="22"/>
      <c r="EJ1233" s="22"/>
      <c r="EK1233" s="22"/>
      <c r="EL1233" s="22"/>
      <c r="EM1233" s="22"/>
      <c r="EN1233" s="344"/>
      <c r="EO1233" s="344"/>
      <c r="EP1233" s="22"/>
      <c r="EQ1233" s="22"/>
      <c r="ER1233" s="22"/>
      <c r="ES1233" s="344"/>
      <c r="ET1233" s="349"/>
      <c r="EU1233" s="344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T1233" s="27"/>
      <c r="FU1233" s="27"/>
    </row>
    <row r="1234" spans="24:177" s="9" customFormat="1" x14ac:dyDescent="0.2">
      <c r="X1234" s="50"/>
      <c r="AD1234" s="22"/>
      <c r="AW1234" s="8"/>
      <c r="AX1234" s="108"/>
      <c r="AY1234" s="102"/>
      <c r="AZ1234" s="109"/>
      <c r="BA1234" s="11"/>
      <c r="BB1234" s="9" t="s">
        <v>560</v>
      </c>
      <c r="BC1234" s="22">
        <v>339</v>
      </c>
      <c r="BD1234" s="22"/>
      <c r="CA1234" s="18"/>
      <c r="CD1234" s="22"/>
      <c r="CE1234" s="22"/>
      <c r="DH1234" s="22"/>
      <c r="DI1234" s="22"/>
      <c r="DJ1234" s="22"/>
      <c r="DK1234" s="344"/>
      <c r="DL1234" s="361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22"/>
      <c r="EG1234" s="22"/>
      <c r="EH1234" s="22"/>
      <c r="EI1234" s="22"/>
      <c r="EJ1234" s="22"/>
      <c r="EK1234" s="22"/>
      <c r="EL1234" s="22"/>
      <c r="EM1234" s="22"/>
      <c r="EN1234" s="344"/>
      <c r="EO1234" s="344"/>
      <c r="EP1234" s="22"/>
      <c r="EQ1234" s="22"/>
      <c r="ER1234" s="22"/>
      <c r="ES1234" s="344"/>
      <c r="ET1234" s="349"/>
      <c r="EU1234" s="344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T1234" s="27"/>
      <c r="FU1234" s="27"/>
    </row>
    <row r="1235" spans="24:177" s="9" customFormat="1" x14ac:dyDescent="0.2">
      <c r="X1235" s="50"/>
      <c r="AD1235" s="22"/>
      <c r="AW1235" s="8"/>
      <c r="AX1235" s="108"/>
      <c r="AY1235" s="102"/>
      <c r="AZ1235" s="109"/>
      <c r="BA1235" s="11"/>
      <c r="BB1235" s="9" t="s">
        <v>560</v>
      </c>
      <c r="BC1235" s="22">
        <v>340</v>
      </c>
      <c r="BD1235" s="22"/>
      <c r="CA1235" s="18"/>
      <c r="CD1235" s="22"/>
      <c r="CE1235" s="22"/>
      <c r="DH1235" s="22"/>
      <c r="DI1235" s="22"/>
      <c r="DJ1235" s="22"/>
      <c r="DK1235" s="344"/>
      <c r="DL1235" s="361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22"/>
      <c r="EG1235" s="22"/>
      <c r="EH1235" s="22"/>
      <c r="EI1235" s="22"/>
      <c r="EJ1235" s="22"/>
      <c r="EK1235" s="22"/>
      <c r="EL1235" s="22"/>
      <c r="EM1235" s="22"/>
      <c r="EN1235" s="344"/>
      <c r="EO1235" s="344"/>
      <c r="EP1235" s="22"/>
      <c r="EQ1235" s="22"/>
      <c r="ER1235" s="22"/>
      <c r="ES1235" s="344"/>
      <c r="ET1235" s="349"/>
      <c r="EU1235" s="344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T1235" s="27"/>
      <c r="FU1235" s="27"/>
    </row>
    <row r="1236" spans="24:177" s="9" customFormat="1" x14ac:dyDescent="0.2">
      <c r="X1236" s="50"/>
      <c r="AD1236" s="22"/>
      <c r="AW1236" s="8"/>
      <c r="AX1236" s="108"/>
      <c r="AY1236" s="102"/>
      <c r="AZ1236" s="109"/>
      <c r="BA1236" s="11"/>
      <c r="BB1236" s="9" t="s">
        <v>560</v>
      </c>
      <c r="BC1236" s="22">
        <v>341</v>
      </c>
      <c r="BD1236" s="22"/>
      <c r="CA1236" s="18"/>
      <c r="CD1236" s="22"/>
      <c r="CE1236" s="22"/>
      <c r="DH1236" s="22"/>
      <c r="DI1236" s="22"/>
      <c r="DJ1236" s="22"/>
      <c r="DK1236" s="344"/>
      <c r="DL1236" s="361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22"/>
      <c r="EG1236" s="22"/>
      <c r="EH1236" s="22"/>
      <c r="EI1236" s="22"/>
      <c r="EJ1236" s="22"/>
      <c r="EK1236" s="22"/>
      <c r="EL1236" s="22"/>
      <c r="EM1236" s="22"/>
      <c r="EN1236" s="344"/>
      <c r="EO1236" s="344"/>
      <c r="EP1236" s="22"/>
      <c r="EQ1236" s="22"/>
      <c r="ER1236" s="22"/>
      <c r="ES1236" s="344"/>
      <c r="ET1236" s="349"/>
      <c r="EU1236" s="344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T1236" s="27"/>
      <c r="FU1236" s="27"/>
    </row>
    <row r="1237" spans="24:177" x14ac:dyDescent="0.2">
      <c r="AC1237" s="9"/>
      <c r="AD1237" s="22"/>
      <c r="BB1237" s="9" t="s">
        <v>560</v>
      </c>
      <c r="BC1237" s="22">
        <v>342</v>
      </c>
    </row>
    <row r="1238" spans="24:177" x14ac:dyDescent="0.2">
      <c r="AC1238" s="9"/>
      <c r="AD1238" s="22"/>
      <c r="BB1238" s="9" t="s">
        <v>560</v>
      </c>
      <c r="BC1238" s="22">
        <v>343</v>
      </c>
    </row>
    <row r="1239" spans="24:177" x14ac:dyDescent="0.2">
      <c r="AC1239" s="9"/>
      <c r="AD1239" s="22"/>
      <c r="BB1239" s="9" t="s">
        <v>560</v>
      </c>
      <c r="BC1239" s="22">
        <v>344</v>
      </c>
    </row>
    <row r="1240" spans="24:177" x14ac:dyDescent="0.2">
      <c r="AC1240" s="9"/>
      <c r="AD1240" s="22"/>
      <c r="BB1240" s="9" t="s">
        <v>560</v>
      </c>
      <c r="BC1240" s="22">
        <v>345</v>
      </c>
    </row>
    <row r="1241" spans="24:177" x14ac:dyDescent="0.2">
      <c r="AC1241" s="9"/>
      <c r="AD1241" s="22"/>
      <c r="BB1241" s="9" t="s">
        <v>560</v>
      </c>
      <c r="BC1241" s="22">
        <v>346</v>
      </c>
    </row>
    <row r="1242" spans="24:177" x14ac:dyDescent="0.2">
      <c r="AC1242" s="9"/>
      <c r="AD1242" s="22"/>
      <c r="BB1242" s="9" t="s">
        <v>560</v>
      </c>
      <c r="BC1242" s="22">
        <v>347</v>
      </c>
    </row>
    <row r="1243" spans="24:177" x14ac:dyDescent="0.2">
      <c r="AC1243" s="9"/>
      <c r="AD1243" s="22"/>
      <c r="BB1243" s="9" t="s">
        <v>560</v>
      </c>
      <c r="BC1243" s="22">
        <v>348</v>
      </c>
    </row>
    <row r="1244" spans="24:177" x14ac:dyDescent="0.2">
      <c r="AC1244" s="9"/>
      <c r="AD1244" s="22"/>
      <c r="BB1244" s="9" t="s">
        <v>560</v>
      </c>
      <c r="BC1244" s="22">
        <v>349</v>
      </c>
    </row>
    <row r="1245" spans="24:177" x14ac:dyDescent="0.2">
      <c r="AC1245" s="9"/>
      <c r="AD1245" s="22"/>
      <c r="BB1245" s="9" t="s">
        <v>560</v>
      </c>
      <c r="BC1245" s="22">
        <v>350</v>
      </c>
    </row>
    <row r="1246" spans="24:177" x14ac:dyDescent="0.2">
      <c r="AC1246" s="9"/>
      <c r="AD1246" s="22"/>
      <c r="BB1246" s="9" t="s">
        <v>560</v>
      </c>
      <c r="BC1246" s="22">
        <v>351</v>
      </c>
    </row>
    <row r="1247" spans="24:177" x14ac:dyDescent="0.2">
      <c r="AC1247" s="9"/>
      <c r="AD1247" s="22"/>
      <c r="BB1247" s="9" t="s">
        <v>560</v>
      </c>
      <c r="BC1247" s="22">
        <v>352</v>
      </c>
    </row>
    <row r="1248" spans="24:177" x14ac:dyDescent="0.2">
      <c r="AC1248" s="9"/>
      <c r="AD1248" s="22"/>
      <c r="BB1248" s="9" t="s">
        <v>560</v>
      </c>
      <c r="BC1248" s="22">
        <v>353</v>
      </c>
    </row>
    <row r="1249" spans="29:55" x14ac:dyDescent="0.2">
      <c r="AC1249" s="9"/>
      <c r="AD1249" s="22"/>
      <c r="BB1249" s="9" t="s">
        <v>560</v>
      </c>
      <c r="BC1249" s="22">
        <v>354</v>
      </c>
    </row>
    <row r="1250" spans="29:55" x14ac:dyDescent="0.2">
      <c r="AC1250" s="9"/>
      <c r="AD1250" s="22"/>
      <c r="BB1250" s="9" t="s">
        <v>560</v>
      </c>
      <c r="BC1250" s="22">
        <v>355</v>
      </c>
    </row>
    <row r="1251" spans="29:55" x14ac:dyDescent="0.2">
      <c r="AC1251" s="9"/>
      <c r="AD1251" s="22"/>
      <c r="BB1251" s="9" t="s">
        <v>560</v>
      </c>
      <c r="BC1251" s="22">
        <v>356</v>
      </c>
    </row>
    <row r="1252" spans="29:55" x14ac:dyDescent="0.2">
      <c r="AC1252" s="9"/>
      <c r="AD1252" s="22"/>
      <c r="BB1252" s="9" t="s">
        <v>560</v>
      </c>
      <c r="BC1252" s="22">
        <v>357</v>
      </c>
    </row>
    <row r="1253" spans="29:55" x14ac:dyDescent="0.2">
      <c r="AC1253" s="9"/>
      <c r="AD1253" s="22"/>
      <c r="BB1253" s="9" t="s">
        <v>560</v>
      </c>
      <c r="BC1253" s="22">
        <v>358</v>
      </c>
    </row>
    <row r="1254" spans="29:55" x14ac:dyDescent="0.2">
      <c r="AC1254" s="9"/>
      <c r="AD1254" s="22"/>
      <c r="BB1254" s="9" t="s">
        <v>560</v>
      </c>
      <c r="BC1254" s="22">
        <v>359</v>
      </c>
    </row>
    <row r="1255" spans="29:55" x14ac:dyDescent="0.2">
      <c r="AC1255" s="9"/>
      <c r="AD1255" s="22"/>
      <c r="BB1255" s="9" t="s">
        <v>560</v>
      </c>
      <c r="BC1255" s="22">
        <v>360</v>
      </c>
    </row>
    <row r="1256" spans="29:55" x14ac:dyDescent="0.2">
      <c r="AC1256" s="9"/>
      <c r="AD1256" s="22"/>
      <c r="BB1256" s="9" t="s">
        <v>560</v>
      </c>
      <c r="BC1256" s="22">
        <v>361</v>
      </c>
    </row>
    <row r="1257" spans="29:55" x14ac:dyDescent="0.2">
      <c r="AC1257" s="9"/>
      <c r="AD1257" s="22"/>
      <c r="BB1257" s="9" t="s">
        <v>560</v>
      </c>
      <c r="BC1257" s="22">
        <v>362</v>
      </c>
    </row>
    <row r="1258" spans="29:55" x14ac:dyDescent="0.2">
      <c r="AC1258" s="9"/>
      <c r="AD1258" s="22"/>
      <c r="BB1258" s="9" t="s">
        <v>560</v>
      </c>
      <c r="BC1258" s="22">
        <v>363</v>
      </c>
    </row>
    <row r="1259" spans="29:55" x14ac:dyDescent="0.2">
      <c r="AC1259" s="9"/>
      <c r="AD1259" s="22"/>
      <c r="BB1259" s="9" t="s">
        <v>560</v>
      </c>
      <c r="BC1259" s="22">
        <v>364</v>
      </c>
    </row>
    <row r="1260" spans="29:55" x14ac:dyDescent="0.2">
      <c r="AC1260" s="9"/>
      <c r="AD1260" s="22"/>
      <c r="BB1260" s="9" t="s">
        <v>560</v>
      </c>
      <c r="BC1260" s="22">
        <v>365</v>
      </c>
    </row>
    <row r="1261" spans="29:55" x14ac:dyDescent="0.2">
      <c r="AC1261" s="9"/>
      <c r="AD1261" s="22"/>
      <c r="BB1261" s="9" t="s">
        <v>560</v>
      </c>
      <c r="BC1261" s="22">
        <v>366</v>
      </c>
    </row>
    <row r="1262" spans="29:55" x14ac:dyDescent="0.2">
      <c r="AC1262" s="9"/>
      <c r="AD1262" s="22"/>
      <c r="BB1262" s="9" t="s">
        <v>560</v>
      </c>
      <c r="BC1262" s="22">
        <v>367</v>
      </c>
    </row>
    <row r="1263" spans="29:55" x14ac:dyDescent="0.2">
      <c r="AC1263" s="9"/>
      <c r="AD1263" s="22"/>
      <c r="BB1263" s="9" t="s">
        <v>560</v>
      </c>
      <c r="BC1263" s="22">
        <v>368</v>
      </c>
    </row>
    <row r="1264" spans="29:55" x14ac:dyDescent="0.2">
      <c r="AC1264" s="9"/>
      <c r="AD1264" s="22"/>
      <c r="BB1264" s="9" t="s">
        <v>560</v>
      </c>
      <c r="BC1264" s="22">
        <v>369</v>
      </c>
    </row>
    <row r="1265" spans="29:55" x14ac:dyDescent="0.2">
      <c r="AC1265" s="9"/>
      <c r="AD1265" s="22"/>
      <c r="BB1265" s="9" t="s">
        <v>560</v>
      </c>
      <c r="BC1265" s="22">
        <v>370</v>
      </c>
    </row>
    <row r="1266" spans="29:55" x14ac:dyDescent="0.2">
      <c r="AC1266" s="9"/>
      <c r="AD1266" s="22"/>
      <c r="BB1266" s="9" t="s">
        <v>560</v>
      </c>
      <c r="BC1266" s="22">
        <v>371</v>
      </c>
    </row>
    <row r="1267" spans="29:55" x14ac:dyDescent="0.2">
      <c r="AC1267" s="9"/>
      <c r="AD1267" s="22"/>
      <c r="BB1267" s="9" t="s">
        <v>560</v>
      </c>
      <c r="BC1267" s="22">
        <v>372</v>
      </c>
    </row>
    <row r="1268" spans="29:55" x14ac:dyDescent="0.2">
      <c r="AC1268" s="9"/>
      <c r="AD1268" s="22"/>
      <c r="BB1268" s="9" t="s">
        <v>560</v>
      </c>
      <c r="BC1268" s="22">
        <v>373</v>
      </c>
    </row>
    <row r="1269" spans="29:55" x14ac:dyDescent="0.2">
      <c r="AC1269" s="9"/>
      <c r="AD1269" s="22"/>
      <c r="BB1269" s="9" t="s">
        <v>560</v>
      </c>
      <c r="BC1269" s="22">
        <v>374</v>
      </c>
    </row>
    <row r="1270" spans="29:55" x14ac:dyDescent="0.2">
      <c r="AC1270" s="9"/>
      <c r="AD1270" s="22"/>
      <c r="BB1270" s="9" t="s">
        <v>560</v>
      </c>
      <c r="BC1270" s="22">
        <v>375</v>
      </c>
    </row>
    <row r="1271" spans="29:55" x14ac:dyDescent="0.2">
      <c r="AC1271" s="9"/>
      <c r="AD1271" s="22"/>
      <c r="BB1271" s="9" t="s">
        <v>560</v>
      </c>
      <c r="BC1271" s="22">
        <v>376</v>
      </c>
    </row>
    <row r="1272" spans="29:55" x14ac:dyDescent="0.2">
      <c r="AC1272" s="9"/>
      <c r="AD1272" s="22"/>
      <c r="BB1272" s="9" t="s">
        <v>560</v>
      </c>
      <c r="BC1272" s="22">
        <v>377</v>
      </c>
    </row>
    <row r="1273" spans="29:55" x14ac:dyDescent="0.2">
      <c r="AC1273" s="9"/>
      <c r="AD1273" s="22"/>
      <c r="BB1273" s="9" t="s">
        <v>560</v>
      </c>
      <c r="BC1273" s="22">
        <v>378</v>
      </c>
    </row>
    <row r="1274" spans="29:55" x14ac:dyDescent="0.2">
      <c r="AC1274" s="9"/>
      <c r="AD1274" s="22"/>
      <c r="BB1274" s="9" t="s">
        <v>560</v>
      </c>
      <c r="BC1274" s="22">
        <v>379</v>
      </c>
    </row>
    <row r="1275" spans="29:55" x14ac:dyDescent="0.2">
      <c r="AC1275" s="9"/>
      <c r="AD1275" s="22"/>
      <c r="BB1275" s="9" t="s">
        <v>560</v>
      </c>
      <c r="BC1275" s="22">
        <v>380</v>
      </c>
    </row>
    <row r="1276" spans="29:55" x14ac:dyDescent="0.2">
      <c r="AC1276" s="9"/>
      <c r="AD1276" s="22"/>
      <c r="BB1276" s="9" t="s">
        <v>560</v>
      </c>
      <c r="BC1276" s="22">
        <v>381</v>
      </c>
    </row>
    <row r="1277" spans="29:55" x14ac:dyDescent="0.2">
      <c r="AC1277" s="9"/>
      <c r="AD1277" s="22"/>
      <c r="BB1277" s="9" t="s">
        <v>560</v>
      </c>
      <c r="BC1277" s="22">
        <v>382</v>
      </c>
    </row>
    <row r="1278" spans="29:55" x14ac:dyDescent="0.2">
      <c r="AC1278" s="9"/>
      <c r="AD1278" s="22"/>
      <c r="BB1278" s="9" t="s">
        <v>560</v>
      </c>
      <c r="BC1278" s="22">
        <v>383</v>
      </c>
    </row>
    <row r="1279" spans="29:55" x14ac:dyDescent="0.2">
      <c r="AC1279" s="9"/>
      <c r="AD1279" s="22"/>
      <c r="BB1279" s="9" t="s">
        <v>560</v>
      </c>
      <c r="BC1279" s="22">
        <v>384</v>
      </c>
    </row>
    <row r="1280" spans="29:55" x14ac:dyDescent="0.2">
      <c r="AC1280" s="9"/>
      <c r="AD1280" s="22"/>
      <c r="BB1280" s="9" t="s">
        <v>560</v>
      </c>
      <c r="BC1280" s="22">
        <v>385</v>
      </c>
    </row>
    <row r="1281" spans="29:55" x14ac:dyDescent="0.2">
      <c r="AC1281" s="9"/>
      <c r="AD1281" s="22"/>
      <c r="BB1281" s="9" t="s">
        <v>560</v>
      </c>
      <c r="BC1281" s="22">
        <v>386</v>
      </c>
    </row>
    <row r="1282" spans="29:55" x14ac:dyDescent="0.2">
      <c r="AC1282" s="9"/>
      <c r="AD1282" s="22"/>
      <c r="BB1282" s="9" t="s">
        <v>560</v>
      </c>
      <c r="BC1282" s="22">
        <v>387</v>
      </c>
    </row>
    <row r="1283" spans="29:55" x14ac:dyDescent="0.2">
      <c r="AC1283" s="9"/>
      <c r="AD1283" s="22"/>
      <c r="BB1283" s="9" t="s">
        <v>560</v>
      </c>
      <c r="BC1283" s="22">
        <v>388</v>
      </c>
    </row>
    <row r="1284" spans="29:55" x14ac:dyDescent="0.2">
      <c r="AC1284" s="9"/>
      <c r="AD1284" s="22"/>
      <c r="BB1284" s="9" t="s">
        <v>560</v>
      </c>
      <c r="BC1284" s="22">
        <v>389</v>
      </c>
    </row>
    <row r="1285" spans="29:55" x14ac:dyDescent="0.2">
      <c r="AC1285" s="9"/>
      <c r="AD1285" s="22"/>
      <c r="BB1285" s="9" t="s">
        <v>560</v>
      </c>
      <c r="BC1285" s="22">
        <v>390</v>
      </c>
    </row>
    <row r="1286" spans="29:55" x14ac:dyDescent="0.2">
      <c r="AC1286" s="9"/>
      <c r="AD1286" s="22"/>
      <c r="BB1286" s="9" t="s">
        <v>560</v>
      </c>
      <c r="BC1286" s="22">
        <v>391</v>
      </c>
    </row>
    <row r="1287" spans="29:55" x14ac:dyDescent="0.2">
      <c r="AC1287" s="9"/>
      <c r="AD1287" s="22"/>
      <c r="BB1287" s="9" t="s">
        <v>560</v>
      </c>
      <c r="BC1287" s="22">
        <v>392</v>
      </c>
    </row>
    <row r="1288" spans="29:55" x14ac:dyDescent="0.2">
      <c r="AC1288" s="9"/>
      <c r="AD1288" s="22"/>
      <c r="BB1288" s="9" t="s">
        <v>560</v>
      </c>
      <c r="BC1288" s="22">
        <v>393</v>
      </c>
    </row>
    <row r="1289" spans="29:55" x14ac:dyDescent="0.2">
      <c r="AC1289" s="9"/>
      <c r="AD1289" s="22"/>
      <c r="BB1289" s="9" t="s">
        <v>560</v>
      </c>
      <c r="BC1289" s="22">
        <v>394</v>
      </c>
    </row>
    <row r="1290" spans="29:55" x14ac:dyDescent="0.2">
      <c r="AC1290" s="9"/>
      <c r="AD1290" s="22"/>
      <c r="BB1290" s="9" t="s">
        <v>560</v>
      </c>
      <c r="BC1290" s="22">
        <v>395</v>
      </c>
    </row>
    <row r="1291" spans="29:55" x14ac:dyDescent="0.2">
      <c r="AC1291" s="9"/>
      <c r="AD1291" s="22"/>
      <c r="BB1291" s="9" t="s">
        <v>560</v>
      </c>
      <c r="BC1291" s="22">
        <v>396</v>
      </c>
    </row>
    <row r="1292" spans="29:55" x14ac:dyDescent="0.2">
      <c r="AC1292" s="9"/>
      <c r="AD1292" s="22"/>
      <c r="BB1292" s="9" t="s">
        <v>560</v>
      </c>
      <c r="BC1292" s="22">
        <v>397</v>
      </c>
    </row>
    <row r="1293" spans="29:55" x14ac:dyDescent="0.2">
      <c r="AC1293" s="9"/>
      <c r="AD1293" s="22"/>
      <c r="BB1293" s="9" t="s">
        <v>560</v>
      </c>
      <c r="BC1293" s="22">
        <v>398</v>
      </c>
    </row>
    <row r="1294" spans="29:55" x14ac:dyDescent="0.2">
      <c r="AC1294" s="9"/>
      <c r="AD1294" s="22"/>
      <c r="BB1294" s="9" t="s">
        <v>560</v>
      </c>
      <c r="BC1294" s="22">
        <v>399</v>
      </c>
    </row>
    <row r="1295" spans="29:55" x14ac:dyDescent="0.2">
      <c r="AC1295" s="9"/>
      <c r="AD1295" s="22"/>
      <c r="BB1295" s="9" t="s">
        <v>560</v>
      </c>
      <c r="BC1295" s="22">
        <v>400</v>
      </c>
    </row>
    <row r="1296" spans="29:55" x14ac:dyDescent="0.2">
      <c r="AC1296" s="9"/>
      <c r="AD1296" s="22"/>
      <c r="BB1296" s="9" t="s">
        <v>560</v>
      </c>
      <c r="BC1296" s="22">
        <v>401</v>
      </c>
    </row>
    <row r="1297" spans="29:55" x14ac:dyDescent="0.2">
      <c r="AC1297" s="9"/>
      <c r="AD1297" s="22"/>
      <c r="BB1297" s="9" t="s">
        <v>560</v>
      </c>
      <c r="BC1297" s="22">
        <v>402</v>
      </c>
    </row>
    <row r="1298" spans="29:55" x14ac:dyDescent="0.2">
      <c r="AC1298" s="9"/>
      <c r="AD1298" s="22"/>
      <c r="BB1298" s="9" t="s">
        <v>560</v>
      </c>
      <c r="BC1298" s="22">
        <v>403</v>
      </c>
    </row>
    <row r="1299" spans="29:55" x14ac:dyDescent="0.2">
      <c r="AC1299" s="9"/>
      <c r="AD1299" s="22"/>
      <c r="BB1299" s="9" t="s">
        <v>560</v>
      </c>
      <c r="BC1299" s="22">
        <v>404</v>
      </c>
    </row>
    <row r="1300" spans="29:55" x14ac:dyDescent="0.2">
      <c r="AC1300" s="9"/>
      <c r="AD1300" s="22"/>
      <c r="BB1300" s="9" t="s">
        <v>560</v>
      </c>
      <c r="BC1300" s="22">
        <v>405</v>
      </c>
    </row>
    <row r="1301" spans="29:55" x14ac:dyDescent="0.2">
      <c r="AC1301" s="9"/>
      <c r="AD1301" s="22"/>
      <c r="BB1301" s="9" t="s">
        <v>560</v>
      </c>
      <c r="BC1301" s="22">
        <v>406</v>
      </c>
    </row>
    <row r="1302" spans="29:55" x14ac:dyDescent="0.2">
      <c r="AC1302" s="9"/>
      <c r="AD1302" s="22"/>
      <c r="BB1302" s="9" t="s">
        <v>560</v>
      </c>
      <c r="BC1302" s="22">
        <v>407</v>
      </c>
    </row>
    <row r="1303" spans="29:55" x14ac:dyDescent="0.2">
      <c r="AC1303" s="9"/>
      <c r="AD1303" s="22"/>
      <c r="BB1303" s="9" t="s">
        <v>560</v>
      </c>
      <c r="BC1303" s="22">
        <v>408</v>
      </c>
    </row>
    <row r="1304" spans="29:55" x14ac:dyDescent="0.2">
      <c r="AC1304" s="9"/>
      <c r="AD1304" s="22"/>
      <c r="BB1304" s="9" t="s">
        <v>560</v>
      </c>
      <c r="BC1304" s="22">
        <v>409</v>
      </c>
    </row>
    <row r="1305" spans="29:55" x14ac:dyDescent="0.2">
      <c r="AC1305" s="9"/>
      <c r="AD1305" s="22"/>
      <c r="BB1305" s="9" t="s">
        <v>560</v>
      </c>
      <c r="BC1305" s="22">
        <v>410</v>
      </c>
    </row>
    <row r="1306" spans="29:55" x14ac:dyDescent="0.2">
      <c r="AC1306" s="9"/>
      <c r="AD1306" s="22"/>
      <c r="BB1306" s="9" t="s">
        <v>560</v>
      </c>
      <c r="BC1306" s="22">
        <v>411</v>
      </c>
    </row>
    <row r="1307" spans="29:55" x14ac:dyDescent="0.2">
      <c r="BB1307" s="9" t="s">
        <v>560</v>
      </c>
      <c r="BC1307" s="22">
        <v>412</v>
      </c>
    </row>
    <row r="1308" spans="29:55" x14ac:dyDescent="0.2">
      <c r="BB1308" s="9" t="s">
        <v>560</v>
      </c>
      <c r="BC1308" s="22">
        <v>413</v>
      </c>
    </row>
    <row r="1309" spans="29:55" x14ac:dyDescent="0.2">
      <c r="BB1309" s="9" t="s">
        <v>560</v>
      </c>
      <c r="BC1309" s="22">
        <v>414</v>
      </c>
    </row>
    <row r="1310" spans="29:55" x14ac:dyDescent="0.2">
      <c r="BB1310" s="9" t="s">
        <v>560</v>
      </c>
      <c r="BC1310" s="22">
        <v>415</v>
      </c>
    </row>
    <row r="1311" spans="29:55" x14ac:dyDescent="0.2">
      <c r="BB1311" s="9" t="s">
        <v>560</v>
      </c>
      <c r="BC1311" s="22">
        <v>416</v>
      </c>
    </row>
    <row r="1312" spans="29:55" x14ac:dyDescent="0.2">
      <c r="BB1312" s="9" t="s">
        <v>560</v>
      </c>
      <c r="BC1312" s="22">
        <v>417</v>
      </c>
    </row>
    <row r="1313" spans="54:55" x14ac:dyDescent="0.2">
      <c r="BB1313" s="9" t="s">
        <v>560</v>
      </c>
      <c r="BC1313" s="22">
        <v>418</v>
      </c>
    </row>
    <row r="1314" spans="54:55" x14ac:dyDescent="0.2">
      <c r="BB1314" s="9" t="s">
        <v>560</v>
      </c>
      <c r="BC1314" s="22">
        <v>419</v>
      </c>
    </row>
    <row r="1315" spans="54:55" x14ac:dyDescent="0.2">
      <c r="BB1315" s="9" t="s">
        <v>560</v>
      </c>
      <c r="BC1315" s="22">
        <v>420</v>
      </c>
    </row>
    <row r="1316" spans="54:55" x14ac:dyDescent="0.2">
      <c r="BB1316" s="9" t="s">
        <v>560</v>
      </c>
      <c r="BC1316" s="22">
        <v>421</v>
      </c>
    </row>
    <row r="1317" spans="54:55" x14ac:dyDescent="0.2">
      <c r="BB1317" s="9" t="s">
        <v>560</v>
      </c>
      <c r="BC1317" s="22">
        <v>422</v>
      </c>
    </row>
    <row r="1318" spans="54:55" x14ac:dyDescent="0.2">
      <c r="BB1318" s="9" t="s">
        <v>560</v>
      </c>
      <c r="BC1318" s="22">
        <v>423</v>
      </c>
    </row>
    <row r="1319" spans="54:55" x14ac:dyDescent="0.2">
      <c r="BB1319" s="9" t="s">
        <v>560</v>
      </c>
      <c r="BC1319" s="22">
        <v>424</v>
      </c>
    </row>
    <row r="1320" spans="54:55" x14ac:dyDescent="0.2">
      <c r="BB1320" s="9" t="s">
        <v>560</v>
      </c>
      <c r="BC1320" s="22">
        <v>425</v>
      </c>
    </row>
    <row r="1321" spans="54:55" x14ac:dyDescent="0.2">
      <c r="BB1321" s="9" t="s">
        <v>560</v>
      </c>
      <c r="BC1321" s="22">
        <v>426</v>
      </c>
    </row>
    <row r="1322" spans="54:55" x14ac:dyDescent="0.2">
      <c r="BB1322" s="9" t="s">
        <v>560</v>
      </c>
      <c r="BC1322" s="22">
        <v>427</v>
      </c>
    </row>
    <row r="1323" spans="54:55" x14ac:dyDescent="0.2">
      <c r="BB1323" s="9" t="s">
        <v>560</v>
      </c>
      <c r="BC1323" s="22">
        <v>428</v>
      </c>
    </row>
    <row r="1324" spans="54:55" x14ac:dyDescent="0.2">
      <c r="BB1324" s="9" t="s">
        <v>560</v>
      </c>
      <c r="BC1324" s="22">
        <v>429</v>
      </c>
    </row>
    <row r="1325" spans="54:55" x14ac:dyDescent="0.2">
      <c r="BB1325" s="9" t="s">
        <v>560</v>
      </c>
      <c r="BC1325" s="22">
        <v>430</v>
      </c>
    </row>
    <row r="1326" spans="54:55" x14ac:dyDescent="0.2">
      <c r="BB1326" s="9" t="s">
        <v>560</v>
      </c>
      <c r="BC1326" s="22">
        <v>431</v>
      </c>
    </row>
    <row r="1327" spans="54:55" x14ac:dyDescent="0.2">
      <c r="BB1327" s="9" t="s">
        <v>560</v>
      </c>
      <c r="BC1327" s="22">
        <v>432</v>
      </c>
    </row>
    <row r="1328" spans="54:55" x14ac:dyDescent="0.2">
      <c r="BB1328" s="9" t="s">
        <v>560</v>
      </c>
      <c r="BC1328" s="22">
        <v>433</v>
      </c>
    </row>
    <row r="1329" spans="54:55" x14ac:dyDescent="0.2">
      <c r="BB1329" s="9" t="s">
        <v>560</v>
      </c>
      <c r="BC1329" s="22">
        <v>434</v>
      </c>
    </row>
    <row r="1330" spans="54:55" x14ac:dyDescent="0.2">
      <c r="BB1330" s="9" t="s">
        <v>560</v>
      </c>
      <c r="BC1330" s="22">
        <v>435</v>
      </c>
    </row>
    <row r="1331" spans="54:55" x14ac:dyDescent="0.2">
      <c r="BB1331" s="9" t="s">
        <v>560</v>
      </c>
      <c r="BC1331" s="22">
        <v>436</v>
      </c>
    </row>
    <row r="1332" spans="54:55" x14ac:dyDescent="0.2">
      <c r="BB1332" s="9" t="s">
        <v>560</v>
      </c>
      <c r="BC1332" s="22">
        <v>437</v>
      </c>
    </row>
    <row r="1333" spans="54:55" x14ac:dyDescent="0.2">
      <c r="BB1333" s="9" t="s">
        <v>560</v>
      </c>
      <c r="BC1333" s="22">
        <v>438</v>
      </c>
    </row>
    <row r="1334" spans="54:55" x14ac:dyDescent="0.2">
      <c r="BB1334" s="9" t="s">
        <v>560</v>
      </c>
      <c r="BC1334" s="22">
        <v>439</v>
      </c>
    </row>
    <row r="1335" spans="54:55" x14ac:dyDescent="0.2">
      <c r="BB1335" s="9" t="s">
        <v>560</v>
      </c>
      <c r="BC1335" s="22">
        <v>440</v>
      </c>
    </row>
    <row r="1336" spans="54:55" x14ac:dyDescent="0.2">
      <c r="BB1336" s="9" t="s">
        <v>560</v>
      </c>
      <c r="BC1336" s="22">
        <v>441</v>
      </c>
    </row>
    <row r="1337" spans="54:55" x14ac:dyDescent="0.2">
      <c r="BB1337" s="9" t="s">
        <v>560</v>
      </c>
      <c r="BC1337" s="22">
        <v>442</v>
      </c>
    </row>
    <row r="1338" spans="54:55" x14ac:dyDescent="0.2">
      <c r="BB1338" s="9" t="s">
        <v>560</v>
      </c>
      <c r="BC1338" s="22">
        <v>443</v>
      </c>
    </row>
    <row r="1339" spans="54:55" x14ac:dyDescent="0.2">
      <c r="BB1339" s="9" t="s">
        <v>560</v>
      </c>
      <c r="BC1339" s="22">
        <v>444</v>
      </c>
    </row>
    <row r="1340" spans="54:55" x14ac:dyDescent="0.2">
      <c r="BB1340" s="9" t="s">
        <v>560</v>
      </c>
      <c r="BC1340" s="22">
        <v>445</v>
      </c>
    </row>
    <row r="1341" spans="54:55" x14ac:dyDescent="0.2">
      <c r="BB1341" s="9" t="s">
        <v>560</v>
      </c>
      <c r="BC1341" s="22">
        <v>446</v>
      </c>
    </row>
    <row r="1342" spans="54:55" x14ac:dyDescent="0.2">
      <c r="BB1342" s="9" t="s">
        <v>560</v>
      </c>
      <c r="BC1342" s="22">
        <v>447</v>
      </c>
    </row>
    <row r="1343" spans="54:55" x14ac:dyDescent="0.2">
      <c r="BB1343" s="9" t="s">
        <v>560</v>
      </c>
      <c r="BC1343" s="22">
        <v>448</v>
      </c>
    </row>
    <row r="1344" spans="54:55" x14ac:dyDescent="0.2">
      <c r="BB1344" s="9" t="s">
        <v>560</v>
      </c>
      <c r="BC1344" s="22">
        <v>449</v>
      </c>
    </row>
    <row r="1345" spans="54:55" x14ac:dyDescent="0.2">
      <c r="BB1345" s="9" t="s">
        <v>560</v>
      </c>
      <c r="BC1345" s="22">
        <v>450</v>
      </c>
    </row>
    <row r="1346" spans="54:55" x14ac:dyDescent="0.2">
      <c r="BB1346" s="9" t="s">
        <v>560</v>
      </c>
      <c r="BC1346" s="22">
        <v>451</v>
      </c>
    </row>
    <row r="1347" spans="54:55" x14ac:dyDescent="0.2">
      <c r="BB1347" s="9" t="s">
        <v>560</v>
      </c>
      <c r="BC1347" s="22">
        <v>452</v>
      </c>
    </row>
    <row r="1348" spans="54:55" x14ac:dyDescent="0.2">
      <c r="BB1348" s="9" t="s">
        <v>560</v>
      </c>
      <c r="BC1348" s="22">
        <v>453</v>
      </c>
    </row>
    <row r="1349" spans="54:55" x14ac:dyDescent="0.2">
      <c r="BB1349" s="9" t="s">
        <v>560</v>
      </c>
      <c r="BC1349" s="22">
        <v>454</v>
      </c>
    </row>
    <row r="1350" spans="54:55" x14ac:dyDescent="0.2">
      <c r="BB1350" s="9" t="s">
        <v>560</v>
      </c>
      <c r="BC1350" s="22">
        <v>455</v>
      </c>
    </row>
    <row r="1351" spans="54:55" x14ac:dyDescent="0.2">
      <c r="BB1351" s="9" t="s">
        <v>560</v>
      </c>
      <c r="BC1351" s="22">
        <v>456</v>
      </c>
    </row>
    <row r="1352" spans="54:55" x14ac:dyDescent="0.2">
      <c r="BB1352" s="9" t="s">
        <v>560</v>
      </c>
      <c r="BC1352" s="22">
        <v>457</v>
      </c>
    </row>
    <row r="1353" spans="54:55" x14ac:dyDescent="0.2">
      <c r="BB1353" s="9" t="s">
        <v>560</v>
      </c>
      <c r="BC1353" s="22">
        <v>458</v>
      </c>
    </row>
    <row r="1354" spans="54:55" x14ac:dyDescent="0.2">
      <c r="BB1354" s="9" t="s">
        <v>560</v>
      </c>
      <c r="BC1354" s="22">
        <v>459</v>
      </c>
    </row>
    <row r="1355" spans="54:55" x14ac:dyDescent="0.2">
      <c r="BB1355" s="9" t="s">
        <v>560</v>
      </c>
      <c r="BC1355" s="22">
        <v>460</v>
      </c>
    </row>
    <row r="1356" spans="54:55" x14ac:dyDescent="0.2">
      <c r="BB1356" s="9" t="s">
        <v>560</v>
      </c>
      <c r="BC1356" s="22">
        <v>461</v>
      </c>
    </row>
    <row r="1357" spans="54:55" x14ac:dyDescent="0.2">
      <c r="BB1357" s="9" t="s">
        <v>560</v>
      </c>
      <c r="BC1357" s="22">
        <v>462</v>
      </c>
    </row>
    <row r="1358" spans="54:55" x14ac:dyDescent="0.2">
      <c r="BB1358" s="9" t="s">
        <v>560</v>
      </c>
      <c r="BC1358" s="22">
        <v>463</v>
      </c>
    </row>
    <row r="1359" spans="54:55" x14ac:dyDescent="0.2">
      <c r="BB1359" s="9" t="s">
        <v>560</v>
      </c>
      <c r="BC1359" s="22">
        <v>464</v>
      </c>
    </row>
    <row r="1360" spans="54:55" x14ac:dyDescent="0.2">
      <c r="BB1360" s="9" t="s">
        <v>560</v>
      </c>
      <c r="BC1360" s="22">
        <v>465</v>
      </c>
    </row>
    <row r="1361" spans="54:55" x14ac:dyDescent="0.2">
      <c r="BB1361" s="9" t="s">
        <v>560</v>
      </c>
      <c r="BC1361" s="22">
        <v>466</v>
      </c>
    </row>
    <row r="1362" spans="54:55" x14ac:dyDescent="0.2">
      <c r="BB1362" s="9" t="s">
        <v>560</v>
      </c>
      <c r="BC1362" s="22">
        <v>467</v>
      </c>
    </row>
    <row r="1363" spans="54:55" x14ac:dyDescent="0.2">
      <c r="BB1363" s="9" t="s">
        <v>560</v>
      </c>
      <c r="BC1363" s="22">
        <v>468</v>
      </c>
    </row>
    <row r="1364" spans="54:55" x14ac:dyDescent="0.2">
      <c r="BB1364" s="9" t="s">
        <v>560</v>
      </c>
      <c r="BC1364" s="22">
        <v>469</v>
      </c>
    </row>
    <row r="1365" spans="54:55" x14ac:dyDescent="0.2">
      <c r="BB1365" s="9" t="s">
        <v>560</v>
      </c>
      <c r="BC1365" s="22">
        <v>470</v>
      </c>
    </row>
    <row r="1366" spans="54:55" x14ac:dyDescent="0.2">
      <c r="BB1366" s="9" t="s">
        <v>560</v>
      </c>
      <c r="BC1366" s="22">
        <v>471</v>
      </c>
    </row>
    <row r="1367" spans="54:55" x14ac:dyDescent="0.2">
      <c r="BB1367" s="9" t="s">
        <v>560</v>
      </c>
      <c r="BC1367" s="22">
        <v>472</v>
      </c>
    </row>
    <row r="1368" spans="54:55" x14ac:dyDescent="0.2">
      <c r="BB1368" s="9" t="s">
        <v>560</v>
      </c>
      <c r="BC1368" s="22">
        <v>473</v>
      </c>
    </row>
    <row r="1369" spans="54:55" x14ac:dyDescent="0.2">
      <c r="BB1369" s="9" t="s">
        <v>560</v>
      </c>
      <c r="BC1369" s="22">
        <v>474</v>
      </c>
    </row>
    <row r="1370" spans="54:55" x14ac:dyDescent="0.2">
      <c r="BB1370" s="9" t="s">
        <v>560</v>
      </c>
      <c r="BC1370" s="22">
        <v>475</v>
      </c>
    </row>
    <row r="1371" spans="54:55" x14ac:dyDescent="0.2">
      <c r="BB1371" s="9" t="s">
        <v>560</v>
      </c>
      <c r="BC1371" s="22">
        <v>476</v>
      </c>
    </row>
    <row r="1372" spans="54:55" x14ac:dyDescent="0.2">
      <c r="BB1372" s="9" t="s">
        <v>560</v>
      </c>
      <c r="BC1372" s="22">
        <v>477</v>
      </c>
    </row>
    <row r="1373" spans="54:55" x14ac:dyDescent="0.2">
      <c r="BB1373" s="9" t="s">
        <v>560</v>
      </c>
      <c r="BC1373" s="22">
        <v>478</v>
      </c>
    </row>
    <row r="1374" spans="54:55" x14ac:dyDescent="0.2">
      <c r="BB1374" s="9" t="s">
        <v>560</v>
      </c>
      <c r="BC1374" s="22">
        <v>479</v>
      </c>
    </row>
    <row r="1375" spans="54:55" x14ac:dyDescent="0.2">
      <c r="BB1375" s="9" t="s">
        <v>560</v>
      </c>
      <c r="BC1375" s="22">
        <v>480</v>
      </c>
    </row>
    <row r="1376" spans="54:55" x14ac:dyDescent="0.2">
      <c r="BB1376" s="9" t="s">
        <v>560</v>
      </c>
      <c r="BC1376" s="22">
        <v>481</v>
      </c>
    </row>
    <row r="1377" spans="54:55" x14ac:dyDescent="0.2">
      <c r="BB1377" s="9" t="s">
        <v>560</v>
      </c>
      <c r="BC1377" s="22">
        <v>482</v>
      </c>
    </row>
    <row r="1378" spans="54:55" x14ac:dyDescent="0.2">
      <c r="BB1378" s="9" t="s">
        <v>560</v>
      </c>
      <c r="BC1378" s="22">
        <v>483</v>
      </c>
    </row>
    <row r="1379" spans="54:55" x14ac:dyDescent="0.2">
      <c r="BB1379" s="9" t="s">
        <v>560</v>
      </c>
      <c r="BC1379" s="22">
        <v>484</v>
      </c>
    </row>
    <row r="1380" spans="54:55" x14ac:dyDescent="0.2">
      <c r="BB1380" s="9" t="s">
        <v>560</v>
      </c>
      <c r="BC1380" s="22">
        <v>485</v>
      </c>
    </row>
    <row r="1381" spans="54:55" x14ac:dyDescent="0.2">
      <c r="BB1381" s="9" t="s">
        <v>560</v>
      </c>
      <c r="BC1381" s="22">
        <v>486</v>
      </c>
    </row>
    <row r="1382" spans="54:55" x14ac:dyDescent="0.2">
      <c r="BB1382" s="9" t="s">
        <v>560</v>
      </c>
      <c r="BC1382" s="22">
        <v>487</v>
      </c>
    </row>
    <row r="1383" spans="54:55" x14ac:dyDescent="0.2">
      <c r="BB1383" s="9" t="s">
        <v>560</v>
      </c>
      <c r="BC1383" s="22">
        <v>488</v>
      </c>
    </row>
    <row r="1384" spans="54:55" x14ac:dyDescent="0.2">
      <c r="BB1384" s="9" t="s">
        <v>560</v>
      </c>
      <c r="BC1384" s="22">
        <v>489</v>
      </c>
    </row>
    <row r="1385" spans="54:55" x14ac:dyDescent="0.2">
      <c r="BB1385" s="9" t="s">
        <v>560</v>
      </c>
      <c r="BC1385" s="22">
        <v>490</v>
      </c>
    </row>
    <row r="1386" spans="54:55" x14ac:dyDescent="0.2">
      <c r="BB1386" s="9" t="s">
        <v>560</v>
      </c>
      <c r="BC1386" s="22">
        <v>491</v>
      </c>
    </row>
    <row r="1387" spans="54:55" x14ac:dyDescent="0.2">
      <c r="BB1387" s="9" t="s">
        <v>560</v>
      </c>
      <c r="BC1387" s="22">
        <v>492</v>
      </c>
    </row>
    <row r="1388" spans="54:55" x14ac:dyDescent="0.2">
      <c r="BB1388" s="9" t="s">
        <v>560</v>
      </c>
      <c r="BC1388" s="22">
        <v>493</v>
      </c>
    </row>
    <row r="1389" spans="54:55" x14ac:dyDescent="0.2">
      <c r="BB1389" s="9" t="s">
        <v>560</v>
      </c>
      <c r="BC1389" s="22">
        <v>494</v>
      </c>
    </row>
    <row r="1390" spans="54:55" x14ac:dyDescent="0.2">
      <c r="BB1390" s="9" t="s">
        <v>560</v>
      </c>
      <c r="BC1390" s="22">
        <v>495</v>
      </c>
    </row>
    <row r="1391" spans="54:55" x14ac:dyDescent="0.2">
      <c r="BB1391" s="9" t="s">
        <v>560</v>
      </c>
      <c r="BC1391" s="22">
        <v>496</v>
      </c>
    </row>
    <row r="1392" spans="54:55" x14ac:dyDescent="0.2">
      <c r="BB1392" s="9" t="s">
        <v>560</v>
      </c>
      <c r="BC1392" s="22">
        <v>497</v>
      </c>
    </row>
    <row r="1393" spans="54:55" x14ac:dyDescent="0.2">
      <c r="BB1393" s="9" t="s">
        <v>560</v>
      </c>
      <c r="BC1393" s="22">
        <v>498</v>
      </c>
    </row>
    <row r="1394" spans="54:55" x14ac:dyDescent="0.2">
      <c r="BB1394" s="9" t="s">
        <v>560</v>
      </c>
      <c r="BC1394" s="22">
        <v>499</v>
      </c>
    </row>
    <row r="1395" spans="54:55" x14ac:dyDescent="0.2">
      <c r="BB1395" s="9" t="s">
        <v>560</v>
      </c>
      <c r="BC1395" s="22">
        <v>500</v>
      </c>
    </row>
    <row r="1396" spans="54:55" x14ac:dyDescent="0.2">
      <c r="BB1396" s="9" t="s">
        <v>560</v>
      </c>
      <c r="BC1396" s="22">
        <v>501</v>
      </c>
    </row>
    <row r="1397" spans="54:55" x14ac:dyDescent="0.2">
      <c r="BB1397" s="9" t="s">
        <v>560</v>
      </c>
      <c r="BC1397" s="22">
        <v>502</v>
      </c>
    </row>
    <row r="1398" spans="54:55" x14ac:dyDescent="0.2">
      <c r="BB1398" s="9" t="s">
        <v>560</v>
      </c>
      <c r="BC1398" s="22">
        <v>503</v>
      </c>
    </row>
    <row r="1399" spans="54:55" x14ac:dyDescent="0.2">
      <c r="BB1399" s="9" t="s">
        <v>560</v>
      </c>
      <c r="BC1399" s="22">
        <v>504</v>
      </c>
    </row>
    <row r="1400" spans="54:55" x14ac:dyDescent="0.2">
      <c r="BB1400" s="9" t="s">
        <v>560</v>
      </c>
      <c r="BC1400" s="22">
        <v>505</v>
      </c>
    </row>
    <row r="1401" spans="54:55" x14ac:dyDescent="0.2">
      <c r="BB1401" s="9" t="s">
        <v>560</v>
      </c>
      <c r="BC1401" s="22">
        <v>506</v>
      </c>
    </row>
    <row r="1402" spans="54:55" x14ac:dyDescent="0.2">
      <c r="BB1402" s="9" t="s">
        <v>560</v>
      </c>
      <c r="BC1402" s="22">
        <v>507</v>
      </c>
    </row>
    <row r="1403" spans="54:55" x14ac:dyDescent="0.2">
      <c r="BB1403" s="9" t="s">
        <v>560</v>
      </c>
      <c r="BC1403" s="22">
        <v>508</v>
      </c>
    </row>
    <row r="1404" spans="54:55" x14ac:dyDescent="0.2">
      <c r="BB1404" s="9" t="s">
        <v>560</v>
      </c>
      <c r="BC1404" s="22">
        <v>509</v>
      </c>
    </row>
    <row r="1405" spans="54:55" x14ac:dyDescent="0.2">
      <c r="BB1405" s="9" t="s">
        <v>560</v>
      </c>
      <c r="BC1405" s="22">
        <v>510</v>
      </c>
    </row>
    <row r="1406" spans="54:55" x14ac:dyDescent="0.2">
      <c r="BB1406" s="9" t="s">
        <v>560</v>
      </c>
      <c r="BC1406" s="22">
        <v>511</v>
      </c>
    </row>
    <row r="1407" spans="54:55" x14ac:dyDescent="0.2">
      <c r="BB1407" s="9" t="s">
        <v>560</v>
      </c>
      <c r="BC1407" s="22">
        <v>512</v>
      </c>
    </row>
    <row r="1408" spans="54:55" x14ac:dyDescent="0.2">
      <c r="BB1408" s="9" t="s">
        <v>560</v>
      </c>
      <c r="BC1408" s="22">
        <v>513</v>
      </c>
    </row>
    <row r="1409" spans="54:55" x14ac:dyDescent="0.2">
      <c r="BB1409" s="9" t="s">
        <v>560</v>
      </c>
      <c r="BC1409" s="22">
        <v>514</v>
      </c>
    </row>
    <row r="1410" spans="54:55" x14ac:dyDescent="0.2">
      <c r="BB1410" s="9" t="s">
        <v>560</v>
      </c>
      <c r="BC1410" s="22">
        <v>515</v>
      </c>
    </row>
    <row r="1411" spans="54:55" x14ac:dyDescent="0.2">
      <c r="BB1411" s="9" t="s">
        <v>560</v>
      </c>
      <c r="BC1411" s="22">
        <v>516</v>
      </c>
    </row>
    <row r="1412" spans="54:55" x14ac:dyDescent="0.2">
      <c r="BB1412" s="9" t="s">
        <v>560</v>
      </c>
      <c r="BC1412" s="22">
        <v>517</v>
      </c>
    </row>
    <row r="1413" spans="54:55" x14ac:dyDescent="0.2">
      <c r="BB1413" s="9" t="s">
        <v>560</v>
      </c>
      <c r="BC1413" s="22">
        <v>518</v>
      </c>
    </row>
    <row r="1414" spans="54:55" x14ac:dyDescent="0.2">
      <c r="BB1414" s="9" t="s">
        <v>560</v>
      </c>
      <c r="BC1414" s="22">
        <v>519</v>
      </c>
    </row>
    <row r="1415" spans="54:55" x14ac:dyDescent="0.2">
      <c r="BB1415" s="9" t="s">
        <v>560</v>
      </c>
      <c r="BC1415" s="22">
        <v>520</v>
      </c>
    </row>
    <row r="1416" spans="54:55" x14ac:dyDescent="0.2">
      <c r="BB1416" s="9" t="s">
        <v>560</v>
      </c>
      <c r="BC1416" s="22">
        <v>521</v>
      </c>
    </row>
    <row r="1417" spans="54:55" x14ac:dyDescent="0.2">
      <c r="BB1417" s="9" t="s">
        <v>560</v>
      </c>
      <c r="BC1417" s="22">
        <v>522</v>
      </c>
    </row>
    <row r="1418" spans="54:55" x14ac:dyDescent="0.2">
      <c r="BB1418" s="9" t="s">
        <v>560</v>
      </c>
      <c r="BC1418" s="22">
        <v>523</v>
      </c>
    </row>
    <row r="1419" spans="54:55" x14ac:dyDescent="0.2">
      <c r="BB1419" s="9" t="s">
        <v>560</v>
      </c>
      <c r="BC1419" s="22">
        <v>524</v>
      </c>
    </row>
    <row r="1420" spans="54:55" x14ac:dyDescent="0.2">
      <c r="BB1420" s="9" t="s">
        <v>560</v>
      </c>
      <c r="BC1420" s="22">
        <v>525</v>
      </c>
    </row>
    <row r="1421" spans="54:55" x14ac:dyDescent="0.2">
      <c r="BB1421" s="9" t="s">
        <v>560</v>
      </c>
      <c r="BC1421" s="22">
        <v>526</v>
      </c>
    </row>
    <row r="1422" spans="54:55" x14ac:dyDescent="0.2">
      <c r="BB1422" s="9" t="s">
        <v>560</v>
      </c>
      <c r="BC1422" s="22">
        <v>527</v>
      </c>
    </row>
    <row r="1423" spans="54:55" x14ac:dyDescent="0.2">
      <c r="BB1423" s="9" t="s">
        <v>560</v>
      </c>
      <c r="BC1423" s="22">
        <v>528</v>
      </c>
    </row>
    <row r="1424" spans="54:55" x14ac:dyDescent="0.2">
      <c r="BB1424" s="9" t="s">
        <v>560</v>
      </c>
      <c r="BC1424" s="22">
        <v>529</v>
      </c>
    </row>
    <row r="1425" spans="54:55" x14ac:dyDescent="0.2">
      <c r="BB1425" s="9" t="s">
        <v>560</v>
      </c>
      <c r="BC1425" s="22">
        <v>530</v>
      </c>
    </row>
    <row r="1426" spans="54:55" x14ac:dyDescent="0.2">
      <c r="BB1426" s="9" t="s">
        <v>560</v>
      </c>
      <c r="BC1426" s="22">
        <v>531</v>
      </c>
    </row>
    <row r="1427" spans="54:55" x14ac:dyDescent="0.2">
      <c r="BB1427" s="9" t="s">
        <v>560</v>
      </c>
      <c r="BC1427" s="22">
        <v>532</v>
      </c>
    </row>
    <row r="1428" spans="54:55" x14ac:dyDescent="0.2">
      <c r="BB1428" s="9" t="s">
        <v>560</v>
      </c>
      <c r="BC1428" s="22">
        <v>533</v>
      </c>
    </row>
    <row r="1429" spans="54:55" x14ac:dyDescent="0.2">
      <c r="BB1429" s="9" t="s">
        <v>560</v>
      </c>
      <c r="BC1429" s="22">
        <v>534</v>
      </c>
    </row>
    <row r="1430" spans="54:55" x14ac:dyDescent="0.2">
      <c r="BB1430" s="9" t="s">
        <v>560</v>
      </c>
      <c r="BC1430" s="22">
        <v>535</v>
      </c>
    </row>
    <row r="1431" spans="54:55" x14ac:dyDescent="0.2">
      <c r="BB1431" s="9" t="s">
        <v>560</v>
      </c>
      <c r="BC1431" s="22">
        <v>536</v>
      </c>
    </row>
    <row r="1432" spans="54:55" x14ac:dyDescent="0.2">
      <c r="BB1432" s="9" t="s">
        <v>560</v>
      </c>
      <c r="BC1432" s="22">
        <v>537</v>
      </c>
    </row>
    <row r="1433" spans="54:55" x14ac:dyDescent="0.2">
      <c r="BB1433" s="9" t="s">
        <v>560</v>
      </c>
      <c r="BC1433" s="22">
        <v>538</v>
      </c>
    </row>
    <row r="1434" spans="54:55" x14ac:dyDescent="0.2">
      <c r="BB1434" s="9" t="s">
        <v>560</v>
      </c>
      <c r="BC1434" s="22">
        <v>539</v>
      </c>
    </row>
    <row r="1435" spans="54:55" x14ac:dyDescent="0.2">
      <c r="BB1435" s="9" t="s">
        <v>560</v>
      </c>
      <c r="BC1435" s="22">
        <v>540</v>
      </c>
    </row>
    <row r="1436" spans="54:55" x14ac:dyDescent="0.2">
      <c r="BB1436" s="9" t="s">
        <v>560</v>
      </c>
      <c r="BC1436" s="22">
        <v>541</v>
      </c>
    </row>
    <row r="1437" spans="54:55" x14ac:dyDescent="0.2">
      <c r="BB1437" s="9" t="s">
        <v>560</v>
      </c>
      <c r="BC1437" s="22">
        <v>542</v>
      </c>
    </row>
    <row r="1438" spans="54:55" x14ac:dyDescent="0.2">
      <c r="BB1438" s="9" t="s">
        <v>560</v>
      </c>
      <c r="BC1438" s="22">
        <v>543</v>
      </c>
    </row>
    <row r="1439" spans="54:55" x14ac:dyDescent="0.2">
      <c r="BB1439" s="9" t="s">
        <v>560</v>
      </c>
      <c r="BC1439" s="22">
        <v>544</v>
      </c>
    </row>
    <row r="1440" spans="54:55" x14ac:dyDescent="0.2">
      <c r="BB1440" s="9" t="s">
        <v>560</v>
      </c>
      <c r="BC1440" s="22">
        <v>545</v>
      </c>
    </row>
    <row r="1441" spans="54:55" x14ac:dyDescent="0.2">
      <c r="BB1441" s="9" t="s">
        <v>560</v>
      </c>
      <c r="BC1441" s="22">
        <v>546</v>
      </c>
    </row>
    <row r="1442" spans="54:55" x14ac:dyDescent="0.2">
      <c r="BB1442" s="9" t="s">
        <v>560</v>
      </c>
      <c r="BC1442" s="22">
        <v>547</v>
      </c>
    </row>
    <row r="1443" spans="54:55" x14ac:dyDescent="0.2">
      <c r="BB1443" s="9" t="s">
        <v>560</v>
      </c>
      <c r="BC1443" s="22">
        <v>548</v>
      </c>
    </row>
    <row r="1444" spans="54:55" x14ac:dyDescent="0.2">
      <c r="BB1444" s="9" t="s">
        <v>560</v>
      </c>
      <c r="BC1444" s="22">
        <v>549</v>
      </c>
    </row>
    <row r="1445" spans="54:55" x14ac:dyDescent="0.2">
      <c r="BB1445" s="9" t="s">
        <v>560</v>
      </c>
      <c r="BC1445" s="22">
        <v>550</v>
      </c>
    </row>
    <row r="1446" spans="54:55" x14ac:dyDescent="0.2">
      <c r="BB1446" s="9" t="s">
        <v>560</v>
      </c>
      <c r="BC1446" s="22">
        <v>551</v>
      </c>
    </row>
    <row r="1447" spans="54:55" x14ac:dyDescent="0.2">
      <c r="BB1447" s="9" t="s">
        <v>560</v>
      </c>
      <c r="BC1447" s="22">
        <v>552</v>
      </c>
    </row>
    <row r="1448" spans="54:55" x14ac:dyDescent="0.2">
      <c r="BB1448" s="9" t="s">
        <v>560</v>
      </c>
      <c r="BC1448" s="22">
        <v>553</v>
      </c>
    </row>
    <row r="1449" spans="54:55" x14ac:dyDescent="0.2">
      <c r="BB1449" s="9" t="s">
        <v>560</v>
      </c>
      <c r="BC1449" s="22">
        <v>554</v>
      </c>
    </row>
    <row r="1450" spans="54:55" x14ac:dyDescent="0.2">
      <c r="BB1450" s="9" t="s">
        <v>560</v>
      </c>
      <c r="BC1450" s="22">
        <v>555</v>
      </c>
    </row>
    <row r="1451" spans="54:55" x14ac:dyDescent="0.2">
      <c r="BB1451" s="9" t="s">
        <v>560</v>
      </c>
      <c r="BC1451" s="22">
        <v>556</v>
      </c>
    </row>
    <row r="1452" spans="54:55" x14ac:dyDescent="0.2">
      <c r="BB1452" s="9" t="s">
        <v>560</v>
      </c>
      <c r="BC1452" s="22">
        <v>557</v>
      </c>
    </row>
    <row r="1453" spans="54:55" x14ac:dyDescent="0.2">
      <c r="BB1453" s="9" t="s">
        <v>560</v>
      </c>
      <c r="BC1453" s="22">
        <v>558</v>
      </c>
    </row>
    <row r="1454" spans="54:55" x14ac:dyDescent="0.2">
      <c r="BB1454" s="9" t="s">
        <v>560</v>
      </c>
      <c r="BC1454" s="22">
        <v>559</v>
      </c>
    </row>
    <row r="1455" spans="54:55" x14ac:dyDescent="0.2">
      <c r="BB1455" s="9" t="s">
        <v>560</v>
      </c>
      <c r="BC1455" s="22">
        <v>560</v>
      </c>
    </row>
    <row r="1456" spans="54:55" x14ac:dyDescent="0.2">
      <c r="BB1456" s="9" t="s">
        <v>560</v>
      </c>
      <c r="BC1456" s="22">
        <v>561</v>
      </c>
    </row>
    <row r="1457" spans="54:55" x14ac:dyDescent="0.2">
      <c r="BB1457" s="9" t="s">
        <v>560</v>
      </c>
      <c r="BC1457" s="22">
        <v>562</v>
      </c>
    </row>
    <row r="1458" spans="54:55" x14ac:dyDescent="0.2">
      <c r="BB1458" s="9" t="s">
        <v>560</v>
      </c>
      <c r="BC1458" s="22">
        <v>563</v>
      </c>
    </row>
    <row r="1459" spans="54:55" x14ac:dyDescent="0.2">
      <c r="BB1459" s="9" t="s">
        <v>560</v>
      </c>
      <c r="BC1459" s="22">
        <v>564</v>
      </c>
    </row>
    <row r="1460" spans="54:55" x14ac:dyDescent="0.2">
      <c r="BB1460" s="9" t="s">
        <v>560</v>
      </c>
      <c r="BC1460" s="22">
        <v>565</v>
      </c>
    </row>
    <row r="1461" spans="54:55" x14ac:dyDescent="0.2">
      <c r="BB1461" s="9" t="s">
        <v>560</v>
      </c>
      <c r="BC1461" s="22">
        <v>566</v>
      </c>
    </row>
    <row r="1462" spans="54:55" x14ac:dyDescent="0.2">
      <c r="BB1462" s="9" t="s">
        <v>560</v>
      </c>
      <c r="BC1462" s="22">
        <v>567</v>
      </c>
    </row>
    <row r="1463" spans="54:55" x14ac:dyDescent="0.2">
      <c r="BB1463" s="9" t="s">
        <v>560</v>
      </c>
      <c r="BC1463" s="22">
        <v>568</v>
      </c>
    </row>
    <row r="1464" spans="54:55" x14ac:dyDescent="0.2">
      <c r="BB1464" s="9" t="s">
        <v>560</v>
      </c>
      <c r="BC1464" s="22">
        <v>569</v>
      </c>
    </row>
    <row r="1465" spans="54:55" x14ac:dyDescent="0.2">
      <c r="BB1465" s="9" t="s">
        <v>560</v>
      </c>
      <c r="BC1465" s="22">
        <v>570</v>
      </c>
    </row>
    <row r="1466" spans="54:55" x14ac:dyDescent="0.2">
      <c r="BB1466" s="9" t="s">
        <v>560</v>
      </c>
      <c r="BC1466" s="22">
        <v>571</v>
      </c>
    </row>
    <row r="1467" spans="54:55" x14ac:dyDescent="0.2">
      <c r="BB1467" s="9" t="s">
        <v>560</v>
      </c>
      <c r="BC1467" s="22">
        <v>572</v>
      </c>
    </row>
    <row r="1468" spans="54:55" x14ac:dyDescent="0.2">
      <c r="BB1468" s="9" t="s">
        <v>560</v>
      </c>
      <c r="BC1468" s="22">
        <v>573</v>
      </c>
    </row>
    <row r="1469" spans="54:55" x14ac:dyDescent="0.2">
      <c r="BB1469" s="9" t="s">
        <v>560</v>
      </c>
      <c r="BC1469" s="22">
        <v>574</v>
      </c>
    </row>
    <row r="1470" spans="54:55" x14ac:dyDescent="0.2">
      <c r="BB1470" s="9" t="s">
        <v>560</v>
      </c>
      <c r="BC1470" s="22">
        <v>575</v>
      </c>
    </row>
    <row r="1471" spans="54:55" x14ac:dyDescent="0.2">
      <c r="BB1471" s="9" t="s">
        <v>560</v>
      </c>
      <c r="BC1471" s="22">
        <v>576</v>
      </c>
    </row>
    <row r="1472" spans="54:55" x14ac:dyDescent="0.2">
      <c r="BB1472" s="9" t="s">
        <v>560</v>
      </c>
      <c r="BC1472" s="22">
        <v>577</v>
      </c>
    </row>
    <row r="1473" spans="54:55" x14ac:dyDescent="0.2">
      <c r="BB1473" s="9" t="s">
        <v>560</v>
      </c>
      <c r="BC1473" s="22">
        <v>578</v>
      </c>
    </row>
    <row r="1474" spans="54:55" x14ac:dyDescent="0.2">
      <c r="BB1474" s="9" t="s">
        <v>560</v>
      </c>
      <c r="BC1474" s="22">
        <v>579</v>
      </c>
    </row>
    <row r="1475" spans="54:55" x14ac:dyDescent="0.2">
      <c r="BB1475" s="9" t="s">
        <v>560</v>
      </c>
      <c r="BC1475" s="22">
        <v>580</v>
      </c>
    </row>
    <row r="1476" spans="54:55" x14ac:dyDescent="0.2">
      <c r="BB1476" s="9" t="s">
        <v>560</v>
      </c>
      <c r="BC1476" s="22">
        <v>581</v>
      </c>
    </row>
    <row r="1477" spans="54:55" x14ac:dyDescent="0.2">
      <c r="BB1477" s="9" t="s">
        <v>560</v>
      </c>
      <c r="BC1477" s="22">
        <v>582</v>
      </c>
    </row>
    <row r="1478" spans="54:55" x14ac:dyDescent="0.2">
      <c r="BB1478" s="9" t="s">
        <v>560</v>
      </c>
      <c r="BC1478" s="22">
        <v>583</v>
      </c>
    </row>
    <row r="1479" spans="54:55" x14ac:dyDescent="0.2">
      <c r="BB1479" s="9" t="s">
        <v>560</v>
      </c>
      <c r="BC1479" s="22">
        <v>584</v>
      </c>
    </row>
    <row r="1480" spans="54:55" x14ac:dyDescent="0.2">
      <c r="BB1480" s="9" t="s">
        <v>560</v>
      </c>
      <c r="BC1480" s="22">
        <v>585</v>
      </c>
    </row>
    <row r="1481" spans="54:55" x14ac:dyDescent="0.2">
      <c r="BB1481" s="9" t="s">
        <v>560</v>
      </c>
      <c r="BC1481" s="22">
        <v>586</v>
      </c>
    </row>
    <row r="1482" spans="54:55" x14ac:dyDescent="0.2">
      <c r="BB1482" s="9" t="s">
        <v>560</v>
      </c>
      <c r="BC1482" s="22">
        <v>587</v>
      </c>
    </row>
    <row r="1483" spans="54:55" x14ac:dyDescent="0.2">
      <c r="BB1483" s="9" t="s">
        <v>560</v>
      </c>
      <c r="BC1483" s="22">
        <v>588</v>
      </c>
    </row>
    <row r="1484" spans="54:55" x14ac:dyDescent="0.2">
      <c r="BB1484" s="9" t="s">
        <v>560</v>
      </c>
      <c r="BC1484" s="22">
        <v>589</v>
      </c>
    </row>
    <row r="1485" spans="54:55" x14ac:dyDescent="0.2">
      <c r="BB1485" s="9" t="s">
        <v>560</v>
      </c>
      <c r="BC1485" s="22">
        <v>590</v>
      </c>
    </row>
    <row r="1486" spans="54:55" x14ac:dyDescent="0.2">
      <c r="BB1486" s="9" t="s">
        <v>560</v>
      </c>
      <c r="BC1486" s="22">
        <v>591</v>
      </c>
    </row>
    <row r="1487" spans="54:55" x14ac:dyDescent="0.2">
      <c r="BB1487" s="9" t="s">
        <v>560</v>
      </c>
      <c r="BC1487" s="22">
        <v>592</v>
      </c>
    </row>
    <row r="1488" spans="54:55" x14ac:dyDescent="0.2">
      <c r="BB1488" s="9" t="s">
        <v>560</v>
      </c>
      <c r="BC1488" s="22">
        <v>593</v>
      </c>
    </row>
    <row r="1489" spans="54:55" x14ac:dyDescent="0.2">
      <c r="BB1489" s="9" t="s">
        <v>560</v>
      </c>
      <c r="BC1489" s="22">
        <v>594</v>
      </c>
    </row>
    <row r="1490" spans="54:55" x14ac:dyDescent="0.2">
      <c r="BB1490" s="9" t="s">
        <v>560</v>
      </c>
      <c r="BC1490" s="22">
        <v>595</v>
      </c>
    </row>
    <row r="1491" spans="54:55" x14ac:dyDescent="0.2">
      <c r="BB1491" s="9" t="s">
        <v>560</v>
      </c>
      <c r="BC1491" s="22">
        <v>596</v>
      </c>
    </row>
    <row r="1492" spans="54:55" x14ac:dyDescent="0.2">
      <c r="BB1492" s="9" t="s">
        <v>560</v>
      </c>
      <c r="BC1492" s="22">
        <v>597</v>
      </c>
    </row>
    <row r="1493" spans="54:55" x14ac:dyDescent="0.2">
      <c r="BB1493" s="9" t="s">
        <v>560</v>
      </c>
      <c r="BC1493" s="22">
        <v>598</v>
      </c>
    </row>
    <row r="1494" spans="54:55" x14ac:dyDescent="0.2">
      <c r="BB1494" s="9" t="s">
        <v>560</v>
      </c>
      <c r="BC1494" s="22">
        <v>599</v>
      </c>
    </row>
    <row r="1495" spans="54:55" x14ac:dyDescent="0.2">
      <c r="BB1495" s="9" t="s">
        <v>560</v>
      </c>
      <c r="BC1495" s="22">
        <v>600</v>
      </c>
    </row>
    <row r="1496" spans="54:55" x14ac:dyDescent="0.2">
      <c r="BB1496" s="9" t="s">
        <v>560</v>
      </c>
      <c r="BC1496" s="22">
        <v>601</v>
      </c>
    </row>
    <row r="1497" spans="54:55" x14ac:dyDescent="0.2">
      <c r="BB1497" s="9" t="s">
        <v>560</v>
      </c>
      <c r="BC1497" s="22">
        <v>602</v>
      </c>
    </row>
    <row r="1498" spans="54:55" x14ac:dyDescent="0.2">
      <c r="BB1498" s="9" t="s">
        <v>560</v>
      </c>
      <c r="BC1498" s="22">
        <v>603</v>
      </c>
    </row>
    <row r="1499" spans="54:55" x14ac:dyDescent="0.2">
      <c r="BB1499" s="9" t="s">
        <v>560</v>
      </c>
      <c r="BC1499" s="22">
        <v>604</v>
      </c>
    </row>
    <row r="1500" spans="54:55" x14ac:dyDescent="0.2">
      <c r="BB1500" s="9" t="s">
        <v>560</v>
      </c>
      <c r="BC1500" s="22">
        <v>605</v>
      </c>
    </row>
    <row r="1501" spans="54:55" x14ac:dyDescent="0.2">
      <c r="BB1501" s="9" t="s">
        <v>560</v>
      </c>
      <c r="BC1501" s="22">
        <v>606</v>
      </c>
    </row>
    <row r="1502" spans="54:55" x14ac:dyDescent="0.2">
      <c r="BB1502" s="9" t="s">
        <v>560</v>
      </c>
      <c r="BC1502" s="22">
        <v>607</v>
      </c>
    </row>
    <row r="1503" spans="54:55" x14ac:dyDescent="0.2">
      <c r="BB1503" s="9" t="s">
        <v>560</v>
      </c>
      <c r="BC1503" s="22">
        <v>608</v>
      </c>
    </row>
    <row r="1504" spans="54:55" x14ac:dyDescent="0.2">
      <c r="BB1504" s="9" t="s">
        <v>560</v>
      </c>
      <c r="BC1504" s="22">
        <v>609</v>
      </c>
    </row>
    <row r="1505" spans="54:55" x14ac:dyDescent="0.2">
      <c r="BB1505" s="9" t="s">
        <v>560</v>
      </c>
      <c r="BC1505" s="22">
        <v>610</v>
      </c>
    </row>
    <row r="1506" spans="54:55" x14ac:dyDescent="0.2">
      <c r="BB1506" s="9" t="s">
        <v>560</v>
      </c>
      <c r="BC1506" s="22">
        <v>611</v>
      </c>
    </row>
    <row r="1507" spans="54:55" x14ac:dyDescent="0.2">
      <c r="BB1507" s="9" t="s">
        <v>560</v>
      </c>
      <c r="BC1507" s="22">
        <v>612</v>
      </c>
    </row>
    <row r="1508" spans="54:55" x14ac:dyDescent="0.2">
      <c r="BB1508" s="9" t="s">
        <v>560</v>
      </c>
      <c r="BC1508" s="22">
        <v>613</v>
      </c>
    </row>
    <row r="1509" spans="54:55" x14ac:dyDescent="0.2">
      <c r="BB1509" s="9" t="s">
        <v>560</v>
      </c>
      <c r="BC1509" s="22">
        <v>614</v>
      </c>
    </row>
    <row r="1510" spans="54:55" x14ac:dyDescent="0.2">
      <c r="BB1510" s="9" t="s">
        <v>560</v>
      </c>
      <c r="BC1510" s="22">
        <v>615</v>
      </c>
    </row>
    <row r="1511" spans="54:55" x14ac:dyDescent="0.2">
      <c r="BB1511" s="9" t="s">
        <v>560</v>
      </c>
      <c r="BC1511" s="22">
        <v>616</v>
      </c>
    </row>
    <row r="1512" spans="54:55" x14ac:dyDescent="0.2">
      <c r="BB1512" s="9" t="s">
        <v>560</v>
      </c>
      <c r="BC1512" s="22">
        <v>617</v>
      </c>
    </row>
    <row r="1513" spans="54:55" x14ac:dyDescent="0.2">
      <c r="BB1513" s="9" t="s">
        <v>560</v>
      </c>
      <c r="BC1513" s="22">
        <v>618</v>
      </c>
    </row>
    <row r="1514" spans="54:55" x14ac:dyDescent="0.2">
      <c r="BB1514" s="9" t="s">
        <v>560</v>
      </c>
      <c r="BC1514" s="22">
        <v>619</v>
      </c>
    </row>
    <row r="1515" spans="54:55" x14ac:dyDescent="0.2">
      <c r="BB1515" s="9" t="s">
        <v>560</v>
      </c>
      <c r="BC1515" s="22">
        <v>620</v>
      </c>
    </row>
    <row r="1516" spans="54:55" x14ac:dyDescent="0.2">
      <c r="BB1516" s="9" t="s">
        <v>560</v>
      </c>
      <c r="BC1516" s="22">
        <v>621</v>
      </c>
    </row>
    <row r="1517" spans="54:55" x14ac:dyDescent="0.2">
      <c r="BB1517" s="9" t="s">
        <v>560</v>
      </c>
      <c r="BC1517" s="22">
        <v>622</v>
      </c>
    </row>
    <row r="1518" spans="54:55" x14ac:dyDescent="0.2">
      <c r="BB1518" s="9" t="s">
        <v>560</v>
      </c>
      <c r="BC1518" s="22">
        <v>623</v>
      </c>
    </row>
    <row r="1519" spans="54:55" x14ac:dyDescent="0.2">
      <c r="BB1519" s="9" t="s">
        <v>560</v>
      </c>
      <c r="BC1519" s="22">
        <v>624</v>
      </c>
    </row>
    <row r="1520" spans="54:55" x14ac:dyDescent="0.2">
      <c r="BB1520" s="9" t="s">
        <v>560</v>
      </c>
      <c r="BC1520" s="22">
        <v>625</v>
      </c>
    </row>
    <row r="1521" spans="54:55" x14ac:dyDescent="0.2">
      <c r="BB1521" s="9" t="s">
        <v>560</v>
      </c>
      <c r="BC1521" s="22">
        <v>626</v>
      </c>
    </row>
    <row r="1522" spans="54:55" x14ac:dyDescent="0.2">
      <c r="BB1522" s="9" t="s">
        <v>560</v>
      </c>
      <c r="BC1522" s="22">
        <v>627</v>
      </c>
    </row>
    <row r="1523" spans="54:55" x14ac:dyDescent="0.2">
      <c r="BB1523" s="9" t="s">
        <v>560</v>
      </c>
      <c r="BC1523" s="22">
        <v>628</v>
      </c>
    </row>
    <row r="1524" spans="54:55" x14ac:dyDescent="0.2">
      <c r="BB1524" s="9" t="s">
        <v>560</v>
      </c>
      <c r="BC1524" s="22">
        <v>629</v>
      </c>
    </row>
    <row r="1525" spans="54:55" x14ac:dyDescent="0.2">
      <c r="BB1525" s="9" t="s">
        <v>560</v>
      </c>
      <c r="BC1525" s="22">
        <v>630</v>
      </c>
    </row>
    <row r="1526" spans="54:55" x14ac:dyDescent="0.2">
      <c r="BB1526" s="9" t="s">
        <v>1245</v>
      </c>
      <c r="BC1526" s="1006">
        <v>18</v>
      </c>
    </row>
    <row r="1527" spans="54:55" x14ac:dyDescent="0.2">
      <c r="BB1527" s="9" t="s">
        <v>1245</v>
      </c>
      <c r="BC1527" s="1005">
        <v>19</v>
      </c>
    </row>
    <row r="1528" spans="54:55" x14ac:dyDescent="0.2">
      <c r="BB1528" s="9" t="s">
        <v>1245</v>
      </c>
      <c r="BC1528" s="1006">
        <v>20</v>
      </c>
    </row>
    <row r="1529" spans="54:55" x14ac:dyDescent="0.2">
      <c r="BB1529" s="9" t="s">
        <v>1245</v>
      </c>
      <c r="BC1529" s="1005">
        <v>21</v>
      </c>
    </row>
    <row r="1530" spans="54:55" x14ac:dyDescent="0.2">
      <c r="BB1530" s="9" t="s">
        <v>1245</v>
      </c>
      <c r="BC1530" s="1006">
        <v>22</v>
      </c>
    </row>
    <row r="1531" spans="54:55" x14ac:dyDescent="0.2">
      <c r="BB1531" s="9" t="s">
        <v>1245</v>
      </c>
      <c r="BC1531" s="1005">
        <v>23</v>
      </c>
    </row>
    <row r="1532" spans="54:55" x14ac:dyDescent="0.2">
      <c r="BB1532" s="9" t="s">
        <v>1245</v>
      </c>
      <c r="BC1532" s="1006">
        <v>24</v>
      </c>
    </row>
    <row r="1533" spans="54:55" x14ac:dyDescent="0.2">
      <c r="BB1533" s="9" t="s">
        <v>1245</v>
      </c>
      <c r="BC1533" s="1005">
        <v>25</v>
      </c>
    </row>
    <row r="1534" spans="54:55" x14ac:dyDescent="0.2">
      <c r="BB1534" s="9" t="s">
        <v>1245</v>
      </c>
      <c r="BC1534" s="1006">
        <v>26</v>
      </c>
    </row>
    <row r="1535" spans="54:55" x14ac:dyDescent="0.2">
      <c r="BB1535" s="9" t="s">
        <v>1245</v>
      </c>
      <c r="BC1535" s="1005">
        <v>27</v>
      </c>
    </row>
    <row r="1536" spans="54:55" x14ac:dyDescent="0.2">
      <c r="BB1536" s="9" t="s">
        <v>1245</v>
      </c>
      <c r="BC1536" s="1006">
        <v>28</v>
      </c>
    </row>
    <row r="1537" spans="54:55" x14ac:dyDescent="0.2">
      <c r="BB1537" s="9" t="s">
        <v>1245</v>
      </c>
      <c r="BC1537" s="1005">
        <v>29</v>
      </c>
    </row>
    <row r="1538" spans="54:55" x14ac:dyDescent="0.2">
      <c r="BB1538" s="9" t="s">
        <v>1245</v>
      </c>
      <c r="BC1538" s="1006">
        <v>30</v>
      </c>
    </row>
    <row r="1539" spans="54:55" x14ac:dyDescent="0.2">
      <c r="BB1539" s="9" t="s">
        <v>1245</v>
      </c>
      <c r="BC1539" s="1005">
        <v>31</v>
      </c>
    </row>
    <row r="1540" spans="54:55" x14ac:dyDescent="0.2">
      <c r="BB1540" s="9" t="s">
        <v>1245</v>
      </c>
      <c r="BC1540" s="1006">
        <v>32</v>
      </c>
    </row>
    <row r="1541" spans="54:55" x14ac:dyDescent="0.2">
      <c r="BB1541" s="9" t="s">
        <v>1245</v>
      </c>
      <c r="BC1541" s="1005">
        <v>33</v>
      </c>
    </row>
    <row r="1542" spans="54:55" x14ac:dyDescent="0.2">
      <c r="BB1542" s="9" t="s">
        <v>1245</v>
      </c>
      <c r="BC1542" s="1006">
        <v>34</v>
      </c>
    </row>
    <row r="1543" spans="54:55" x14ac:dyDescent="0.2">
      <c r="BB1543" s="9" t="s">
        <v>1245</v>
      </c>
      <c r="BC1543" s="1005">
        <v>35</v>
      </c>
    </row>
    <row r="1544" spans="54:55" x14ac:dyDescent="0.2">
      <c r="BB1544" s="9" t="s">
        <v>1245</v>
      </c>
      <c r="BC1544" s="1006">
        <v>36</v>
      </c>
    </row>
    <row r="1545" spans="54:55" x14ac:dyDescent="0.2">
      <c r="BB1545" s="9" t="s">
        <v>1245</v>
      </c>
      <c r="BC1545" s="1005">
        <v>37</v>
      </c>
    </row>
    <row r="1546" spans="54:55" x14ac:dyDescent="0.2">
      <c r="BB1546" s="9" t="s">
        <v>1245</v>
      </c>
      <c r="BC1546" s="1006">
        <v>38</v>
      </c>
    </row>
    <row r="1547" spans="54:55" x14ac:dyDescent="0.2">
      <c r="BB1547" s="9" t="s">
        <v>1245</v>
      </c>
      <c r="BC1547" s="1005">
        <v>39</v>
      </c>
    </row>
    <row r="1548" spans="54:55" x14ac:dyDescent="0.2">
      <c r="BB1548" s="9" t="s">
        <v>1245</v>
      </c>
      <c r="BC1548" s="1006">
        <v>40</v>
      </c>
    </row>
    <row r="1549" spans="54:55" x14ac:dyDescent="0.2">
      <c r="BB1549" s="9" t="s">
        <v>1248</v>
      </c>
      <c r="BC1549" s="1005">
        <v>40</v>
      </c>
    </row>
    <row r="1550" spans="54:55" x14ac:dyDescent="0.2">
      <c r="BB1550" s="9" t="s">
        <v>1248</v>
      </c>
      <c r="BC1550" s="1005">
        <v>41</v>
      </c>
    </row>
    <row r="1551" spans="54:55" x14ac:dyDescent="0.2">
      <c r="BB1551" s="9" t="s">
        <v>1248</v>
      </c>
      <c r="BC1551" s="1005">
        <v>42</v>
      </c>
    </row>
    <row r="1552" spans="54:55" x14ac:dyDescent="0.2">
      <c r="BB1552" s="9" t="s">
        <v>1248</v>
      </c>
      <c r="BC1552" s="1005">
        <v>43</v>
      </c>
    </row>
    <row r="1553" spans="54:55" x14ac:dyDescent="0.2">
      <c r="BB1553" s="9" t="s">
        <v>1248</v>
      </c>
      <c r="BC1553" s="1005">
        <v>44</v>
      </c>
    </row>
    <row r="1554" spans="54:55" x14ac:dyDescent="0.2">
      <c r="BB1554" s="9" t="s">
        <v>1248</v>
      </c>
      <c r="BC1554" s="1005">
        <v>45</v>
      </c>
    </row>
    <row r="1555" spans="54:55" x14ac:dyDescent="0.2">
      <c r="BB1555" s="9" t="s">
        <v>1248</v>
      </c>
      <c r="BC1555" s="1005">
        <v>46</v>
      </c>
    </row>
    <row r="1556" spans="54:55" x14ac:dyDescent="0.2">
      <c r="BB1556" s="9" t="s">
        <v>1248</v>
      </c>
      <c r="BC1556" s="1005">
        <v>47</v>
      </c>
    </row>
    <row r="1557" spans="54:55" x14ac:dyDescent="0.2">
      <c r="BB1557" s="9" t="s">
        <v>1248</v>
      </c>
      <c r="BC1557" s="1005">
        <v>48</v>
      </c>
    </row>
    <row r="1558" spans="54:55" x14ac:dyDescent="0.2">
      <c r="BB1558" s="9" t="s">
        <v>1248</v>
      </c>
      <c r="BC1558" s="1005">
        <v>49</v>
      </c>
    </row>
    <row r="1559" spans="54:55" x14ac:dyDescent="0.2">
      <c r="BB1559" s="9" t="s">
        <v>1248</v>
      </c>
      <c r="BC1559" s="1005">
        <v>50</v>
      </c>
    </row>
    <row r="1560" spans="54:55" x14ac:dyDescent="0.2">
      <c r="BB1560" s="9" t="s">
        <v>1248</v>
      </c>
      <c r="BC1560" s="1005">
        <v>51</v>
      </c>
    </row>
    <row r="1561" spans="54:55" x14ac:dyDescent="0.2">
      <c r="BB1561" s="9" t="s">
        <v>1248</v>
      </c>
      <c r="BC1561" s="1005">
        <v>52</v>
      </c>
    </row>
    <row r="1562" spans="54:55" x14ac:dyDescent="0.2">
      <c r="BB1562" s="9" t="s">
        <v>1248</v>
      </c>
      <c r="BC1562" s="1005">
        <v>53</v>
      </c>
    </row>
    <row r="1563" spans="54:55" x14ac:dyDescent="0.2">
      <c r="BB1563" s="9" t="s">
        <v>1248</v>
      </c>
      <c r="BC1563" s="1005">
        <v>54</v>
      </c>
    </row>
    <row r="1564" spans="54:55" x14ac:dyDescent="0.2">
      <c r="BB1564" s="9" t="s">
        <v>1248</v>
      </c>
      <c r="BC1564" s="1005">
        <v>55</v>
      </c>
    </row>
    <row r="1565" spans="54:55" x14ac:dyDescent="0.2">
      <c r="BB1565" s="9" t="s">
        <v>1248</v>
      </c>
      <c r="BC1565" s="1005">
        <v>56</v>
      </c>
    </row>
    <row r="1566" spans="54:55" x14ac:dyDescent="0.2">
      <c r="BB1566" s="9" t="s">
        <v>1248</v>
      </c>
      <c r="BC1566" s="1005">
        <v>57</v>
      </c>
    </row>
    <row r="1567" spans="54:55" x14ac:dyDescent="0.2">
      <c r="BB1567" s="9" t="s">
        <v>1248</v>
      </c>
      <c r="BC1567" s="1005">
        <v>58</v>
      </c>
    </row>
    <row r="1568" spans="54:55" x14ac:dyDescent="0.2">
      <c r="BB1568" s="9" t="s">
        <v>1248</v>
      </c>
      <c r="BC1568" s="1005">
        <v>59</v>
      </c>
    </row>
    <row r="1569" spans="54:55" x14ac:dyDescent="0.2">
      <c r="BB1569" s="9" t="s">
        <v>1248</v>
      </c>
      <c r="BC1569" s="1005">
        <v>60</v>
      </c>
    </row>
    <row r="1570" spans="54:55" x14ac:dyDescent="0.2">
      <c r="BB1570" s="9" t="s">
        <v>1248</v>
      </c>
      <c r="BC1570" s="1005">
        <v>61</v>
      </c>
    </row>
    <row r="1571" spans="54:55" x14ac:dyDescent="0.2">
      <c r="BB1571" s="9" t="s">
        <v>1248</v>
      </c>
      <c r="BC1571" s="1005">
        <v>62</v>
      </c>
    </row>
    <row r="1572" spans="54:55" x14ac:dyDescent="0.2">
      <c r="BB1572" s="9" t="s">
        <v>1248</v>
      </c>
      <c r="BC1572" s="1005">
        <v>63</v>
      </c>
    </row>
    <row r="1573" spans="54:55" x14ac:dyDescent="0.2">
      <c r="BB1573" s="9" t="s">
        <v>1248</v>
      </c>
      <c r="BC1573" s="1005">
        <v>64</v>
      </c>
    </row>
    <row r="1574" spans="54:55" x14ac:dyDescent="0.2">
      <c r="BB1574" s="9" t="s">
        <v>1248</v>
      </c>
      <c r="BC1574" s="1005">
        <v>65</v>
      </c>
    </row>
    <row r="1575" spans="54:55" x14ac:dyDescent="0.2">
      <c r="BB1575" s="9" t="s">
        <v>1248</v>
      </c>
      <c r="BC1575" s="1005">
        <v>66</v>
      </c>
    </row>
    <row r="1576" spans="54:55" x14ac:dyDescent="0.2">
      <c r="BB1576" s="9" t="s">
        <v>1248</v>
      </c>
      <c r="BC1576" s="1005">
        <v>67</v>
      </c>
    </row>
    <row r="1577" spans="54:55" x14ac:dyDescent="0.2">
      <c r="BB1577" s="9" t="s">
        <v>1248</v>
      </c>
      <c r="BC1577" s="1005">
        <v>68</v>
      </c>
    </row>
    <row r="1578" spans="54:55" x14ac:dyDescent="0.2">
      <c r="BB1578" s="9" t="s">
        <v>1248</v>
      </c>
      <c r="BC1578" s="1005">
        <v>69</v>
      </c>
    </row>
    <row r="1579" spans="54:55" x14ac:dyDescent="0.2">
      <c r="BB1579" s="9" t="s">
        <v>1248</v>
      </c>
      <c r="BC1579" s="1005">
        <v>70</v>
      </c>
    </row>
    <row r="1580" spans="54:55" x14ac:dyDescent="0.2">
      <c r="BB1580" s="9" t="s">
        <v>1248</v>
      </c>
      <c r="BC1580" s="1005">
        <v>71</v>
      </c>
    </row>
    <row r="1581" spans="54:55" x14ac:dyDescent="0.2">
      <c r="BB1581" s="9" t="s">
        <v>1248</v>
      </c>
      <c r="BC1581" s="1005">
        <v>72</v>
      </c>
    </row>
    <row r="1582" spans="54:55" x14ac:dyDescent="0.2">
      <c r="BB1582" s="9" t="s">
        <v>1248</v>
      </c>
      <c r="BC1582" s="1005">
        <v>73</v>
      </c>
    </row>
    <row r="1583" spans="54:55" x14ac:dyDescent="0.2">
      <c r="BB1583" s="9" t="s">
        <v>1248</v>
      </c>
      <c r="BC1583" s="1005">
        <v>74</v>
      </c>
    </row>
    <row r="1584" spans="54:55" x14ac:dyDescent="0.2">
      <c r="BB1584" s="9" t="s">
        <v>1248</v>
      </c>
      <c r="BC1584" s="1005">
        <v>75</v>
      </c>
    </row>
    <row r="1585" spans="54:55" x14ac:dyDescent="0.2">
      <c r="BB1585" s="9" t="s">
        <v>1248</v>
      </c>
      <c r="BC1585" s="1005">
        <v>76</v>
      </c>
    </row>
    <row r="1586" spans="54:55" x14ac:dyDescent="0.2">
      <c r="BB1586" s="9" t="s">
        <v>1248</v>
      </c>
      <c r="BC1586" s="1005">
        <v>77</v>
      </c>
    </row>
    <row r="1587" spans="54:55" x14ac:dyDescent="0.2">
      <c r="BB1587" s="9" t="s">
        <v>1248</v>
      </c>
      <c r="BC1587" s="1005">
        <v>78</v>
      </c>
    </row>
    <row r="1588" spans="54:55" x14ac:dyDescent="0.2">
      <c r="BB1588" s="9" t="s">
        <v>1248</v>
      </c>
      <c r="BC1588" s="1005">
        <v>79</v>
      </c>
    </row>
    <row r="1589" spans="54:55" x14ac:dyDescent="0.2">
      <c r="BB1589" s="9" t="s">
        <v>1248</v>
      </c>
      <c r="BC1589" s="1005">
        <v>80</v>
      </c>
    </row>
    <row r="1590" spans="54:55" x14ac:dyDescent="0.2">
      <c r="BB1590" s="9" t="s">
        <v>1248</v>
      </c>
      <c r="BC1590" s="1005">
        <v>81</v>
      </c>
    </row>
    <row r="1591" spans="54:55" x14ac:dyDescent="0.2">
      <c r="BB1591" s="9" t="s">
        <v>1248</v>
      </c>
      <c r="BC1591" s="1005">
        <v>82</v>
      </c>
    </row>
    <row r="1592" spans="54:55" x14ac:dyDescent="0.2">
      <c r="BB1592" s="9" t="s">
        <v>1248</v>
      </c>
      <c r="BC1592" s="1005">
        <v>83</v>
      </c>
    </row>
    <row r="1593" spans="54:55" x14ac:dyDescent="0.2">
      <c r="BB1593" s="9" t="s">
        <v>1248</v>
      </c>
      <c r="BC1593" s="1005">
        <v>84</v>
      </c>
    </row>
    <row r="1594" spans="54:55" x14ac:dyDescent="0.2">
      <c r="BB1594" s="9" t="s">
        <v>1248</v>
      </c>
      <c r="BC1594" s="1005">
        <v>85</v>
      </c>
    </row>
    <row r="1595" spans="54:55" x14ac:dyDescent="0.2">
      <c r="BB1595" s="9" t="s">
        <v>1248</v>
      </c>
      <c r="BC1595" s="1005">
        <v>86</v>
      </c>
    </row>
    <row r="1596" spans="54:55" x14ac:dyDescent="0.2">
      <c r="BB1596" s="9" t="s">
        <v>1248</v>
      </c>
      <c r="BC1596" s="1005">
        <v>87</v>
      </c>
    </row>
    <row r="1597" spans="54:55" x14ac:dyDescent="0.2">
      <c r="BB1597" s="9" t="s">
        <v>1248</v>
      </c>
      <c r="BC1597" s="1005">
        <v>88</v>
      </c>
    </row>
    <row r="1598" spans="54:55" x14ac:dyDescent="0.2">
      <c r="BB1598" s="9" t="s">
        <v>1248</v>
      </c>
      <c r="BC1598" s="1005">
        <v>89</v>
      </c>
    </row>
    <row r="1599" spans="54:55" x14ac:dyDescent="0.2">
      <c r="BB1599" s="9" t="s">
        <v>1248</v>
      </c>
      <c r="BC1599" s="1005">
        <v>90</v>
      </c>
    </row>
    <row r="1600" spans="54:55" x14ac:dyDescent="0.2">
      <c r="BB1600" s="9" t="s">
        <v>1248</v>
      </c>
      <c r="BC1600" s="1005">
        <v>91</v>
      </c>
    </row>
    <row r="1601" spans="54:55" x14ac:dyDescent="0.2">
      <c r="BB1601" s="9" t="s">
        <v>1248</v>
      </c>
      <c r="BC1601" s="1005">
        <v>92</v>
      </c>
    </row>
    <row r="1602" spans="54:55" x14ac:dyDescent="0.2">
      <c r="BB1602" s="9" t="s">
        <v>1248</v>
      </c>
      <c r="BC1602" s="1005">
        <v>93</v>
      </c>
    </row>
    <row r="1603" spans="54:55" x14ac:dyDescent="0.2">
      <c r="BB1603" s="9" t="s">
        <v>1248</v>
      </c>
      <c r="BC1603" s="1005">
        <v>94</v>
      </c>
    </row>
    <row r="1604" spans="54:55" x14ac:dyDescent="0.2">
      <c r="BB1604" s="9" t="s">
        <v>1248</v>
      </c>
      <c r="BC1604" s="1005">
        <v>95</v>
      </c>
    </row>
    <row r="1605" spans="54:55" x14ac:dyDescent="0.2">
      <c r="BB1605" s="9" t="s">
        <v>1248</v>
      </c>
      <c r="BC1605" s="1005">
        <v>96</v>
      </c>
    </row>
    <row r="1606" spans="54:55" x14ac:dyDescent="0.2">
      <c r="BB1606" s="9" t="s">
        <v>1248</v>
      </c>
      <c r="BC1606" s="1005">
        <v>97</v>
      </c>
    </row>
    <row r="1607" spans="54:55" x14ac:dyDescent="0.2">
      <c r="BB1607" s="9" t="s">
        <v>1248</v>
      </c>
      <c r="BC1607" s="1005">
        <v>98</v>
      </c>
    </row>
    <row r="1608" spans="54:55" x14ac:dyDescent="0.2">
      <c r="BB1608" s="9" t="s">
        <v>1248</v>
      </c>
      <c r="BC1608" s="1005">
        <v>99</v>
      </c>
    </row>
    <row r="1609" spans="54:55" x14ac:dyDescent="0.2">
      <c r="BB1609" s="9" t="s">
        <v>1248</v>
      </c>
      <c r="BC1609" s="1005">
        <v>100</v>
      </c>
    </row>
    <row r="1610" spans="54:55" x14ac:dyDescent="0.2">
      <c r="BB1610" s="9" t="s">
        <v>1251</v>
      </c>
      <c r="BC1610" s="1005">
        <v>63</v>
      </c>
    </row>
    <row r="1611" spans="54:55" x14ac:dyDescent="0.2">
      <c r="BB1611" s="9" t="s">
        <v>1251</v>
      </c>
      <c r="BC1611" s="1005">
        <v>64</v>
      </c>
    </row>
    <row r="1612" spans="54:55" x14ac:dyDescent="0.2">
      <c r="BB1612" s="9" t="s">
        <v>1251</v>
      </c>
      <c r="BC1612" s="1005">
        <v>65</v>
      </c>
    </row>
    <row r="1613" spans="54:55" x14ac:dyDescent="0.2">
      <c r="BB1613" s="9" t="s">
        <v>1251</v>
      </c>
      <c r="BC1613" s="1005">
        <v>66</v>
      </c>
    </row>
    <row r="1614" spans="54:55" x14ac:dyDescent="0.2">
      <c r="BB1614" s="9" t="s">
        <v>1251</v>
      </c>
      <c r="BC1614" s="1005">
        <v>67</v>
      </c>
    </row>
    <row r="1615" spans="54:55" x14ac:dyDescent="0.2">
      <c r="BB1615" s="9" t="s">
        <v>1251</v>
      </c>
      <c r="BC1615" s="1005">
        <v>68</v>
      </c>
    </row>
    <row r="1616" spans="54:55" x14ac:dyDescent="0.2">
      <c r="BB1616" s="9" t="s">
        <v>1251</v>
      </c>
      <c r="BC1616" s="1005">
        <v>69</v>
      </c>
    </row>
    <row r="1617" spans="54:55" x14ac:dyDescent="0.2">
      <c r="BB1617" s="9" t="s">
        <v>1251</v>
      </c>
      <c r="BC1617" s="1005">
        <v>70</v>
      </c>
    </row>
    <row r="1618" spans="54:55" x14ac:dyDescent="0.2">
      <c r="BB1618" s="9" t="s">
        <v>1251</v>
      </c>
      <c r="BC1618" s="1005">
        <v>71</v>
      </c>
    </row>
    <row r="1619" spans="54:55" x14ac:dyDescent="0.2">
      <c r="BB1619" s="9" t="s">
        <v>1251</v>
      </c>
      <c r="BC1619" s="1005">
        <v>72</v>
      </c>
    </row>
    <row r="1620" spans="54:55" x14ac:dyDescent="0.2">
      <c r="BB1620" s="9" t="s">
        <v>1251</v>
      </c>
      <c r="BC1620" s="1005">
        <v>73</v>
      </c>
    </row>
    <row r="1621" spans="54:55" x14ac:dyDescent="0.2">
      <c r="BB1621" s="9" t="s">
        <v>1251</v>
      </c>
      <c r="BC1621" s="1005">
        <v>74</v>
      </c>
    </row>
    <row r="1622" spans="54:55" x14ac:dyDescent="0.2">
      <c r="BB1622" s="9" t="s">
        <v>1251</v>
      </c>
      <c r="BC1622" s="1005">
        <v>75</v>
      </c>
    </row>
    <row r="1623" spans="54:55" x14ac:dyDescent="0.2">
      <c r="BB1623" s="9" t="s">
        <v>1251</v>
      </c>
      <c r="BC1623" s="1005">
        <v>76</v>
      </c>
    </row>
    <row r="1624" spans="54:55" x14ac:dyDescent="0.2">
      <c r="BB1624" s="9" t="s">
        <v>1251</v>
      </c>
      <c r="BC1624" s="1005">
        <v>77</v>
      </c>
    </row>
    <row r="1625" spans="54:55" x14ac:dyDescent="0.2">
      <c r="BB1625" s="9" t="s">
        <v>1251</v>
      </c>
      <c r="BC1625" s="1005">
        <v>78</v>
      </c>
    </row>
    <row r="1626" spans="54:55" x14ac:dyDescent="0.2">
      <c r="BB1626" s="9" t="s">
        <v>1251</v>
      </c>
      <c r="BC1626" s="1005">
        <v>79</v>
      </c>
    </row>
    <row r="1627" spans="54:55" x14ac:dyDescent="0.2">
      <c r="BB1627" s="9" t="s">
        <v>1251</v>
      </c>
      <c r="BC1627" s="1005">
        <v>80</v>
      </c>
    </row>
    <row r="1628" spans="54:55" x14ac:dyDescent="0.2">
      <c r="BB1628" s="9" t="s">
        <v>1251</v>
      </c>
      <c r="BC1628" s="1005">
        <v>81</v>
      </c>
    </row>
    <row r="1629" spans="54:55" x14ac:dyDescent="0.2">
      <c r="BB1629" s="9" t="s">
        <v>1251</v>
      </c>
      <c r="BC1629" s="1005">
        <v>82</v>
      </c>
    </row>
    <row r="1630" spans="54:55" x14ac:dyDescent="0.2">
      <c r="BB1630" s="9" t="s">
        <v>1251</v>
      </c>
      <c r="BC1630" s="1005">
        <v>83</v>
      </c>
    </row>
    <row r="1631" spans="54:55" x14ac:dyDescent="0.2">
      <c r="BB1631" s="9" t="s">
        <v>1251</v>
      </c>
      <c r="BC1631" s="1005">
        <v>84</v>
      </c>
    </row>
    <row r="1632" spans="54:55" x14ac:dyDescent="0.2">
      <c r="BB1632" s="9" t="s">
        <v>1251</v>
      </c>
      <c r="BC1632" s="1005">
        <v>85</v>
      </c>
    </row>
    <row r="1633" spans="54:55" x14ac:dyDescent="0.2">
      <c r="BB1633" s="9" t="s">
        <v>1251</v>
      </c>
      <c r="BC1633" s="1005">
        <v>86</v>
      </c>
    </row>
    <row r="1634" spans="54:55" x14ac:dyDescent="0.2">
      <c r="BB1634" s="9" t="s">
        <v>1251</v>
      </c>
      <c r="BC1634" s="1005">
        <v>87</v>
      </c>
    </row>
    <row r="1635" spans="54:55" x14ac:dyDescent="0.2">
      <c r="BB1635" s="9" t="s">
        <v>1251</v>
      </c>
      <c r="BC1635" s="1005">
        <v>88</v>
      </c>
    </row>
    <row r="1636" spans="54:55" x14ac:dyDescent="0.2">
      <c r="BB1636" s="9" t="s">
        <v>1251</v>
      </c>
      <c r="BC1636" s="1005">
        <v>89</v>
      </c>
    </row>
    <row r="1637" spans="54:55" x14ac:dyDescent="0.2">
      <c r="BB1637" s="9" t="s">
        <v>1251</v>
      </c>
      <c r="BC1637" s="1005">
        <v>90</v>
      </c>
    </row>
    <row r="1638" spans="54:55" x14ac:dyDescent="0.2">
      <c r="BB1638" s="9" t="s">
        <v>1251</v>
      </c>
      <c r="BC1638" s="1005">
        <v>91</v>
      </c>
    </row>
    <row r="1639" spans="54:55" x14ac:dyDescent="0.2">
      <c r="BB1639" s="9" t="s">
        <v>1251</v>
      </c>
      <c r="BC1639" s="1005">
        <v>92</v>
      </c>
    </row>
    <row r="1640" spans="54:55" x14ac:dyDescent="0.2">
      <c r="BB1640" s="9" t="s">
        <v>1251</v>
      </c>
      <c r="BC1640" s="1005">
        <v>93</v>
      </c>
    </row>
    <row r="1641" spans="54:55" x14ac:dyDescent="0.2">
      <c r="BB1641" s="9" t="s">
        <v>1251</v>
      </c>
      <c r="BC1641" s="1005">
        <v>94</v>
      </c>
    </row>
    <row r="1642" spans="54:55" x14ac:dyDescent="0.2">
      <c r="BB1642" s="9" t="s">
        <v>1251</v>
      </c>
      <c r="BC1642" s="1005">
        <v>95</v>
      </c>
    </row>
    <row r="1643" spans="54:55" x14ac:dyDescent="0.2">
      <c r="BB1643" s="9" t="s">
        <v>1251</v>
      </c>
      <c r="BC1643" s="1005">
        <v>96</v>
      </c>
    </row>
    <row r="1644" spans="54:55" x14ac:dyDescent="0.2">
      <c r="BB1644" s="9" t="s">
        <v>1251</v>
      </c>
      <c r="BC1644" s="1005">
        <v>97</v>
      </c>
    </row>
    <row r="1645" spans="54:55" x14ac:dyDescent="0.2">
      <c r="BB1645" s="9" t="s">
        <v>1251</v>
      </c>
      <c r="BC1645" s="1005">
        <v>98</v>
      </c>
    </row>
    <row r="1646" spans="54:55" x14ac:dyDescent="0.2">
      <c r="BB1646" s="9" t="s">
        <v>1251</v>
      </c>
      <c r="BC1646" s="1005">
        <v>99</v>
      </c>
    </row>
    <row r="1647" spans="54:55" x14ac:dyDescent="0.2">
      <c r="BB1647" s="9" t="s">
        <v>1251</v>
      </c>
      <c r="BC1647" s="1005">
        <v>100</v>
      </c>
    </row>
    <row r="1648" spans="54:55" x14ac:dyDescent="0.2">
      <c r="BB1648" s="9" t="s">
        <v>1251</v>
      </c>
      <c r="BC1648" s="1005">
        <v>101</v>
      </c>
    </row>
    <row r="1649" spans="54:55" x14ac:dyDescent="0.2">
      <c r="BB1649" s="9" t="s">
        <v>1251</v>
      </c>
      <c r="BC1649" s="1005">
        <v>102</v>
      </c>
    </row>
    <row r="1650" spans="54:55" x14ac:dyDescent="0.2">
      <c r="BB1650" s="9" t="s">
        <v>1251</v>
      </c>
      <c r="BC1650" s="1005">
        <v>103</v>
      </c>
    </row>
    <row r="1651" spans="54:55" x14ac:dyDescent="0.2">
      <c r="BB1651" s="9" t="s">
        <v>1251</v>
      </c>
      <c r="BC1651" s="1005">
        <v>104</v>
      </c>
    </row>
    <row r="1652" spans="54:55" x14ac:dyDescent="0.2">
      <c r="BB1652" s="9" t="s">
        <v>1251</v>
      </c>
      <c r="BC1652" s="1005">
        <v>105</v>
      </c>
    </row>
    <row r="1653" spans="54:55" x14ac:dyDescent="0.2">
      <c r="BB1653" s="9" t="s">
        <v>1251</v>
      </c>
      <c r="BC1653" s="1005">
        <v>106</v>
      </c>
    </row>
    <row r="1654" spans="54:55" x14ac:dyDescent="0.2">
      <c r="BB1654" s="9" t="s">
        <v>1251</v>
      </c>
      <c r="BC1654" s="1005">
        <v>107</v>
      </c>
    </row>
    <row r="1655" spans="54:55" x14ac:dyDescent="0.2">
      <c r="BB1655" s="9" t="s">
        <v>1251</v>
      </c>
      <c r="BC1655" s="1005">
        <v>108</v>
      </c>
    </row>
    <row r="1656" spans="54:55" x14ac:dyDescent="0.2">
      <c r="BB1656" s="9" t="s">
        <v>1251</v>
      </c>
      <c r="BC1656" s="1005">
        <v>109</v>
      </c>
    </row>
    <row r="1657" spans="54:55" x14ac:dyDescent="0.2">
      <c r="BB1657" s="9" t="s">
        <v>1251</v>
      </c>
      <c r="BC1657" s="1005">
        <v>110</v>
      </c>
    </row>
    <row r="1658" spans="54:55" x14ac:dyDescent="0.2">
      <c r="BB1658" s="9" t="s">
        <v>1251</v>
      </c>
      <c r="BC1658" s="1005">
        <v>111</v>
      </c>
    </row>
    <row r="1659" spans="54:55" x14ac:dyDescent="0.2">
      <c r="BB1659" s="9" t="s">
        <v>1251</v>
      </c>
      <c r="BC1659" s="1005">
        <v>112</v>
      </c>
    </row>
    <row r="1660" spans="54:55" x14ac:dyDescent="0.2">
      <c r="BB1660" s="9" t="s">
        <v>1251</v>
      </c>
      <c r="BC1660" s="1005">
        <v>113</v>
      </c>
    </row>
    <row r="1661" spans="54:55" x14ac:dyDescent="0.2">
      <c r="BB1661" s="9" t="s">
        <v>1251</v>
      </c>
      <c r="BC1661" s="1005">
        <v>114</v>
      </c>
    </row>
    <row r="1662" spans="54:55" x14ac:dyDescent="0.2">
      <c r="BB1662" s="9" t="s">
        <v>1251</v>
      </c>
      <c r="BC1662" s="1005">
        <v>115</v>
      </c>
    </row>
    <row r="1663" spans="54:55" x14ac:dyDescent="0.2">
      <c r="BB1663" s="9" t="s">
        <v>1251</v>
      </c>
      <c r="BC1663" s="1005">
        <v>116</v>
      </c>
    </row>
    <row r="1664" spans="54:55" x14ac:dyDescent="0.2">
      <c r="BB1664" s="9" t="s">
        <v>1251</v>
      </c>
      <c r="BC1664" s="1005">
        <v>117</v>
      </c>
    </row>
    <row r="1665" spans="54:55" x14ac:dyDescent="0.2">
      <c r="BB1665" s="9" t="s">
        <v>1251</v>
      </c>
      <c r="BC1665" s="1005">
        <v>118</v>
      </c>
    </row>
    <row r="1666" spans="54:55" x14ac:dyDescent="0.2">
      <c r="BB1666" s="9" t="s">
        <v>1251</v>
      </c>
      <c r="BC1666" s="1005">
        <v>119</v>
      </c>
    </row>
    <row r="1667" spans="54:55" x14ac:dyDescent="0.2">
      <c r="BB1667" s="9" t="s">
        <v>1251</v>
      </c>
      <c r="BC1667" s="1005">
        <v>120</v>
      </c>
    </row>
    <row r="1668" spans="54:55" x14ac:dyDescent="0.2">
      <c r="BB1668" s="9" t="s">
        <v>1251</v>
      </c>
      <c r="BC1668" s="1005">
        <v>121</v>
      </c>
    </row>
    <row r="1669" spans="54:55" x14ac:dyDescent="0.2">
      <c r="BB1669" s="9" t="s">
        <v>1251</v>
      </c>
      <c r="BC1669" s="1005">
        <v>122</v>
      </c>
    </row>
    <row r="1670" spans="54:55" x14ac:dyDescent="0.2">
      <c r="BB1670" s="9" t="s">
        <v>1251</v>
      </c>
      <c r="BC1670" s="1005">
        <v>123</v>
      </c>
    </row>
    <row r="1671" spans="54:55" x14ac:dyDescent="0.2">
      <c r="BB1671" s="9" t="s">
        <v>1251</v>
      </c>
      <c r="BC1671" s="1005">
        <v>124</v>
      </c>
    </row>
    <row r="1672" spans="54:55" x14ac:dyDescent="0.2">
      <c r="BB1672" s="9" t="s">
        <v>1251</v>
      </c>
      <c r="BC1672" s="1005">
        <v>125</v>
      </c>
    </row>
    <row r="1673" spans="54:55" x14ac:dyDescent="0.2">
      <c r="BB1673" s="9" t="s">
        <v>1251</v>
      </c>
      <c r="BC1673" s="1005">
        <v>126</v>
      </c>
    </row>
    <row r="1674" spans="54:55" x14ac:dyDescent="0.2">
      <c r="BB1674" s="9" t="s">
        <v>1251</v>
      </c>
      <c r="BC1674" s="1005">
        <v>127</v>
      </c>
    </row>
    <row r="1675" spans="54:55" x14ac:dyDescent="0.2">
      <c r="BB1675" s="9" t="s">
        <v>1251</v>
      </c>
      <c r="BC1675" s="1005">
        <v>128</v>
      </c>
    </row>
    <row r="1676" spans="54:55" x14ac:dyDescent="0.2">
      <c r="BB1676" s="9" t="s">
        <v>1251</v>
      </c>
      <c r="BC1676" s="1005">
        <v>129</v>
      </c>
    </row>
    <row r="1677" spans="54:55" x14ac:dyDescent="0.2">
      <c r="BB1677" s="9" t="s">
        <v>1251</v>
      </c>
      <c r="BC1677" s="1005">
        <v>130</v>
      </c>
    </row>
    <row r="1678" spans="54:55" x14ac:dyDescent="0.2">
      <c r="BB1678" s="9" t="s">
        <v>1251</v>
      </c>
      <c r="BC1678" s="1005">
        <v>131</v>
      </c>
    </row>
    <row r="1679" spans="54:55" x14ac:dyDescent="0.2">
      <c r="BB1679" s="9" t="s">
        <v>1251</v>
      </c>
      <c r="BC1679" s="1005">
        <v>132</v>
      </c>
    </row>
    <row r="1680" spans="54:55" x14ac:dyDescent="0.2">
      <c r="BB1680" s="9" t="s">
        <v>1251</v>
      </c>
      <c r="BC1680" s="1005">
        <v>133</v>
      </c>
    </row>
    <row r="1681" spans="54:55" x14ac:dyDescent="0.2">
      <c r="BB1681" s="9" t="s">
        <v>1251</v>
      </c>
      <c r="BC1681" s="1005">
        <v>134</v>
      </c>
    </row>
    <row r="1682" spans="54:55" x14ac:dyDescent="0.2">
      <c r="BB1682" s="9" t="s">
        <v>1251</v>
      </c>
      <c r="BC1682" s="1005">
        <v>135</v>
      </c>
    </row>
    <row r="1683" spans="54:55" x14ac:dyDescent="0.2">
      <c r="BB1683" s="9" t="s">
        <v>1251</v>
      </c>
      <c r="BC1683" s="1005">
        <v>136</v>
      </c>
    </row>
    <row r="1684" spans="54:55" x14ac:dyDescent="0.2">
      <c r="BB1684" s="9" t="s">
        <v>1251</v>
      </c>
      <c r="BC1684" s="1005">
        <v>137</v>
      </c>
    </row>
    <row r="1685" spans="54:55" x14ac:dyDescent="0.2">
      <c r="BB1685" s="9" t="s">
        <v>1251</v>
      </c>
      <c r="BC1685" s="1005">
        <v>138</v>
      </c>
    </row>
    <row r="1686" spans="54:55" x14ac:dyDescent="0.2">
      <c r="BB1686" s="9" t="s">
        <v>1251</v>
      </c>
      <c r="BC1686" s="1005">
        <v>139</v>
      </c>
    </row>
    <row r="1687" spans="54:55" x14ac:dyDescent="0.2">
      <c r="BB1687" s="9" t="s">
        <v>1251</v>
      </c>
      <c r="BC1687" s="1005">
        <v>140</v>
      </c>
    </row>
    <row r="1688" spans="54:55" x14ac:dyDescent="0.2">
      <c r="BB1688" s="9" t="s">
        <v>1251</v>
      </c>
      <c r="BC1688" s="1005">
        <v>141</v>
      </c>
    </row>
    <row r="1689" spans="54:55" x14ac:dyDescent="0.2">
      <c r="BB1689" s="9" t="s">
        <v>1251</v>
      </c>
      <c r="BC1689" s="1005">
        <v>142</v>
      </c>
    </row>
    <row r="1690" spans="54:55" x14ac:dyDescent="0.2">
      <c r="BB1690" s="9" t="s">
        <v>1251</v>
      </c>
      <c r="BC1690" s="1005">
        <v>143</v>
      </c>
    </row>
    <row r="1691" spans="54:55" x14ac:dyDescent="0.2">
      <c r="BB1691" s="9" t="s">
        <v>1251</v>
      </c>
      <c r="BC1691" s="1005">
        <v>144</v>
      </c>
    </row>
    <row r="1692" spans="54:55" x14ac:dyDescent="0.2">
      <c r="BB1692" s="9" t="s">
        <v>1251</v>
      </c>
      <c r="BC1692" s="1005">
        <v>145</v>
      </c>
    </row>
    <row r="1693" spans="54:55" x14ac:dyDescent="0.2">
      <c r="BB1693" s="9" t="s">
        <v>1251</v>
      </c>
      <c r="BC1693" s="1005">
        <v>146</v>
      </c>
    </row>
    <row r="1694" spans="54:55" x14ac:dyDescent="0.2">
      <c r="BB1694" s="9" t="s">
        <v>1251</v>
      </c>
      <c r="BC1694" s="1005">
        <v>147</v>
      </c>
    </row>
    <row r="1695" spans="54:55" x14ac:dyDescent="0.2">
      <c r="BB1695" s="9" t="s">
        <v>1251</v>
      </c>
      <c r="BC1695" s="1005">
        <v>148</v>
      </c>
    </row>
    <row r="1696" spans="54:55" x14ac:dyDescent="0.2">
      <c r="BB1696" s="9" t="s">
        <v>1251</v>
      </c>
      <c r="BC1696" s="1005">
        <v>149</v>
      </c>
    </row>
    <row r="1697" spans="54:55" x14ac:dyDescent="0.2">
      <c r="BB1697" s="9" t="s">
        <v>1251</v>
      </c>
      <c r="BC1697" s="1005">
        <v>150</v>
      </c>
    </row>
    <row r="1698" spans="54:55" x14ac:dyDescent="0.2">
      <c r="BB1698" s="9" t="s">
        <v>1251</v>
      </c>
      <c r="BC1698" s="1005">
        <v>151</v>
      </c>
    </row>
    <row r="1699" spans="54:55" x14ac:dyDescent="0.2">
      <c r="BB1699" s="9" t="s">
        <v>1251</v>
      </c>
      <c r="BC1699" s="1005">
        <v>152</v>
      </c>
    </row>
    <row r="1700" spans="54:55" x14ac:dyDescent="0.2">
      <c r="BB1700" s="9" t="s">
        <v>1251</v>
      </c>
      <c r="BC1700" s="1005">
        <v>153</v>
      </c>
    </row>
    <row r="1701" spans="54:55" x14ac:dyDescent="0.2">
      <c r="BB1701" s="9" t="s">
        <v>1251</v>
      </c>
      <c r="BC1701" s="1005">
        <v>154</v>
      </c>
    </row>
    <row r="1702" spans="54:55" x14ac:dyDescent="0.2">
      <c r="BB1702" s="9" t="s">
        <v>1251</v>
      </c>
      <c r="BC1702" s="1005">
        <v>155</v>
      </c>
    </row>
    <row r="1703" spans="54:55" x14ac:dyDescent="0.2">
      <c r="BB1703" s="9" t="s">
        <v>1251</v>
      </c>
      <c r="BC1703" s="1005">
        <v>156</v>
      </c>
    </row>
    <row r="1704" spans="54:55" x14ac:dyDescent="0.2">
      <c r="BB1704" s="9" t="s">
        <v>1251</v>
      </c>
      <c r="BC1704" s="1005">
        <v>157</v>
      </c>
    </row>
    <row r="1705" spans="54:55" x14ac:dyDescent="0.2">
      <c r="BB1705" s="9" t="s">
        <v>1251</v>
      </c>
      <c r="BC1705" s="1005">
        <v>158</v>
      </c>
    </row>
    <row r="1706" spans="54:55" x14ac:dyDescent="0.2">
      <c r="BB1706" s="9" t="s">
        <v>1251</v>
      </c>
      <c r="BC1706" s="1005">
        <v>159</v>
      </c>
    </row>
    <row r="1707" spans="54:55" x14ac:dyDescent="0.2">
      <c r="BB1707" s="9" t="s">
        <v>1251</v>
      </c>
      <c r="BC1707" s="1005">
        <v>160</v>
      </c>
    </row>
    <row r="1708" spans="54:55" x14ac:dyDescent="0.2">
      <c r="BB1708" s="9" t="s">
        <v>1254</v>
      </c>
      <c r="BC1708" s="1005">
        <v>100</v>
      </c>
    </row>
    <row r="1709" spans="54:55" x14ac:dyDescent="0.2">
      <c r="BB1709" s="9" t="s">
        <v>1254</v>
      </c>
      <c r="BC1709" s="1005">
        <v>101</v>
      </c>
    </row>
    <row r="1710" spans="54:55" x14ac:dyDescent="0.2">
      <c r="BB1710" s="9" t="s">
        <v>1254</v>
      </c>
      <c r="BC1710" s="1005">
        <v>102</v>
      </c>
    </row>
    <row r="1711" spans="54:55" x14ac:dyDescent="0.2">
      <c r="BB1711" s="9" t="s">
        <v>1254</v>
      </c>
      <c r="BC1711" s="1005">
        <v>103</v>
      </c>
    </row>
    <row r="1712" spans="54:55" x14ac:dyDescent="0.2">
      <c r="BB1712" s="9" t="s">
        <v>1254</v>
      </c>
      <c r="BC1712" s="1005">
        <v>104</v>
      </c>
    </row>
    <row r="1713" spans="54:55" x14ac:dyDescent="0.2">
      <c r="BB1713" s="9" t="s">
        <v>1254</v>
      </c>
      <c r="BC1713" s="1005">
        <v>105</v>
      </c>
    </row>
    <row r="1714" spans="54:55" x14ac:dyDescent="0.2">
      <c r="BB1714" s="9" t="s">
        <v>1254</v>
      </c>
      <c r="BC1714" s="1005">
        <v>106</v>
      </c>
    </row>
    <row r="1715" spans="54:55" x14ac:dyDescent="0.2">
      <c r="BB1715" s="9" t="s">
        <v>1254</v>
      </c>
      <c r="BC1715" s="1005">
        <v>107</v>
      </c>
    </row>
    <row r="1716" spans="54:55" x14ac:dyDescent="0.2">
      <c r="BB1716" s="9" t="s">
        <v>1254</v>
      </c>
      <c r="BC1716" s="1005">
        <v>108</v>
      </c>
    </row>
    <row r="1717" spans="54:55" x14ac:dyDescent="0.2">
      <c r="BB1717" s="9" t="s">
        <v>1254</v>
      </c>
      <c r="BC1717" s="1005">
        <v>109</v>
      </c>
    </row>
    <row r="1718" spans="54:55" x14ac:dyDescent="0.2">
      <c r="BB1718" s="9" t="s">
        <v>1254</v>
      </c>
      <c r="BC1718" s="1005">
        <v>110</v>
      </c>
    </row>
    <row r="1719" spans="54:55" x14ac:dyDescent="0.2">
      <c r="BB1719" s="9" t="s">
        <v>1254</v>
      </c>
      <c r="BC1719" s="1005">
        <v>111</v>
      </c>
    </row>
    <row r="1720" spans="54:55" x14ac:dyDescent="0.2">
      <c r="BB1720" s="9" t="s">
        <v>1254</v>
      </c>
      <c r="BC1720" s="1005">
        <v>112</v>
      </c>
    </row>
    <row r="1721" spans="54:55" x14ac:dyDescent="0.2">
      <c r="BB1721" s="9" t="s">
        <v>1254</v>
      </c>
      <c r="BC1721" s="1005">
        <v>113</v>
      </c>
    </row>
    <row r="1722" spans="54:55" x14ac:dyDescent="0.2">
      <c r="BB1722" s="9" t="s">
        <v>1254</v>
      </c>
      <c r="BC1722" s="1005">
        <v>114</v>
      </c>
    </row>
    <row r="1723" spans="54:55" x14ac:dyDescent="0.2">
      <c r="BB1723" s="9" t="s">
        <v>1254</v>
      </c>
      <c r="BC1723" s="1005">
        <v>115</v>
      </c>
    </row>
    <row r="1724" spans="54:55" x14ac:dyDescent="0.2">
      <c r="BB1724" s="9" t="s">
        <v>1254</v>
      </c>
      <c r="BC1724" s="1005">
        <v>116</v>
      </c>
    </row>
    <row r="1725" spans="54:55" x14ac:dyDescent="0.2">
      <c r="BB1725" s="9" t="s">
        <v>1254</v>
      </c>
      <c r="BC1725" s="1005">
        <v>117</v>
      </c>
    </row>
    <row r="1726" spans="54:55" x14ac:dyDescent="0.2">
      <c r="BB1726" s="9" t="s">
        <v>1254</v>
      </c>
      <c r="BC1726" s="1005">
        <v>118</v>
      </c>
    </row>
    <row r="1727" spans="54:55" x14ac:dyDescent="0.2">
      <c r="BB1727" s="9" t="s">
        <v>1254</v>
      </c>
      <c r="BC1727" s="1005">
        <v>119</v>
      </c>
    </row>
    <row r="1728" spans="54:55" x14ac:dyDescent="0.2">
      <c r="BB1728" s="9" t="s">
        <v>1254</v>
      </c>
      <c r="BC1728" s="1005">
        <v>120</v>
      </c>
    </row>
    <row r="1729" spans="54:55" x14ac:dyDescent="0.2">
      <c r="BB1729" s="9" t="s">
        <v>1254</v>
      </c>
      <c r="BC1729" s="1005">
        <v>121</v>
      </c>
    </row>
    <row r="1730" spans="54:55" x14ac:dyDescent="0.2">
      <c r="BB1730" s="9" t="s">
        <v>1254</v>
      </c>
      <c r="BC1730" s="1005">
        <v>122</v>
      </c>
    </row>
    <row r="1731" spans="54:55" x14ac:dyDescent="0.2">
      <c r="BB1731" s="9" t="s">
        <v>1254</v>
      </c>
      <c r="BC1731" s="1005">
        <v>123</v>
      </c>
    </row>
    <row r="1732" spans="54:55" x14ac:dyDescent="0.2">
      <c r="BB1732" s="9" t="s">
        <v>1254</v>
      </c>
      <c r="BC1732" s="1005">
        <v>124</v>
      </c>
    </row>
    <row r="1733" spans="54:55" x14ac:dyDescent="0.2">
      <c r="BB1733" s="9" t="s">
        <v>1254</v>
      </c>
      <c r="BC1733" s="1005">
        <v>125</v>
      </c>
    </row>
    <row r="1734" spans="54:55" x14ac:dyDescent="0.2">
      <c r="BB1734" s="9" t="s">
        <v>1254</v>
      </c>
      <c r="BC1734" s="1005">
        <v>126</v>
      </c>
    </row>
    <row r="1735" spans="54:55" x14ac:dyDescent="0.2">
      <c r="BB1735" s="9" t="s">
        <v>1254</v>
      </c>
      <c r="BC1735" s="1005">
        <v>127</v>
      </c>
    </row>
    <row r="1736" spans="54:55" x14ac:dyDescent="0.2">
      <c r="BB1736" s="9" t="s">
        <v>1254</v>
      </c>
      <c r="BC1736" s="1005">
        <v>128</v>
      </c>
    </row>
    <row r="1737" spans="54:55" x14ac:dyDescent="0.2">
      <c r="BB1737" s="9" t="s">
        <v>1254</v>
      </c>
      <c r="BC1737" s="1005">
        <v>129</v>
      </c>
    </row>
    <row r="1738" spans="54:55" x14ac:dyDescent="0.2">
      <c r="BB1738" s="9" t="s">
        <v>1254</v>
      </c>
      <c r="BC1738" s="1005">
        <v>130</v>
      </c>
    </row>
    <row r="1739" spans="54:55" x14ac:dyDescent="0.2">
      <c r="BB1739" s="9" t="s">
        <v>1254</v>
      </c>
      <c r="BC1739" s="1005">
        <v>131</v>
      </c>
    </row>
    <row r="1740" spans="54:55" x14ac:dyDescent="0.2">
      <c r="BB1740" s="9" t="s">
        <v>1254</v>
      </c>
      <c r="BC1740" s="1005">
        <v>132</v>
      </c>
    </row>
    <row r="1741" spans="54:55" x14ac:dyDescent="0.2">
      <c r="BB1741" s="9" t="s">
        <v>1254</v>
      </c>
      <c r="BC1741" s="1005">
        <v>133</v>
      </c>
    </row>
    <row r="1742" spans="54:55" x14ac:dyDescent="0.2">
      <c r="BB1742" s="9" t="s">
        <v>1254</v>
      </c>
      <c r="BC1742" s="1005">
        <v>134</v>
      </c>
    </row>
    <row r="1743" spans="54:55" x14ac:dyDescent="0.2">
      <c r="BB1743" s="9" t="s">
        <v>1254</v>
      </c>
      <c r="BC1743" s="1005">
        <v>135</v>
      </c>
    </row>
    <row r="1744" spans="54:55" x14ac:dyDescent="0.2">
      <c r="BB1744" s="9" t="s">
        <v>1254</v>
      </c>
      <c r="BC1744" s="1005">
        <v>136</v>
      </c>
    </row>
    <row r="1745" spans="54:55" x14ac:dyDescent="0.2">
      <c r="BB1745" s="9" t="s">
        <v>1254</v>
      </c>
      <c r="BC1745" s="1005">
        <v>137</v>
      </c>
    </row>
    <row r="1746" spans="54:55" x14ac:dyDescent="0.2">
      <c r="BB1746" s="9" t="s">
        <v>1254</v>
      </c>
      <c r="BC1746" s="1005">
        <v>138</v>
      </c>
    </row>
    <row r="1747" spans="54:55" x14ac:dyDescent="0.2">
      <c r="BB1747" s="9" t="s">
        <v>1254</v>
      </c>
      <c r="BC1747" s="1005">
        <v>139</v>
      </c>
    </row>
    <row r="1748" spans="54:55" x14ac:dyDescent="0.2">
      <c r="BB1748" s="9" t="s">
        <v>1254</v>
      </c>
      <c r="BC1748" s="1005">
        <v>140</v>
      </c>
    </row>
    <row r="1749" spans="54:55" x14ac:dyDescent="0.2">
      <c r="BB1749" s="9" t="s">
        <v>1254</v>
      </c>
      <c r="BC1749" s="1005">
        <v>141</v>
      </c>
    </row>
    <row r="1750" spans="54:55" x14ac:dyDescent="0.2">
      <c r="BB1750" s="9" t="s">
        <v>1254</v>
      </c>
      <c r="BC1750" s="1005">
        <v>142</v>
      </c>
    </row>
    <row r="1751" spans="54:55" x14ac:dyDescent="0.2">
      <c r="BB1751" s="9" t="s">
        <v>1254</v>
      </c>
      <c r="BC1751" s="1005">
        <v>143</v>
      </c>
    </row>
    <row r="1752" spans="54:55" x14ac:dyDescent="0.2">
      <c r="BB1752" s="9" t="s">
        <v>1254</v>
      </c>
      <c r="BC1752" s="1005">
        <v>144</v>
      </c>
    </row>
    <row r="1753" spans="54:55" x14ac:dyDescent="0.2">
      <c r="BB1753" s="9" t="s">
        <v>1254</v>
      </c>
      <c r="BC1753" s="1005">
        <v>145</v>
      </c>
    </row>
    <row r="1754" spans="54:55" x14ac:dyDescent="0.2">
      <c r="BB1754" s="9" t="s">
        <v>1254</v>
      </c>
      <c r="BC1754" s="1005">
        <v>146</v>
      </c>
    </row>
    <row r="1755" spans="54:55" x14ac:dyDescent="0.2">
      <c r="BB1755" s="9" t="s">
        <v>1254</v>
      </c>
      <c r="BC1755" s="1005">
        <v>147</v>
      </c>
    </row>
    <row r="1756" spans="54:55" x14ac:dyDescent="0.2">
      <c r="BB1756" s="9" t="s">
        <v>1254</v>
      </c>
      <c r="BC1756" s="1005">
        <v>148</v>
      </c>
    </row>
    <row r="1757" spans="54:55" x14ac:dyDescent="0.2">
      <c r="BB1757" s="9" t="s">
        <v>1254</v>
      </c>
      <c r="BC1757" s="1005">
        <v>149</v>
      </c>
    </row>
    <row r="1758" spans="54:55" x14ac:dyDescent="0.2">
      <c r="BB1758" s="9" t="s">
        <v>1254</v>
      </c>
      <c r="BC1758" s="1005">
        <v>150</v>
      </c>
    </row>
    <row r="1759" spans="54:55" x14ac:dyDescent="0.2">
      <c r="BB1759" s="9" t="s">
        <v>1254</v>
      </c>
      <c r="BC1759" s="1005">
        <v>151</v>
      </c>
    </row>
    <row r="1760" spans="54:55" x14ac:dyDescent="0.2">
      <c r="BB1760" s="9" t="s">
        <v>1254</v>
      </c>
      <c r="BC1760" s="1005">
        <v>152</v>
      </c>
    </row>
    <row r="1761" spans="54:55" x14ac:dyDescent="0.2">
      <c r="BB1761" s="9" t="s">
        <v>1254</v>
      </c>
      <c r="BC1761" s="1005">
        <v>153</v>
      </c>
    </row>
    <row r="1762" spans="54:55" x14ac:dyDescent="0.2">
      <c r="BB1762" s="9" t="s">
        <v>1254</v>
      </c>
      <c r="BC1762" s="1005">
        <v>154</v>
      </c>
    </row>
    <row r="1763" spans="54:55" x14ac:dyDescent="0.2">
      <c r="BB1763" s="9" t="s">
        <v>1254</v>
      </c>
      <c r="BC1763" s="1005">
        <v>155</v>
      </c>
    </row>
    <row r="1764" spans="54:55" x14ac:dyDescent="0.2">
      <c r="BB1764" s="9" t="s">
        <v>1254</v>
      </c>
      <c r="BC1764" s="1005">
        <v>156</v>
      </c>
    </row>
    <row r="1765" spans="54:55" x14ac:dyDescent="0.2">
      <c r="BB1765" s="9" t="s">
        <v>1254</v>
      </c>
      <c r="BC1765" s="1005">
        <v>157</v>
      </c>
    </row>
    <row r="1766" spans="54:55" x14ac:dyDescent="0.2">
      <c r="BB1766" s="9" t="s">
        <v>1254</v>
      </c>
      <c r="BC1766" s="1005">
        <v>158</v>
      </c>
    </row>
    <row r="1767" spans="54:55" x14ac:dyDescent="0.2">
      <c r="BB1767" s="9" t="s">
        <v>1254</v>
      </c>
      <c r="BC1767" s="1005">
        <v>159</v>
      </c>
    </row>
    <row r="1768" spans="54:55" x14ac:dyDescent="0.2">
      <c r="BB1768" s="9" t="s">
        <v>1254</v>
      </c>
      <c r="BC1768" s="1005">
        <v>160</v>
      </c>
    </row>
    <row r="1769" spans="54:55" x14ac:dyDescent="0.2">
      <c r="BB1769" s="9" t="s">
        <v>1254</v>
      </c>
      <c r="BC1769" s="1005">
        <v>161</v>
      </c>
    </row>
    <row r="1770" spans="54:55" x14ac:dyDescent="0.2">
      <c r="BB1770" s="9" t="s">
        <v>1254</v>
      </c>
      <c r="BC1770" s="1005">
        <v>162</v>
      </c>
    </row>
    <row r="1771" spans="54:55" x14ac:dyDescent="0.2">
      <c r="BB1771" s="9" t="s">
        <v>1254</v>
      </c>
      <c r="BC1771" s="1005">
        <v>163</v>
      </c>
    </row>
    <row r="1772" spans="54:55" x14ac:dyDescent="0.2">
      <c r="BB1772" s="9" t="s">
        <v>1254</v>
      </c>
      <c r="BC1772" s="1005">
        <v>164</v>
      </c>
    </row>
    <row r="1773" spans="54:55" x14ac:dyDescent="0.2">
      <c r="BB1773" s="9" t="s">
        <v>1254</v>
      </c>
      <c r="BC1773" s="1005">
        <v>165</v>
      </c>
    </row>
    <row r="1774" spans="54:55" x14ac:dyDescent="0.2">
      <c r="BB1774" s="9" t="s">
        <v>1254</v>
      </c>
      <c r="BC1774" s="1005">
        <v>166</v>
      </c>
    </row>
    <row r="1775" spans="54:55" x14ac:dyDescent="0.2">
      <c r="BB1775" s="9" t="s">
        <v>1254</v>
      </c>
      <c r="BC1775" s="1005">
        <v>167</v>
      </c>
    </row>
    <row r="1776" spans="54:55" x14ac:dyDescent="0.2">
      <c r="BB1776" s="9" t="s">
        <v>1254</v>
      </c>
      <c r="BC1776" s="1005">
        <v>168</v>
      </c>
    </row>
    <row r="1777" spans="54:55" x14ac:dyDescent="0.2">
      <c r="BB1777" s="9" t="s">
        <v>1254</v>
      </c>
      <c r="BC1777" s="1005">
        <v>169</v>
      </c>
    </row>
    <row r="1778" spans="54:55" x14ac:dyDescent="0.2">
      <c r="BB1778" s="9" t="s">
        <v>1254</v>
      </c>
      <c r="BC1778" s="1005">
        <v>170</v>
      </c>
    </row>
    <row r="1779" spans="54:55" x14ac:dyDescent="0.2">
      <c r="BB1779" s="9" t="s">
        <v>1254</v>
      </c>
      <c r="BC1779" s="1005">
        <v>171</v>
      </c>
    </row>
    <row r="1780" spans="54:55" x14ac:dyDescent="0.2">
      <c r="BB1780" s="9" t="s">
        <v>1254</v>
      </c>
      <c r="BC1780" s="1005">
        <v>172</v>
      </c>
    </row>
    <row r="1781" spans="54:55" x14ac:dyDescent="0.2">
      <c r="BB1781" s="9" t="s">
        <v>1254</v>
      </c>
      <c r="BC1781" s="1005">
        <v>173</v>
      </c>
    </row>
    <row r="1782" spans="54:55" x14ac:dyDescent="0.2">
      <c r="BB1782" s="9" t="s">
        <v>1254</v>
      </c>
      <c r="BC1782" s="1005">
        <v>174</v>
      </c>
    </row>
    <row r="1783" spans="54:55" x14ac:dyDescent="0.2">
      <c r="BB1783" s="9" t="s">
        <v>1254</v>
      </c>
      <c r="BC1783" s="1005">
        <v>175</v>
      </c>
    </row>
    <row r="1784" spans="54:55" x14ac:dyDescent="0.2">
      <c r="BB1784" s="9" t="s">
        <v>1254</v>
      </c>
      <c r="BC1784" s="1005">
        <v>176</v>
      </c>
    </row>
    <row r="1785" spans="54:55" x14ac:dyDescent="0.2">
      <c r="BB1785" s="9" t="s">
        <v>1254</v>
      </c>
      <c r="BC1785" s="1005">
        <v>177</v>
      </c>
    </row>
    <row r="1786" spans="54:55" x14ac:dyDescent="0.2">
      <c r="BB1786" s="9" t="s">
        <v>1254</v>
      </c>
      <c r="BC1786" s="1005">
        <v>178</v>
      </c>
    </row>
    <row r="1787" spans="54:55" x14ac:dyDescent="0.2">
      <c r="BB1787" s="9" t="s">
        <v>1254</v>
      </c>
      <c r="BC1787" s="1005">
        <v>179</v>
      </c>
    </row>
    <row r="1788" spans="54:55" x14ac:dyDescent="0.2">
      <c r="BB1788" s="9" t="s">
        <v>1254</v>
      </c>
      <c r="BC1788" s="1005">
        <v>180</v>
      </c>
    </row>
    <row r="1789" spans="54:55" x14ac:dyDescent="0.2">
      <c r="BB1789" s="9" t="s">
        <v>1254</v>
      </c>
      <c r="BC1789" s="1005">
        <v>181</v>
      </c>
    </row>
    <row r="1790" spans="54:55" x14ac:dyDescent="0.2">
      <c r="BB1790" s="9" t="s">
        <v>1254</v>
      </c>
      <c r="BC1790" s="1005">
        <v>182</v>
      </c>
    </row>
    <row r="1791" spans="54:55" x14ac:dyDescent="0.2">
      <c r="BB1791" s="9" t="s">
        <v>1254</v>
      </c>
      <c r="BC1791" s="1005">
        <v>183</v>
      </c>
    </row>
    <row r="1792" spans="54:55" x14ac:dyDescent="0.2">
      <c r="BB1792" s="9" t="s">
        <v>1254</v>
      </c>
      <c r="BC1792" s="1005">
        <v>184</v>
      </c>
    </row>
    <row r="1793" spans="54:55" x14ac:dyDescent="0.2">
      <c r="BB1793" s="9" t="s">
        <v>1254</v>
      </c>
      <c r="BC1793" s="1005">
        <v>185</v>
      </c>
    </row>
    <row r="1794" spans="54:55" x14ac:dyDescent="0.2">
      <c r="BB1794" s="9" t="s">
        <v>1254</v>
      </c>
      <c r="BC1794" s="1005">
        <v>186</v>
      </c>
    </row>
    <row r="1795" spans="54:55" x14ac:dyDescent="0.2">
      <c r="BB1795" s="9" t="s">
        <v>1254</v>
      </c>
      <c r="BC1795" s="1005">
        <v>187</v>
      </c>
    </row>
    <row r="1796" spans="54:55" x14ac:dyDescent="0.2">
      <c r="BB1796" s="9" t="s">
        <v>1254</v>
      </c>
      <c r="BC1796" s="1005">
        <v>188</v>
      </c>
    </row>
    <row r="1797" spans="54:55" x14ac:dyDescent="0.2">
      <c r="BB1797" s="9" t="s">
        <v>1254</v>
      </c>
      <c r="BC1797" s="1005">
        <v>189</v>
      </c>
    </row>
    <row r="1798" spans="54:55" x14ac:dyDescent="0.2">
      <c r="BB1798" s="9" t="s">
        <v>1254</v>
      </c>
      <c r="BC1798" s="1005">
        <v>190</v>
      </c>
    </row>
    <row r="1799" spans="54:55" x14ac:dyDescent="0.2">
      <c r="BB1799" s="9" t="s">
        <v>1254</v>
      </c>
      <c r="BC1799" s="1005">
        <v>191</v>
      </c>
    </row>
    <row r="1800" spans="54:55" x14ac:dyDescent="0.2">
      <c r="BB1800" s="9" t="s">
        <v>1254</v>
      </c>
      <c r="BC1800" s="1005">
        <v>192</v>
      </c>
    </row>
    <row r="1801" spans="54:55" x14ac:dyDescent="0.2">
      <c r="BB1801" s="9" t="s">
        <v>1254</v>
      </c>
      <c r="BC1801" s="1005">
        <v>193</v>
      </c>
    </row>
    <row r="1802" spans="54:55" x14ac:dyDescent="0.2">
      <c r="BB1802" s="9" t="s">
        <v>1254</v>
      </c>
      <c r="BC1802" s="1005">
        <v>194</v>
      </c>
    </row>
    <row r="1803" spans="54:55" x14ac:dyDescent="0.2">
      <c r="BB1803" s="9" t="s">
        <v>1254</v>
      </c>
      <c r="BC1803" s="1005">
        <v>195</v>
      </c>
    </row>
    <row r="1804" spans="54:55" x14ac:dyDescent="0.2">
      <c r="BB1804" s="9" t="s">
        <v>1254</v>
      </c>
      <c r="BC1804" s="1005">
        <v>196</v>
      </c>
    </row>
    <row r="1805" spans="54:55" x14ac:dyDescent="0.2">
      <c r="BB1805" s="9" t="s">
        <v>1254</v>
      </c>
      <c r="BC1805" s="1005">
        <v>197</v>
      </c>
    </row>
    <row r="1806" spans="54:55" x14ac:dyDescent="0.2">
      <c r="BB1806" s="9" t="s">
        <v>1254</v>
      </c>
      <c r="BC1806" s="1005">
        <v>198</v>
      </c>
    </row>
    <row r="1807" spans="54:55" x14ac:dyDescent="0.2">
      <c r="BB1807" s="9" t="s">
        <v>1254</v>
      </c>
      <c r="BC1807" s="1005">
        <v>199</v>
      </c>
    </row>
    <row r="1808" spans="54:55" x14ac:dyDescent="0.2">
      <c r="BB1808" s="9" t="s">
        <v>1254</v>
      </c>
      <c r="BC1808" s="1005">
        <v>200</v>
      </c>
    </row>
    <row r="1809" spans="54:55" x14ac:dyDescent="0.2">
      <c r="BB1809" s="9" t="s">
        <v>1254</v>
      </c>
      <c r="BC1809" s="1005">
        <v>201</v>
      </c>
    </row>
    <row r="1810" spans="54:55" x14ac:dyDescent="0.2">
      <c r="BB1810" s="9" t="s">
        <v>1254</v>
      </c>
      <c r="BC1810" s="1005">
        <v>202</v>
      </c>
    </row>
    <row r="1811" spans="54:55" x14ac:dyDescent="0.2">
      <c r="BB1811" s="9" t="s">
        <v>1254</v>
      </c>
      <c r="BC1811" s="1005">
        <v>203</v>
      </c>
    </row>
    <row r="1812" spans="54:55" x14ac:dyDescent="0.2">
      <c r="BB1812" s="9" t="s">
        <v>1254</v>
      </c>
      <c r="BC1812" s="1005">
        <v>204</v>
      </c>
    </row>
    <row r="1813" spans="54:55" x14ac:dyDescent="0.2">
      <c r="BB1813" s="9" t="s">
        <v>1254</v>
      </c>
      <c r="BC1813" s="1005">
        <v>205</v>
      </c>
    </row>
    <row r="1814" spans="54:55" x14ac:dyDescent="0.2">
      <c r="BB1814" s="9" t="s">
        <v>1254</v>
      </c>
      <c r="BC1814" s="1005">
        <v>206</v>
      </c>
    </row>
    <row r="1815" spans="54:55" x14ac:dyDescent="0.2">
      <c r="BB1815" s="9" t="s">
        <v>1254</v>
      </c>
      <c r="BC1815" s="1005">
        <v>207</v>
      </c>
    </row>
    <row r="1816" spans="54:55" x14ac:dyDescent="0.2">
      <c r="BB1816" s="9" t="s">
        <v>1254</v>
      </c>
      <c r="BC1816" s="1005">
        <v>208</v>
      </c>
    </row>
    <row r="1817" spans="54:55" x14ac:dyDescent="0.2">
      <c r="BB1817" s="9" t="s">
        <v>1254</v>
      </c>
      <c r="BC1817" s="1005">
        <v>209</v>
      </c>
    </row>
    <row r="1818" spans="54:55" x14ac:dyDescent="0.2">
      <c r="BB1818" s="9" t="s">
        <v>1254</v>
      </c>
      <c r="BC1818" s="1005">
        <v>210</v>
      </c>
    </row>
    <row r="1819" spans="54:55" x14ac:dyDescent="0.2">
      <c r="BB1819" s="9" t="s">
        <v>1254</v>
      </c>
      <c r="BC1819" s="1005">
        <v>211</v>
      </c>
    </row>
    <row r="1820" spans="54:55" x14ac:dyDescent="0.2">
      <c r="BB1820" s="9" t="s">
        <v>1254</v>
      </c>
      <c r="BC1820" s="1005">
        <v>212</v>
      </c>
    </row>
    <row r="1821" spans="54:55" x14ac:dyDescent="0.2">
      <c r="BB1821" s="9" t="s">
        <v>1254</v>
      </c>
      <c r="BC1821" s="1005">
        <v>213</v>
      </c>
    </row>
    <row r="1822" spans="54:55" x14ac:dyDescent="0.2">
      <c r="BB1822" s="9" t="s">
        <v>1254</v>
      </c>
      <c r="BC1822" s="1005">
        <v>214</v>
      </c>
    </row>
    <row r="1823" spans="54:55" x14ac:dyDescent="0.2">
      <c r="BB1823" s="9" t="s">
        <v>1254</v>
      </c>
      <c r="BC1823" s="1005">
        <v>215</v>
      </c>
    </row>
    <row r="1824" spans="54:55" x14ac:dyDescent="0.2">
      <c r="BB1824" s="9" t="s">
        <v>1254</v>
      </c>
      <c r="BC1824" s="1005">
        <v>216</v>
      </c>
    </row>
    <row r="1825" spans="54:55" x14ac:dyDescent="0.2">
      <c r="BB1825" s="9" t="s">
        <v>1254</v>
      </c>
      <c r="BC1825" s="1005">
        <v>217</v>
      </c>
    </row>
    <row r="1826" spans="54:55" x14ac:dyDescent="0.2">
      <c r="BB1826" s="9" t="s">
        <v>1254</v>
      </c>
      <c r="BC1826" s="1005">
        <v>218</v>
      </c>
    </row>
    <row r="1827" spans="54:55" x14ac:dyDescent="0.2">
      <c r="BB1827" s="9" t="s">
        <v>1254</v>
      </c>
      <c r="BC1827" s="1005">
        <v>219</v>
      </c>
    </row>
    <row r="1828" spans="54:55" x14ac:dyDescent="0.2">
      <c r="BB1828" s="9" t="s">
        <v>1254</v>
      </c>
      <c r="BC1828" s="1005">
        <v>220</v>
      </c>
    </row>
    <row r="1829" spans="54:55" x14ac:dyDescent="0.2">
      <c r="BB1829" s="9" t="s">
        <v>1254</v>
      </c>
      <c r="BC1829" s="1005">
        <v>221</v>
      </c>
    </row>
    <row r="1830" spans="54:55" x14ac:dyDescent="0.2">
      <c r="BB1830" s="9" t="s">
        <v>1254</v>
      </c>
      <c r="BC1830" s="1005">
        <v>222</v>
      </c>
    </row>
    <row r="1831" spans="54:55" x14ac:dyDescent="0.2">
      <c r="BB1831" s="9" t="s">
        <v>1254</v>
      </c>
      <c r="BC1831" s="1005">
        <v>223</v>
      </c>
    </row>
    <row r="1832" spans="54:55" x14ac:dyDescent="0.2">
      <c r="BB1832" s="9" t="s">
        <v>1254</v>
      </c>
      <c r="BC1832" s="1005">
        <v>224</v>
      </c>
    </row>
    <row r="1833" spans="54:55" x14ac:dyDescent="0.2">
      <c r="BB1833" s="9" t="s">
        <v>1254</v>
      </c>
      <c r="BC1833" s="1005">
        <v>225</v>
      </c>
    </row>
    <row r="1834" spans="54:55" x14ac:dyDescent="0.2">
      <c r="BB1834" s="9" t="s">
        <v>1254</v>
      </c>
      <c r="BC1834" s="1005">
        <v>226</v>
      </c>
    </row>
    <row r="1835" spans="54:55" x14ac:dyDescent="0.2">
      <c r="BB1835" s="9" t="s">
        <v>1254</v>
      </c>
      <c r="BC1835" s="1005">
        <v>227</v>
      </c>
    </row>
    <row r="1836" spans="54:55" x14ac:dyDescent="0.2">
      <c r="BB1836" s="9" t="s">
        <v>1254</v>
      </c>
      <c r="BC1836" s="1005">
        <v>228</v>
      </c>
    </row>
    <row r="1837" spans="54:55" x14ac:dyDescent="0.2">
      <c r="BB1837" s="9" t="s">
        <v>1254</v>
      </c>
      <c r="BC1837" s="1005">
        <v>229</v>
      </c>
    </row>
    <row r="1838" spans="54:55" x14ac:dyDescent="0.2">
      <c r="BB1838" s="9" t="s">
        <v>1254</v>
      </c>
      <c r="BC1838" s="1005">
        <v>230</v>
      </c>
    </row>
    <row r="1839" spans="54:55" x14ac:dyDescent="0.2">
      <c r="BB1839" s="9" t="s">
        <v>1254</v>
      </c>
      <c r="BC1839" s="1005">
        <v>231</v>
      </c>
    </row>
    <row r="1840" spans="54:55" x14ac:dyDescent="0.2">
      <c r="BB1840" s="9" t="s">
        <v>1254</v>
      </c>
      <c r="BC1840" s="1005">
        <v>232</v>
      </c>
    </row>
    <row r="1841" spans="54:55" x14ac:dyDescent="0.2">
      <c r="BB1841" s="9" t="s">
        <v>1254</v>
      </c>
      <c r="BC1841" s="1005">
        <v>233</v>
      </c>
    </row>
    <row r="1842" spans="54:55" x14ac:dyDescent="0.2">
      <c r="BB1842" s="9" t="s">
        <v>1254</v>
      </c>
      <c r="BC1842" s="1005">
        <v>234</v>
      </c>
    </row>
    <row r="1843" spans="54:55" x14ac:dyDescent="0.2">
      <c r="BB1843" s="9" t="s">
        <v>1254</v>
      </c>
      <c r="BC1843" s="1005">
        <v>235</v>
      </c>
    </row>
    <row r="1844" spans="54:55" x14ac:dyDescent="0.2">
      <c r="BB1844" s="9" t="s">
        <v>1254</v>
      </c>
      <c r="BC1844" s="1005">
        <v>236</v>
      </c>
    </row>
    <row r="1845" spans="54:55" x14ac:dyDescent="0.2">
      <c r="BB1845" s="9" t="s">
        <v>1254</v>
      </c>
      <c r="BC1845" s="1005">
        <v>237</v>
      </c>
    </row>
    <row r="1846" spans="54:55" x14ac:dyDescent="0.2">
      <c r="BB1846" s="9" t="s">
        <v>1254</v>
      </c>
      <c r="BC1846" s="1005">
        <v>238</v>
      </c>
    </row>
    <row r="1847" spans="54:55" x14ac:dyDescent="0.2">
      <c r="BB1847" s="9" t="s">
        <v>1254</v>
      </c>
      <c r="BC1847" s="1005">
        <v>239</v>
      </c>
    </row>
    <row r="1848" spans="54:55" x14ac:dyDescent="0.2">
      <c r="BB1848" s="9" t="s">
        <v>1254</v>
      </c>
      <c r="BC1848" s="1005">
        <v>240</v>
      </c>
    </row>
    <row r="1849" spans="54:55" x14ac:dyDescent="0.2">
      <c r="BB1849" s="9" t="s">
        <v>1254</v>
      </c>
      <c r="BC1849" s="1005">
        <v>241</v>
      </c>
    </row>
    <row r="1850" spans="54:55" x14ac:dyDescent="0.2">
      <c r="BB1850" s="9" t="s">
        <v>1254</v>
      </c>
      <c r="BC1850" s="1005">
        <v>242</v>
      </c>
    </row>
    <row r="1851" spans="54:55" x14ac:dyDescent="0.2">
      <c r="BB1851" s="9" t="s">
        <v>1254</v>
      </c>
      <c r="BC1851" s="1005">
        <v>243</v>
      </c>
    </row>
    <row r="1852" spans="54:55" x14ac:dyDescent="0.2">
      <c r="BB1852" s="9" t="s">
        <v>1254</v>
      </c>
      <c r="BC1852" s="1005">
        <v>244</v>
      </c>
    </row>
    <row r="1853" spans="54:55" x14ac:dyDescent="0.2">
      <c r="BB1853" s="9" t="s">
        <v>1254</v>
      </c>
      <c r="BC1853" s="1005">
        <v>245</v>
      </c>
    </row>
    <row r="1854" spans="54:55" x14ac:dyDescent="0.2">
      <c r="BB1854" s="9" t="s">
        <v>1254</v>
      </c>
      <c r="BC1854" s="1005">
        <v>246</v>
      </c>
    </row>
    <row r="1855" spans="54:55" x14ac:dyDescent="0.2">
      <c r="BB1855" s="9" t="s">
        <v>1254</v>
      </c>
      <c r="BC1855" s="1005">
        <v>247</v>
      </c>
    </row>
    <row r="1856" spans="54:55" x14ac:dyDescent="0.2">
      <c r="BB1856" s="9" t="s">
        <v>1254</v>
      </c>
      <c r="BC1856" s="1005">
        <v>248</v>
      </c>
    </row>
    <row r="1857" spans="54:55" x14ac:dyDescent="0.2">
      <c r="BB1857" s="9" t="s">
        <v>1254</v>
      </c>
      <c r="BC1857" s="1005">
        <v>249</v>
      </c>
    </row>
    <row r="1858" spans="54:55" x14ac:dyDescent="0.2">
      <c r="BB1858" s="9" t="s">
        <v>1254</v>
      </c>
      <c r="BC1858" s="1005">
        <v>250</v>
      </c>
    </row>
    <row r="1859" spans="54:55" x14ac:dyDescent="0.2">
      <c r="BB1859" s="9" t="s">
        <v>1257</v>
      </c>
      <c r="BC1859" s="1005">
        <v>160</v>
      </c>
    </row>
    <row r="1860" spans="54:55" x14ac:dyDescent="0.2">
      <c r="BB1860" s="9" t="s">
        <v>1257</v>
      </c>
      <c r="BC1860" s="1005">
        <v>161</v>
      </c>
    </row>
    <row r="1861" spans="54:55" x14ac:dyDescent="0.2">
      <c r="BB1861" s="9" t="s">
        <v>1257</v>
      </c>
      <c r="BC1861" s="1005">
        <v>162</v>
      </c>
    </row>
    <row r="1862" spans="54:55" x14ac:dyDescent="0.2">
      <c r="BB1862" s="9" t="s">
        <v>1257</v>
      </c>
      <c r="BC1862" s="1005">
        <v>163</v>
      </c>
    </row>
    <row r="1863" spans="54:55" x14ac:dyDescent="0.2">
      <c r="BB1863" s="9" t="s">
        <v>1257</v>
      </c>
      <c r="BC1863" s="1005">
        <v>164</v>
      </c>
    </row>
    <row r="1864" spans="54:55" x14ac:dyDescent="0.2">
      <c r="BB1864" s="9" t="s">
        <v>1257</v>
      </c>
      <c r="BC1864" s="1005">
        <v>165</v>
      </c>
    </row>
    <row r="1865" spans="54:55" x14ac:dyDescent="0.2">
      <c r="BB1865" s="9" t="s">
        <v>1257</v>
      </c>
      <c r="BC1865" s="1005">
        <v>166</v>
      </c>
    </row>
    <row r="1866" spans="54:55" x14ac:dyDescent="0.2">
      <c r="BB1866" s="9" t="s">
        <v>1257</v>
      </c>
      <c r="BC1866" s="1005">
        <v>167</v>
      </c>
    </row>
    <row r="1867" spans="54:55" x14ac:dyDescent="0.2">
      <c r="BB1867" s="9" t="s">
        <v>1257</v>
      </c>
      <c r="BC1867" s="1005">
        <v>168</v>
      </c>
    </row>
    <row r="1868" spans="54:55" x14ac:dyDescent="0.2">
      <c r="BB1868" s="9" t="s">
        <v>1257</v>
      </c>
      <c r="BC1868" s="1005">
        <v>169</v>
      </c>
    </row>
    <row r="1869" spans="54:55" x14ac:dyDescent="0.2">
      <c r="BB1869" s="9" t="s">
        <v>1257</v>
      </c>
      <c r="BC1869" s="1005">
        <v>170</v>
      </c>
    </row>
    <row r="1870" spans="54:55" x14ac:dyDescent="0.2">
      <c r="BB1870" s="9" t="s">
        <v>1257</v>
      </c>
      <c r="BC1870" s="1005">
        <v>171</v>
      </c>
    </row>
    <row r="1871" spans="54:55" x14ac:dyDescent="0.2">
      <c r="BB1871" s="9" t="s">
        <v>1257</v>
      </c>
      <c r="BC1871" s="1005">
        <v>172</v>
      </c>
    </row>
    <row r="1872" spans="54:55" x14ac:dyDescent="0.2">
      <c r="BB1872" s="9" t="s">
        <v>1257</v>
      </c>
      <c r="BC1872" s="1005">
        <v>173</v>
      </c>
    </row>
    <row r="1873" spans="54:55" x14ac:dyDescent="0.2">
      <c r="BB1873" s="9" t="s">
        <v>1257</v>
      </c>
      <c r="BC1873" s="1005">
        <v>174</v>
      </c>
    </row>
    <row r="1874" spans="54:55" x14ac:dyDescent="0.2">
      <c r="BB1874" s="9" t="s">
        <v>1257</v>
      </c>
      <c r="BC1874" s="1005">
        <v>175</v>
      </c>
    </row>
    <row r="1875" spans="54:55" x14ac:dyDescent="0.2">
      <c r="BB1875" s="9" t="s">
        <v>1257</v>
      </c>
      <c r="BC1875" s="1005">
        <v>176</v>
      </c>
    </row>
    <row r="1876" spans="54:55" x14ac:dyDescent="0.2">
      <c r="BB1876" s="9" t="s">
        <v>1257</v>
      </c>
      <c r="BC1876" s="1005">
        <v>177</v>
      </c>
    </row>
    <row r="1877" spans="54:55" x14ac:dyDescent="0.2">
      <c r="BB1877" s="9" t="s">
        <v>1257</v>
      </c>
      <c r="BC1877" s="1005">
        <v>178</v>
      </c>
    </row>
    <row r="1878" spans="54:55" x14ac:dyDescent="0.2">
      <c r="BB1878" s="9" t="s">
        <v>1257</v>
      </c>
      <c r="BC1878" s="1005">
        <v>179</v>
      </c>
    </row>
    <row r="1879" spans="54:55" x14ac:dyDescent="0.2">
      <c r="BB1879" s="9" t="s">
        <v>1257</v>
      </c>
      <c r="BC1879" s="1005">
        <v>180</v>
      </c>
    </row>
    <row r="1880" spans="54:55" x14ac:dyDescent="0.2">
      <c r="BB1880" s="9" t="s">
        <v>1257</v>
      </c>
      <c r="BC1880" s="1005">
        <v>181</v>
      </c>
    </row>
    <row r="1881" spans="54:55" x14ac:dyDescent="0.2">
      <c r="BB1881" s="9" t="s">
        <v>1257</v>
      </c>
      <c r="BC1881" s="1005">
        <v>182</v>
      </c>
    </row>
    <row r="1882" spans="54:55" x14ac:dyDescent="0.2">
      <c r="BB1882" s="9" t="s">
        <v>1257</v>
      </c>
      <c r="BC1882" s="1005">
        <v>183</v>
      </c>
    </row>
    <row r="1883" spans="54:55" x14ac:dyDescent="0.2">
      <c r="BB1883" s="9" t="s">
        <v>1257</v>
      </c>
      <c r="BC1883" s="1005">
        <v>184</v>
      </c>
    </row>
    <row r="1884" spans="54:55" x14ac:dyDescent="0.2">
      <c r="BB1884" s="9" t="s">
        <v>1257</v>
      </c>
      <c r="BC1884" s="1005">
        <v>185</v>
      </c>
    </row>
    <row r="1885" spans="54:55" x14ac:dyDescent="0.2">
      <c r="BB1885" s="9" t="s">
        <v>1257</v>
      </c>
      <c r="BC1885" s="1005">
        <v>186</v>
      </c>
    </row>
    <row r="1886" spans="54:55" x14ac:dyDescent="0.2">
      <c r="BB1886" s="9" t="s">
        <v>1257</v>
      </c>
      <c r="BC1886" s="1005">
        <v>187</v>
      </c>
    </row>
    <row r="1887" spans="54:55" x14ac:dyDescent="0.2">
      <c r="BB1887" s="9" t="s">
        <v>1257</v>
      </c>
      <c r="BC1887" s="1005">
        <v>188</v>
      </c>
    </row>
    <row r="1888" spans="54:55" x14ac:dyDescent="0.2">
      <c r="BB1888" s="9" t="s">
        <v>1257</v>
      </c>
      <c r="BC1888" s="1005">
        <v>189</v>
      </c>
    </row>
    <row r="1889" spans="54:55" x14ac:dyDescent="0.2">
      <c r="BB1889" s="9" t="s">
        <v>1257</v>
      </c>
      <c r="BC1889" s="1005">
        <v>190</v>
      </c>
    </row>
    <row r="1890" spans="54:55" x14ac:dyDescent="0.2">
      <c r="BB1890" s="9" t="s">
        <v>1257</v>
      </c>
      <c r="BC1890" s="1005">
        <v>191</v>
      </c>
    </row>
    <row r="1891" spans="54:55" x14ac:dyDescent="0.2">
      <c r="BB1891" s="9" t="s">
        <v>1257</v>
      </c>
      <c r="BC1891" s="1005">
        <v>192</v>
      </c>
    </row>
    <row r="1892" spans="54:55" x14ac:dyDescent="0.2">
      <c r="BB1892" s="9" t="s">
        <v>1257</v>
      </c>
      <c r="BC1892" s="1005">
        <v>193</v>
      </c>
    </row>
    <row r="1893" spans="54:55" x14ac:dyDescent="0.2">
      <c r="BB1893" s="9" t="s">
        <v>1257</v>
      </c>
      <c r="BC1893" s="1005">
        <v>194</v>
      </c>
    </row>
    <row r="1894" spans="54:55" x14ac:dyDescent="0.2">
      <c r="BB1894" s="9" t="s">
        <v>1257</v>
      </c>
      <c r="BC1894" s="1005">
        <v>195</v>
      </c>
    </row>
    <row r="1895" spans="54:55" x14ac:dyDescent="0.2">
      <c r="BB1895" s="9" t="s">
        <v>1257</v>
      </c>
      <c r="BC1895" s="1005">
        <v>196</v>
      </c>
    </row>
    <row r="1896" spans="54:55" x14ac:dyDescent="0.2">
      <c r="BB1896" s="9" t="s">
        <v>1257</v>
      </c>
      <c r="BC1896" s="1005">
        <v>197</v>
      </c>
    </row>
    <row r="1897" spans="54:55" x14ac:dyDescent="0.2">
      <c r="BB1897" s="9" t="s">
        <v>1257</v>
      </c>
      <c r="BC1897" s="1005">
        <v>198</v>
      </c>
    </row>
    <row r="1898" spans="54:55" x14ac:dyDescent="0.2">
      <c r="BB1898" s="9" t="s">
        <v>1257</v>
      </c>
      <c r="BC1898" s="1005">
        <v>199</v>
      </c>
    </row>
    <row r="1899" spans="54:55" x14ac:dyDescent="0.2">
      <c r="BB1899" s="9" t="s">
        <v>1257</v>
      </c>
      <c r="BC1899" s="1005">
        <v>200</v>
      </c>
    </row>
    <row r="1900" spans="54:55" x14ac:dyDescent="0.2">
      <c r="BB1900" s="9" t="s">
        <v>1257</v>
      </c>
      <c r="BC1900" s="1005">
        <v>201</v>
      </c>
    </row>
    <row r="1901" spans="54:55" x14ac:dyDescent="0.2">
      <c r="BB1901" s="9" t="s">
        <v>1257</v>
      </c>
      <c r="BC1901" s="1005">
        <v>202</v>
      </c>
    </row>
    <row r="1902" spans="54:55" x14ac:dyDescent="0.2">
      <c r="BB1902" s="9" t="s">
        <v>1257</v>
      </c>
      <c r="BC1902" s="1005">
        <v>203</v>
      </c>
    </row>
    <row r="1903" spans="54:55" x14ac:dyDescent="0.2">
      <c r="BB1903" s="9" t="s">
        <v>1257</v>
      </c>
      <c r="BC1903" s="1005">
        <v>204</v>
      </c>
    </row>
    <row r="1904" spans="54:55" x14ac:dyDescent="0.2">
      <c r="BB1904" s="9" t="s">
        <v>1257</v>
      </c>
      <c r="BC1904" s="1005">
        <v>205</v>
      </c>
    </row>
    <row r="1905" spans="54:55" x14ac:dyDescent="0.2">
      <c r="BB1905" s="9" t="s">
        <v>1257</v>
      </c>
      <c r="BC1905" s="1005">
        <v>206</v>
      </c>
    </row>
    <row r="1906" spans="54:55" x14ac:dyDescent="0.2">
      <c r="BB1906" s="9" t="s">
        <v>1257</v>
      </c>
      <c r="BC1906" s="1005">
        <v>207</v>
      </c>
    </row>
    <row r="1907" spans="54:55" x14ac:dyDescent="0.2">
      <c r="BB1907" s="9" t="s">
        <v>1257</v>
      </c>
      <c r="BC1907" s="1005">
        <v>208</v>
      </c>
    </row>
    <row r="1908" spans="54:55" x14ac:dyDescent="0.2">
      <c r="BB1908" s="9" t="s">
        <v>1257</v>
      </c>
      <c r="BC1908" s="1005">
        <v>209</v>
      </c>
    </row>
    <row r="1909" spans="54:55" x14ac:dyDescent="0.2">
      <c r="BB1909" s="9" t="s">
        <v>1257</v>
      </c>
      <c r="BC1909" s="1005">
        <v>210</v>
      </c>
    </row>
    <row r="1910" spans="54:55" x14ac:dyDescent="0.2">
      <c r="BB1910" s="9" t="s">
        <v>1257</v>
      </c>
      <c r="BC1910" s="1005">
        <v>211</v>
      </c>
    </row>
    <row r="1911" spans="54:55" x14ac:dyDescent="0.2">
      <c r="BB1911" s="9" t="s">
        <v>1257</v>
      </c>
      <c r="BC1911" s="1005">
        <v>212</v>
      </c>
    </row>
    <row r="1912" spans="54:55" x14ac:dyDescent="0.2">
      <c r="BB1912" s="9" t="s">
        <v>1257</v>
      </c>
      <c r="BC1912" s="1005">
        <v>213</v>
      </c>
    </row>
    <row r="1913" spans="54:55" x14ac:dyDescent="0.2">
      <c r="BB1913" s="9" t="s">
        <v>1257</v>
      </c>
      <c r="BC1913" s="1005">
        <v>214</v>
      </c>
    </row>
    <row r="1914" spans="54:55" x14ac:dyDescent="0.2">
      <c r="BB1914" s="9" t="s">
        <v>1257</v>
      </c>
      <c r="BC1914" s="1005">
        <v>215</v>
      </c>
    </row>
    <row r="1915" spans="54:55" x14ac:dyDescent="0.2">
      <c r="BB1915" s="9" t="s">
        <v>1257</v>
      </c>
      <c r="BC1915" s="1005">
        <v>216</v>
      </c>
    </row>
    <row r="1916" spans="54:55" x14ac:dyDescent="0.2">
      <c r="BB1916" s="9" t="s">
        <v>1257</v>
      </c>
      <c r="BC1916" s="1005">
        <v>217</v>
      </c>
    </row>
    <row r="1917" spans="54:55" x14ac:dyDescent="0.2">
      <c r="BB1917" s="9" t="s">
        <v>1257</v>
      </c>
      <c r="BC1917" s="1005">
        <v>218</v>
      </c>
    </row>
    <row r="1918" spans="54:55" x14ac:dyDescent="0.2">
      <c r="BB1918" s="9" t="s">
        <v>1257</v>
      </c>
      <c r="BC1918" s="1005">
        <v>219</v>
      </c>
    </row>
    <row r="1919" spans="54:55" x14ac:dyDescent="0.2">
      <c r="BB1919" s="9" t="s">
        <v>1257</v>
      </c>
      <c r="BC1919" s="1005">
        <v>220</v>
      </c>
    </row>
    <row r="1920" spans="54:55" x14ac:dyDescent="0.2">
      <c r="BB1920" s="9" t="s">
        <v>1257</v>
      </c>
      <c r="BC1920" s="1005">
        <v>221</v>
      </c>
    </row>
    <row r="1921" spans="54:55" x14ac:dyDescent="0.2">
      <c r="BB1921" s="9" t="s">
        <v>1257</v>
      </c>
      <c r="BC1921" s="1005">
        <v>222</v>
      </c>
    </row>
    <row r="1922" spans="54:55" x14ac:dyDescent="0.2">
      <c r="BB1922" s="9" t="s">
        <v>1257</v>
      </c>
      <c r="BC1922" s="1005">
        <v>223</v>
      </c>
    </row>
    <row r="1923" spans="54:55" x14ac:dyDescent="0.2">
      <c r="BB1923" s="9" t="s">
        <v>1257</v>
      </c>
      <c r="BC1923" s="1005">
        <v>224</v>
      </c>
    </row>
    <row r="1924" spans="54:55" x14ac:dyDescent="0.2">
      <c r="BB1924" s="9" t="s">
        <v>1257</v>
      </c>
      <c r="BC1924" s="1005">
        <v>225</v>
      </c>
    </row>
    <row r="1925" spans="54:55" x14ac:dyDescent="0.2">
      <c r="BB1925" s="9" t="s">
        <v>1257</v>
      </c>
      <c r="BC1925" s="1005">
        <v>226</v>
      </c>
    </row>
    <row r="1926" spans="54:55" x14ac:dyDescent="0.2">
      <c r="BB1926" s="9" t="s">
        <v>1257</v>
      </c>
      <c r="BC1926" s="1005">
        <v>227</v>
      </c>
    </row>
    <row r="1927" spans="54:55" x14ac:dyDescent="0.2">
      <c r="BB1927" s="9" t="s">
        <v>1257</v>
      </c>
      <c r="BC1927" s="1005">
        <v>228</v>
      </c>
    </row>
    <row r="1928" spans="54:55" x14ac:dyDescent="0.2">
      <c r="BB1928" s="9" t="s">
        <v>1257</v>
      </c>
      <c r="BC1928" s="1005">
        <v>229</v>
      </c>
    </row>
    <row r="1929" spans="54:55" x14ac:dyDescent="0.2">
      <c r="BB1929" s="9" t="s">
        <v>1257</v>
      </c>
      <c r="BC1929" s="1005">
        <v>230</v>
      </c>
    </row>
    <row r="1930" spans="54:55" x14ac:dyDescent="0.2">
      <c r="BB1930" s="9" t="s">
        <v>1257</v>
      </c>
      <c r="BC1930" s="1005">
        <v>231</v>
      </c>
    </row>
    <row r="1931" spans="54:55" x14ac:dyDescent="0.2">
      <c r="BB1931" s="9" t="s">
        <v>1257</v>
      </c>
      <c r="BC1931" s="1005">
        <v>232</v>
      </c>
    </row>
    <row r="1932" spans="54:55" x14ac:dyDescent="0.2">
      <c r="BB1932" s="9" t="s">
        <v>1257</v>
      </c>
      <c r="BC1932" s="1005">
        <v>233</v>
      </c>
    </row>
    <row r="1933" spans="54:55" x14ac:dyDescent="0.2">
      <c r="BB1933" s="9" t="s">
        <v>1257</v>
      </c>
      <c r="BC1933" s="1005">
        <v>234</v>
      </c>
    </row>
    <row r="1934" spans="54:55" x14ac:dyDescent="0.2">
      <c r="BB1934" s="9" t="s">
        <v>1257</v>
      </c>
      <c r="BC1934" s="1005">
        <v>235</v>
      </c>
    </row>
    <row r="1935" spans="54:55" x14ac:dyDescent="0.2">
      <c r="BB1935" s="9" t="s">
        <v>1257</v>
      </c>
      <c r="BC1935" s="1005">
        <v>236</v>
      </c>
    </row>
    <row r="1936" spans="54:55" x14ac:dyDescent="0.2">
      <c r="BB1936" s="9" t="s">
        <v>1257</v>
      </c>
      <c r="BC1936" s="1005">
        <v>237</v>
      </c>
    </row>
    <row r="1937" spans="54:55" x14ac:dyDescent="0.2">
      <c r="BB1937" s="9" t="s">
        <v>1257</v>
      </c>
      <c r="BC1937" s="1005">
        <v>238</v>
      </c>
    </row>
    <row r="1938" spans="54:55" x14ac:dyDescent="0.2">
      <c r="BB1938" s="9" t="s">
        <v>1257</v>
      </c>
      <c r="BC1938" s="1005">
        <v>239</v>
      </c>
    </row>
    <row r="1939" spans="54:55" x14ac:dyDescent="0.2">
      <c r="BB1939" s="9" t="s">
        <v>1257</v>
      </c>
      <c r="BC1939" s="1005">
        <v>240</v>
      </c>
    </row>
    <row r="1940" spans="54:55" x14ac:dyDescent="0.2">
      <c r="BB1940" s="9" t="s">
        <v>1257</v>
      </c>
      <c r="BC1940" s="1005">
        <v>241</v>
      </c>
    </row>
    <row r="1941" spans="54:55" x14ac:dyDescent="0.2">
      <c r="BB1941" s="9" t="s">
        <v>1257</v>
      </c>
      <c r="BC1941" s="1005">
        <v>242</v>
      </c>
    </row>
    <row r="1942" spans="54:55" x14ac:dyDescent="0.2">
      <c r="BB1942" s="9" t="s">
        <v>1257</v>
      </c>
      <c r="BC1942" s="1005">
        <v>243</v>
      </c>
    </row>
    <row r="1943" spans="54:55" x14ac:dyDescent="0.2">
      <c r="BB1943" s="9" t="s">
        <v>1257</v>
      </c>
      <c r="BC1943" s="1005">
        <v>244</v>
      </c>
    </row>
    <row r="1944" spans="54:55" x14ac:dyDescent="0.2">
      <c r="BB1944" s="9" t="s">
        <v>1257</v>
      </c>
      <c r="BC1944" s="1005">
        <v>245</v>
      </c>
    </row>
    <row r="1945" spans="54:55" x14ac:dyDescent="0.2">
      <c r="BB1945" s="9" t="s">
        <v>1257</v>
      </c>
      <c r="BC1945" s="1005">
        <v>246</v>
      </c>
    </row>
    <row r="1946" spans="54:55" x14ac:dyDescent="0.2">
      <c r="BB1946" s="9" t="s">
        <v>1257</v>
      </c>
      <c r="BC1946" s="1005">
        <v>247</v>
      </c>
    </row>
    <row r="1947" spans="54:55" x14ac:dyDescent="0.2">
      <c r="BB1947" s="9" t="s">
        <v>1257</v>
      </c>
      <c r="BC1947" s="1005">
        <v>248</v>
      </c>
    </row>
    <row r="1948" spans="54:55" x14ac:dyDescent="0.2">
      <c r="BB1948" s="9" t="s">
        <v>1257</v>
      </c>
      <c r="BC1948" s="1005">
        <v>249</v>
      </c>
    </row>
    <row r="1949" spans="54:55" x14ac:dyDescent="0.2">
      <c r="BB1949" s="9" t="s">
        <v>1257</v>
      </c>
      <c r="BC1949" s="1005">
        <v>250</v>
      </c>
    </row>
    <row r="1950" spans="54:55" x14ac:dyDescent="0.2">
      <c r="BB1950" s="9" t="s">
        <v>1257</v>
      </c>
      <c r="BC1950" s="1005">
        <v>251</v>
      </c>
    </row>
    <row r="1951" spans="54:55" x14ac:dyDescent="0.2">
      <c r="BB1951" s="9" t="s">
        <v>1257</v>
      </c>
      <c r="BC1951" s="1005">
        <v>252</v>
      </c>
    </row>
    <row r="1952" spans="54:55" x14ac:dyDescent="0.2">
      <c r="BB1952" s="9" t="s">
        <v>1257</v>
      </c>
      <c r="BC1952" s="1005">
        <v>253</v>
      </c>
    </row>
    <row r="1953" spans="54:55" x14ac:dyDescent="0.2">
      <c r="BB1953" s="9" t="s">
        <v>1257</v>
      </c>
      <c r="BC1953" s="1005">
        <v>254</v>
      </c>
    </row>
    <row r="1954" spans="54:55" x14ac:dyDescent="0.2">
      <c r="BB1954" s="9" t="s">
        <v>1257</v>
      </c>
      <c r="BC1954" s="1005">
        <v>255</v>
      </c>
    </row>
    <row r="1955" spans="54:55" x14ac:dyDescent="0.2">
      <c r="BB1955" s="9" t="s">
        <v>1257</v>
      </c>
      <c r="BC1955" s="1005">
        <v>256</v>
      </c>
    </row>
    <row r="1956" spans="54:55" x14ac:dyDescent="0.2">
      <c r="BB1956" s="9" t="s">
        <v>1257</v>
      </c>
      <c r="BC1956" s="1005">
        <v>257</v>
      </c>
    </row>
    <row r="1957" spans="54:55" x14ac:dyDescent="0.2">
      <c r="BB1957" s="9" t="s">
        <v>1257</v>
      </c>
      <c r="BC1957" s="1005">
        <v>258</v>
      </c>
    </row>
    <row r="1958" spans="54:55" x14ac:dyDescent="0.2">
      <c r="BB1958" s="9" t="s">
        <v>1257</v>
      </c>
      <c r="BC1958" s="1005">
        <v>259</v>
      </c>
    </row>
    <row r="1959" spans="54:55" x14ac:dyDescent="0.2">
      <c r="BB1959" s="9" t="s">
        <v>1257</v>
      </c>
      <c r="BC1959" s="1005">
        <v>260</v>
      </c>
    </row>
    <row r="1960" spans="54:55" x14ac:dyDescent="0.2">
      <c r="BB1960" s="9" t="s">
        <v>1257</v>
      </c>
      <c r="BC1960" s="1005">
        <v>261</v>
      </c>
    </row>
    <row r="1961" spans="54:55" x14ac:dyDescent="0.2">
      <c r="BB1961" s="9" t="s">
        <v>1257</v>
      </c>
      <c r="BC1961" s="1005">
        <v>262</v>
      </c>
    </row>
    <row r="1962" spans="54:55" x14ac:dyDescent="0.2">
      <c r="BB1962" s="9" t="s">
        <v>1257</v>
      </c>
      <c r="BC1962" s="1005">
        <v>263</v>
      </c>
    </row>
    <row r="1963" spans="54:55" x14ac:dyDescent="0.2">
      <c r="BB1963" s="9" t="s">
        <v>1257</v>
      </c>
      <c r="BC1963" s="1005">
        <v>264</v>
      </c>
    </row>
    <row r="1964" spans="54:55" x14ac:dyDescent="0.2">
      <c r="BB1964" s="9" t="s">
        <v>1257</v>
      </c>
      <c r="BC1964" s="1005">
        <v>265</v>
      </c>
    </row>
    <row r="1965" spans="54:55" x14ac:dyDescent="0.2">
      <c r="BB1965" s="9" t="s">
        <v>1257</v>
      </c>
      <c r="BC1965" s="1005">
        <v>266</v>
      </c>
    </row>
    <row r="1966" spans="54:55" x14ac:dyDescent="0.2">
      <c r="BB1966" s="9" t="s">
        <v>1257</v>
      </c>
      <c r="BC1966" s="1005">
        <v>267</v>
      </c>
    </row>
    <row r="1967" spans="54:55" x14ac:dyDescent="0.2">
      <c r="BB1967" s="9" t="s">
        <v>1257</v>
      </c>
      <c r="BC1967" s="1005">
        <v>268</v>
      </c>
    </row>
    <row r="1968" spans="54:55" x14ac:dyDescent="0.2">
      <c r="BB1968" s="9" t="s">
        <v>1257</v>
      </c>
      <c r="BC1968" s="1005">
        <v>269</v>
      </c>
    </row>
    <row r="1969" spans="54:55" x14ac:dyDescent="0.2">
      <c r="BB1969" s="9" t="s">
        <v>1257</v>
      </c>
      <c r="BC1969" s="1005">
        <v>270</v>
      </c>
    </row>
    <row r="1970" spans="54:55" x14ac:dyDescent="0.2">
      <c r="BB1970" s="9" t="s">
        <v>1257</v>
      </c>
      <c r="BC1970" s="1005">
        <v>271</v>
      </c>
    </row>
    <row r="1971" spans="54:55" x14ac:dyDescent="0.2">
      <c r="BB1971" s="9" t="s">
        <v>1257</v>
      </c>
      <c r="BC1971" s="1005">
        <v>272</v>
      </c>
    </row>
    <row r="1972" spans="54:55" x14ac:dyDescent="0.2">
      <c r="BB1972" s="9" t="s">
        <v>1257</v>
      </c>
      <c r="BC1972" s="1005">
        <v>273</v>
      </c>
    </row>
    <row r="1973" spans="54:55" x14ac:dyDescent="0.2">
      <c r="BB1973" s="9" t="s">
        <v>1257</v>
      </c>
      <c r="BC1973" s="1005">
        <v>274</v>
      </c>
    </row>
    <row r="1974" spans="54:55" x14ac:dyDescent="0.2">
      <c r="BB1974" s="9" t="s">
        <v>1257</v>
      </c>
      <c r="BC1974" s="1005">
        <v>275</v>
      </c>
    </row>
    <row r="1975" spans="54:55" x14ac:dyDescent="0.2">
      <c r="BB1975" s="9" t="s">
        <v>1257</v>
      </c>
      <c r="BC1975" s="1005">
        <v>276</v>
      </c>
    </row>
    <row r="1976" spans="54:55" x14ac:dyDescent="0.2">
      <c r="BB1976" s="9" t="s">
        <v>1257</v>
      </c>
      <c r="BC1976" s="1005">
        <v>277</v>
      </c>
    </row>
    <row r="1977" spans="54:55" x14ac:dyDescent="0.2">
      <c r="BB1977" s="9" t="s">
        <v>1257</v>
      </c>
      <c r="BC1977" s="1005">
        <v>278</v>
      </c>
    </row>
    <row r="1978" spans="54:55" x14ac:dyDescent="0.2">
      <c r="BB1978" s="9" t="s">
        <v>1257</v>
      </c>
      <c r="BC1978" s="1005">
        <v>279</v>
      </c>
    </row>
    <row r="1979" spans="54:55" x14ac:dyDescent="0.2">
      <c r="BB1979" s="9" t="s">
        <v>1257</v>
      </c>
      <c r="BC1979" s="1005">
        <v>280</v>
      </c>
    </row>
    <row r="1980" spans="54:55" x14ac:dyDescent="0.2">
      <c r="BB1980" s="9" t="s">
        <v>1257</v>
      </c>
      <c r="BC1980" s="1005">
        <v>281</v>
      </c>
    </row>
    <row r="1981" spans="54:55" x14ac:dyDescent="0.2">
      <c r="BB1981" s="9" t="s">
        <v>1257</v>
      </c>
      <c r="BC1981" s="1005">
        <v>282</v>
      </c>
    </row>
    <row r="1982" spans="54:55" x14ac:dyDescent="0.2">
      <c r="BB1982" s="9" t="s">
        <v>1257</v>
      </c>
      <c r="BC1982" s="1005">
        <v>283</v>
      </c>
    </row>
    <row r="1983" spans="54:55" x14ac:dyDescent="0.2">
      <c r="BB1983" s="9" t="s">
        <v>1257</v>
      </c>
      <c r="BC1983" s="1005">
        <v>284</v>
      </c>
    </row>
    <row r="1984" spans="54:55" x14ac:dyDescent="0.2">
      <c r="BB1984" s="9" t="s">
        <v>1257</v>
      </c>
      <c r="BC1984" s="1005">
        <v>285</v>
      </c>
    </row>
    <row r="1985" spans="54:55" x14ac:dyDescent="0.2">
      <c r="BB1985" s="9" t="s">
        <v>1257</v>
      </c>
      <c r="BC1985" s="1005">
        <v>286</v>
      </c>
    </row>
    <row r="1986" spans="54:55" x14ac:dyDescent="0.2">
      <c r="BB1986" s="9" t="s">
        <v>1257</v>
      </c>
      <c r="BC1986" s="1005">
        <v>287</v>
      </c>
    </row>
    <row r="1987" spans="54:55" x14ac:dyDescent="0.2">
      <c r="BB1987" s="9" t="s">
        <v>1257</v>
      </c>
      <c r="BC1987" s="1005">
        <v>288</v>
      </c>
    </row>
    <row r="1988" spans="54:55" x14ac:dyDescent="0.2">
      <c r="BB1988" s="9" t="s">
        <v>1257</v>
      </c>
      <c r="BC1988" s="1005">
        <v>289</v>
      </c>
    </row>
    <row r="1989" spans="54:55" x14ac:dyDescent="0.2">
      <c r="BB1989" s="9" t="s">
        <v>1257</v>
      </c>
      <c r="BC1989" s="1005">
        <v>290</v>
      </c>
    </row>
    <row r="1990" spans="54:55" x14ac:dyDescent="0.2">
      <c r="BB1990" s="9" t="s">
        <v>1257</v>
      </c>
      <c r="BC1990" s="1005">
        <v>291</v>
      </c>
    </row>
    <row r="1991" spans="54:55" x14ac:dyDescent="0.2">
      <c r="BB1991" s="9" t="s">
        <v>1257</v>
      </c>
      <c r="BC1991" s="1005">
        <v>292</v>
      </c>
    </row>
    <row r="1992" spans="54:55" x14ac:dyDescent="0.2">
      <c r="BB1992" s="9" t="s">
        <v>1257</v>
      </c>
      <c r="BC1992" s="1005">
        <v>293</v>
      </c>
    </row>
    <row r="1993" spans="54:55" x14ac:dyDescent="0.2">
      <c r="BB1993" s="9" t="s">
        <v>1257</v>
      </c>
      <c r="BC1993" s="1005">
        <v>294</v>
      </c>
    </row>
    <row r="1994" spans="54:55" x14ac:dyDescent="0.2">
      <c r="BB1994" s="9" t="s">
        <v>1257</v>
      </c>
      <c r="BC1994" s="1005">
        <v>295</v>
      </c>
    </row>
    <row r="1995" spans="54:55" x14ac:dyDescent="0.2">
      <c r="BB1995" s="9" t="s">
        <v>1257</v>
      </c>
      <c r="BC1995" s="1005">
        <v>296</v>
      </c>
    </row>
    <row r="1996" spans="54:55" x14ac:dyDescent="0.2">
      <c r="BB1996" s="9" t="s">
        <v>1257</v>
      </c>
      <c r="BC1996" s="1005">
        <v>297</v>
      </c>
    </row>
    <row r="1997" spans="54:55" x14ac:dyDescent="0.2">
      <c r="BB1997" s="9" t="s">
        <v>1257</v>
      </c>
      <c r="BC1997" s="1005">
        <v>298</v>
      </c>
    </row>
    <row r="1998" spans="54:55" x14ac:dyDescent="0.2">
      <c r="BB1998" s="9" t="s">
        <v>1257</v>
      </c>
      <c r="BC1998" s="1005">
        <v>299</v>
      </c>
    </row>
    <row r="1999" spans="54:55" x14ac:dyDescent="0.2">
      <c r="BB1999" s="9" t="s">
        <v>1257</v>
      </c>
      <c r="BC1999" s="1005">
        <v>300</v>
      </c>
    </row>
    <row r="2000" spans="54:55" x14ac:dyDescent="0.2">
      <c r="BB2000" s="9" t="s">
        <v>1257</v>
      </c>
      <c r="BC2000" s="1005">
        <v>301</v>
      </c>
    </row>
    <row r="2001" spans="54:55" x14ac:dyDescent="0.2">
      <c r="BB2001" s="9" t="s">
        <v>1257</v>
      </c>
      <c r="BC2001" s="1005">
        <v>302</v>
      </c>
    </row>
    <row r="2002" spans="54:55" x14ac:dyDescent="0.2">
      <c r="BB2002" s="9" t="s">
        <v>1257</v>
      </c>
      <c r="BC2002" s="1005">
        <v>303</v>
      </c>
    </row>
    <row r="2003" spans="54:55" x14ac:dyDescent="0.2">
      <c r="BB2003" s="9" t="s">
        <v>1257</v>
      </c>
      <c r="BC2003" s="1005">
        <v>304</v>
      </c>
    </row>
    <row r="2004" spans="54:55" x14ac:dyDescent="0.2">
      <c r="BB2004" s="9" t="s">
        <v>1257</v>
      </c>
      <c r="BC2004" s="1005">
        <v>305</v>
      </c>
    </row>
    <row r="2005" spans="54:55" x14ac:dyDescent="0.2">
      <c r="BB2005" s="9" t="s">
        <v>1257</v>
      </c>
      <c r="BC2005" s="1005">
        <v>306</v>
      </c>
    </row>
    <row r="2006" spans="54:55" x14ac:dyDescent="0.2">
      <c r="BB2006" s="9" t="s">
        <v>1257</v>
      </c>
      <c r="BC2006" s="1005">
        <v>307</v>
      </c>
    </row>
    <row r="2007" spans="54:55" x14ac:dyDescent="0.2">
      <c r="BB2007" s="9" t="s">
        <v>1257</v>
      </c>
      <c r="BC2007" s="1005">
        <v>308</v>
      </c>
    </row>
    <row r="2008" spans="54:55" x14ac:dyDescent="0.2">
      <c r="BB2008" s="9" t="s">
        <v>1257</v>
      </c>
      <c r="BC2008" s="1005">
        <v>309</v>
      </c>
    </row>
    <row r="2009" spans="54:55" x14ac:dyDescent="0.2">
      <c r="BB2009" s="9" t="s">
        <v>1257</v>
      </c>
      <c r="BC2009" s="1005">
        <v>310</v>
      </c>
    </row>
    <row r="2010" spans="54:55" x14ac:dyDescent="0.2">
      <c r="BB2010" s="9" t="s">
        <v>1257</v>
      </c>
      <c r="BC2010" s="1005">
        <v>311</v>
      </c>
    </row>
    <row r="2011" spans="54:55" x14ac:dyDescent="0.2">
      <c r="BB2011" s="9" t="s">
        <v>1257</v>
      </c>
      <c r="BC2011" s="1005">
        <v>312</v>
      </c>
    </row>
    <row r="2012" spans="54:55" x14ac:dyDescent="0.2">
      <c r="BB2012" s="9" t="s">
        <v>1257</v>
      </c>
      <c r="BC2012" s="1005">
        <v>313</v>
      </c>
    </row>
    <row r="2013" spans="54:55" x14ac:dyDescent="0.2">
      <c r="BB2013" s="9" t="s">
        <v>1257</v>
      </c>
      <c r="BC2013" s="1005">
        <v>314</v>
      </c>
    </row>
    <row r="2014" spans="54:55" x14ac:dyDescent="0.2">
      <c r="BB2014" s="9" t="s">
        <v>1257</v>
      </c>
      <c r="BC2014" s="1005">
        <v>315</v>
      </c>
    </row>
    <row r="2015" spans="54:55" x14ac:dyDescent="0.2">
      <c r="BB2015" s="9" t="s">
        <v>1257</v>
      </c>
      <c r="BC2015" s="1005">
        <v>316</v>
      </c>
    </row>
    <row r="2016" spans="54:55" x14ac:dyDescent="0.2">
      <c r="BB2016" s="9" t="s">
        <v>1257</v>
      </c>
      <c r="BC2016" s="1005">
        <v>317</v>
      </c>
    </row>
    <row r="2017" spans="54:55" x14ac:dyDescent="0.2">
      <c r="BB2017" s="9" t="s">
        <v>1257</v>
      </c>
      <c r="BC2017" s="1005">
        <v>318</v>
      </c>
    </row>
    <row r="2018" spans="54:55" x14ac:dyDescent="0.2">
      <c r="BB2018" s="9" t="s">
        <v>1257</v>
      </c>
      <c r="BC2018" s="1005">
        <v>319</v>
      </c>
    </row>
    <row r="2019" spans="54:55" x14ac:dyDescent="0.2">
      <c r="BB2019" s="9" t="s">
        <v>1257</v>
      </c>
      <c r="BC2019" s="1005">
        <v>320</v>
      </c>
    </row>
    <row r="2020" spans="54:55" x14ac:dyDescent="0.2">
      <c r="BB2020" s="9" t="s">
        <v>1257</v>
      </c>
      <c r="BC2020" s="1005">
        <v>321</v>
      </c>
    </row>
    <row r="2021" spans="54:55" x14ac:dyDescent="0.2">
      <c r="BB2021" s="9" t="s">
        <v>1257</v>
      </c>
      <c r="BC2021" s="1005">
        <v>322</v>
      </c>
    </row>
    <row r="2022" spans="54:55" x14ac:dyDescent="0.2">
      <c r="BB2022" s="9" t="s">
        <v>1257</v>
      </c>
      <c r="BC2022" s="1005">
        <v>323</v>
      </c>
    </row>
    <row r="2023" spans="54:55" x14ac:dyDescent="0.2">
      <c r="BB2023" s="9" t="s">
        <v>1257</v>
      </c>
      <c r="BC2023" s="1005">
        <v>324</v>
      </c>
    </row>
    <row r="2024" spans="54:55" x14ac:dyDescent="0.2">
      <c r="BB2024" s="9" t="s">
        <v>1257</v>
      </c>
      <c r="BC2024" s="1005">
        <v>325</v>
      </c>
    </row>
    <row r="2025" spans="54:55" x14ac:dyDescent="0.2">
      <c r="BB2025" s="9" t="s">
        <v>1257</v>
      </c>
      <c r="BC2025" s="1005">
        <v>326</v>
      </c>
    </row>
    <row r="2026" spans="54:55" x14ac:dyDescent="0.2">
      <c r="BB2026" s="9" t="s">
        <v>1257</v>
      </c>
      <c r="BC2026" s="1005">
        <v>327</v>
      </c>
    </row>
    <row r="2027" spans="54:55" x14ac:dyDescent="0.2">
      <c r="BB2027" s="9" t="s">
        <v>1257</v>
      </c>
      <c r="BC2027" s="1005">
        <v>328</v>
      </c>
    </row>
    <row r="2028" spans="54:55" x14ac:dyDescent="0.2">
      <c r="BB2028" s="9" t="s">
        <v>1257</v>
      </c>
      <c r="BC2028" s="1005">
        <v>329</v>
      </c>
    </row>
    <row r="2029" spans="54:55" x14ac:dyDescent="0.2">
      <c r="BB2029" s="9" t="s">
        <v>1257</v>
      </c>
      <c r="BC2029" s="1005">
        <v>330</v>
      </c>
    </row>
    <row r="2030" spans="54:55" x14ac:dyDescent="0.2">
      <c r="BB2030" s="9" t="s">
        <v>1257</v>
      </c>
      <c r="BC2030" s="1005">
        <v>331</v>
      </c>
    </row>
    <row r="2031" spans="54:55" x14ac:dyDescent="0.2">
      <c r="BB2031" s="9" t="s">
        <v>1257</v>
      </c>
      <c r="BC2031" s="1005">
        <v>332</v>
      </c>
    </row>
    <row r="2032" spans="54:55" x14ac:dyDescent="0.2">
      <c r="BB2032" s="9" t="s">
        <v>1257</v>
      </c>
      <c r="BC2032" s="1005">
        <v>333</v>
      </c>
    </row>
    <row r="2033" spans="54:55" x14ac:dyDescent="0.2">
      <c r="BB2033" s="9" t="s">
        <v>1257</v>
      </c>
      <c r="BC2033" s="1005">
        <v>334</v>
      </c>
    </row>
    <row r="2034" spans="54:55" x14ac:dyDescent="0.2">
      <c r="BB2034" s="9" t="s">
        <v>1257</v>
      </c>
      <c r="BC2034" s="1005">
        <v>335</v>
      </c>
    </row>
    <row r="2035" spans="54:55" x14ac:dyDescent="0.2">
      <c r="BB2035" s="9" t="s">
        <v>1257</v>
      </c>
      <c r="BC2035" s="1005">
        <v>336</v>
      </c>
    </row>
    <row r="2036" spans="54:55" x14ac:dyDescent="0.2">
      <c r="BB2036" s="9" t="s">
        <v>1257</v>
      </c>
      <c r="BC2036" s="1005">
        <v>337</v>
      </c>
    </row>
    <row r="2037" spans="54:55" x14ac:dyDescent="0.2">
      <c r="BB2037" s="9" t="s">
        <v>1257</v>
      </c>
      <c r="BC2037" s="1005">
        <v>338</v>
      </c>
    </row>
    <row r="2038" spans="54:55" x14ac:dyDescent="0.2">
      <c r="BB2038" s="9" t="s">
        <v>1257</v>
      </c>
      <c r="BC2038" s="1005">
        <v>339</v>
      </c>
    </row>
    <row r="2039" spans="54:55" x14ac:dyDescent="0.2">
      <c r="BB2039" s="9" t="s">
        <v>1257</v>
      </c>
      <c r="BC2039" s="1005">
        <v>340</v>
      </c>
    </row>
    <row r="2040" spans="54:55" x14ac:dyDescent="0.2">
      <c r="BB2040" s="9" t="s">
        <v>1257</v>
      </c>
      <c r="BC2040" s="1005">
        <v>341</v>
      </c>
    </row>
    <row r="2041" spans="54:55" x14ac:dyDescent="0.2">
      <c r="BB2041" s="9" t="s">
        <v>1257</v>
      </c>
      <c r="BC2041" s="1005">
        <v>342</v>
      </c>
    </row>
    <row r="2042" spans="54:55" x14ac:dyDescent="0.2">
      <c r="BB2042" s="9" t="s">
        <v>1257</v>
      </c>
      <c r="BC2042" s="1005">
        <v>343</v>
      </c>
    </row>
    <row r="2043" spans="54:55" x14ac:dyDescent="0.2">
      <c r="BB2043" s="9" t="s">
        <v>1257</v>
      </c>
      <c r="BC2043" s="1005">
        <v>344</v>
      </c>
    </row>
    <row r="2044" spans="54:55" x14ac:dyDescent="0.2">
      <c r="BB2044" s="9" t="s">
        <v>1257</v>
      </c>
      <c r="BC2044" s="1005">
        <v>345</v>
      </c>
    </row>
    <row r="2045" spans="54:55" x14ac:dyDescent="0.2">
      <c r="BB2045" s="9" t="s">
        <v>1257</v>
      </c>
      <c r="BC2045" s="1005">
        <v>346</v>
      </c>
    </row>
    <row r="2046" spans="54:55" x14ac:dyDescent="0.2">
      <c r="BB2046" s="9" t="s">
        <v>1257</v>
      </c>
      <c r="BC2046" s="1005">
        <v>347</v>
      </c>
    </row>
    <row r="2047" spans="54:55" x14ac:dyDescent="0.2">
      <c r="BB2047" s="9" t="s">
        <v>1257</v>
      </c>
      <c r="BC2047" s="1005">
        <v>348</v>
      </c>
    </row>
    <row r="2048" spans="54:55" x14ac:dyDescent="0.2">
      <c r="BB2048" s="9" t="s">
        <v>1257</v>
      </c>
      <c r="BC2048" s="1005">
        <v>349</v>
      </c>
    </row>
    <row r="2049" spans="54:55" x14ac:dyDescent="0.2">
      <c r="BB2049" s="9" t="s">
        <v>1257</v>
      </c>
      <c r="BC2049" s="1005">
        <v>350</v>
      </c>
    </row>
    <row r="2050" spans="54:55" x14ac:dyDescent="0.2">
      <c r="BB2050" s="9" t="s">
        <v>1257</v>
      </c>
      <c r="BC2050" s="1005">
        <v>351</v>
      </c>
    </row>
    <row r="2051" spans="54:55" x14ac:dyDescent="0.2">
      <c r="BB2051" s="9" t="s">
        <v>1257</v>
      </c>
      <c r="BC2051" s="1005">
        <v>352</v>
      </c>
    </row>
    <row r="2052" spans="54:55" x14ac:dyDescent="0.2">
      <c r="BB2052" s="9" t="s">
        <v>1257</v>
      </c>
      <c r="BC2052" s="1005">
        <v>353</v>
      </c>
    </row>
    <row r="2053" spans="54:55" x14ac:dyDescent="0.2">
      <c r="BB2053" s="9" t="s">
        <v>1257</v>
      </c>
      <c r="BC2053" s="1005">
        <v>354</v>
      </c>
    </row>
    <row r="2054" spans="54:55" x14ac:dyDescent="0.2">
      <c r="BB2054" s="9" t="s">
        <v>1257</v>
      </c>
      <c r="BC2054" s="1005">
        <v>355</v>
      </c>
    </row>
    <row r="2055" spans="54:55" x14ac:dyDescent="0.2">
      <c r="BB2055" s="9" t="s">
        <v>1257</v>
      </c>
      <c r="BC2055" s="1005">
        <v>356</v>
      </c>
    </row>
    <row r="2056" spans="54:55" x14ac:dyDescent="0.2">
      <c r="BB2056" s="9" t="s">
        <v>1257</v>
      </c>
      <c r="BC2056" s="1005">
        <v>357</v>
      </c>
    </row>
    <row r="2057" spans="54:55" x14ac:dyDescent="0.2">
      <c r="BB2057" s="9" t="s">
        <v>1257</v>
      </c>
      <c r="BC2057" s="1005">
        <v>358</v>
      </c>
    </row>
    <row r="2058" spans="54:55" x14ac:dyDescent="0.2">
      <c r="BB2058" s="9" t="s">
        <v>1257</v>
      </c>
      <c r="BC2058" s="1005">
        <v>359</v>
      </c>
    </row>
    <row r="2059" spans="54:55" x14ac:dyDescent="0.2">
      <c r="BB2059" s="9" t="s">
        <v>1257</v>
      </c>
      <c r="BC2059" s="1005">
        <v>360</v>
      </c>
    </row>
    <row r="2060" spans="54:55" x14ac:dyDescent="0.2">
      <c r="BB2060" s="9" t="s">
        <v>1257</v>
      </c>
      <c r="BC2060" s="1005">
        <v>361</v>
      </c>
    </row>
    <row r="2061" spans="54:55" x14ac:dyDescent="0.2">
      <c r="BB2061" s="9" t="s">
        <v>1257</v>
      </c>
      <c r="BC2061" s="1005">
        <v>362</v>
      </c>
    </row>
    <row r="2062" spans="54:55" x14ac:dyDescent="0.2">
      <c r="BB2062" s="9" t="s">
        <v>1257</v>
      </c>
      <c r="BC2062" s="1005">
        <v>363</v>
      </c>
    </row>
    <row r="2063" spans="54:55" x14ac:dyDescent="0.2">
      <c r="BB2063" s="9" t="s">
        <v>1257</v>
      </c>
      <c r="BC2063" s="1005">
        <v>364</v>
      </c>
    </row>
    <row r="2064" spans="54:55" x14ac:dyDescent="0.2">
      <c r="BB2064" s="9" t="s">
        <v>1257</v>
      </c>
      <c r="BC2064" s="1005">
        <v>365</v>
      </c>
    </row>
    <row r="2065" spans="54:55" x14ac:dyDescent="0.2">
      <c r="BB2065" s="9" t="s">
        <v>1257</v>
      </c>
      <c r="BC2065" s="1005">
        <v>366</v>
      </c>
    </row>
    <row r="2066" spans="54:55" x14ac:dyDescent="0.2">
      <c r="BB2066" s="9" t="s">
        <v>1257</v>
      </c>
      <c r="BC2066" s="1005">
        <v>367</v>
      </c>
    </row>
    <row r="2067" spans="54:55" x14ac:dyDescent="0.2">
      <c r="BB2067" s="9" t="s">
        <v>1257</v>
      </c>
      <c r="BC2067" s="1005">
        <v>368</v>
      </c>
    </row>
    <row r="2068" spans="54:55" x14ac:dyDescent="0.2">
      <c r="BB2068" s="9" t="s">
        <v>1257</v>
      </c>
      <c r="BC2068" s="1005">
        <v>369</v>
      </c>
    </row>
    <row r="2069" spans="54:55" x14ac:dyDescent="0.2">
      <c r="BB2069" s="9" t="s">
        <v>1257</v>
      </c>
      <c r="BC2069" s="1005">
        <v>370</v>
      </c>
    </row>
    <row r="2070" spans="54:55" x14ac:dyDescent="0.2">
      <c r="BB2070" s="9" t="s">
        <v>1257</v>
      </c>
      <c r="BC2070" s="1005">
        <v>371</v>
      </c>
    </row>
    <row r="2071" spans="54:55" x14ac:dyDescent="0.2">
      <c r="BB2071" s="9" t="s">
        <v>1257</v>
      </c>
      <c r="BC2071" s="1005">
        <v>372</v>
      </c>
    </row>
    <row r="2072" spans="54:55" x14ac:dyDescent="0.2">
      <c r="BB2072" s="9" t="s">
        <v>1257</v>
      </c>
      <c r="BC2072" s="1005">
        <v>373</v>
      </c>
    </row>
    <row r="2073" spans="54:55" x14ac:dyDescent="0.2">
      <c r="BB2073" s="9" t="s">
        <v>1257</v>
      </c>
      <c r="BC2073" s="1005">
        <v>374</v>
      </c>
    </row>
    <row r="2074" spans="54:55" x14ac:dyDescent="0.2">
      <c r="BB2074" s="9" t="s">
        <v>1257</v>
      </c>
      <c r="BC2074" s="1005">
        <v>375</v>
      </c>
    </row>
    <row r="2075" spans="54:55" x14ac:dyDescent="0.2">
      <c r="BB2075" s="9" t="s">
        <v>1257</v>
      </c>
      <c r="BC2075" s="1005">
        <v>376</v>
      </c>
    </row>
    <row r="2076" spans="54:55" x14ac:dyDescent="0.2">
      <c r="BB2076" s="9" t="s">
        <v>1257</v>
      </c>
      <c r="BC2076" s="1005">
        <v>377</v>
      </c>
    </row>
    <row r="2077" spans="54:55" x14ac:dyDescent="0.2">
      <c r="BB2077" s="9" t="s">
        <v>1257</v>
      </c>
      <c r="BC2077" s="1005">
        <v>378</v>
      </c>
    </row>
    <row r="2078" spans="54:55" x14ac:dyDescent="0.2">
      <c r="BB2078" s="9" t="s">
        <v>1257</v>
      </c>
      <c r="BC2078" s="1005">
        <v>379</v>
      </c>
    </row>
    <row r="2079" spans="54:55" x14ac:dyDescent="0.2">
      <c r="BB2079" s="9" t="s">
        <v>1257</v>
      </c>
      <c r="BC2079" s="1005">
        <v>380</v>
      </c>
    </row>
    <row r="2080" spans="54:55" x14ac:dyDescent="0.2">
      <c r="BB2080" s="9" t="s">
        <v>1257</v>
      </c>
      <c r="BC2080" s="1005">
        <v>381</v>
      </c>
    </row>
    <row r="2081" spans="54:55" x14ac:dyDescent="0.2">
      <c r="BB2081" s="9" t="s">
        <v>1257</v>
      </c>
      <c r="BC2081" s="1005">
        <v>382</v>
      </c>
    </row>
    <row r="2082" spans="54:55" x14ac:dyDescent="0.2">
      <c r="BB2082" s="9" t="s">
        <v>1257</v>
      </c>
      <c r="BC2082" s="1005">
        <v>383</v>
      </c>
    </row>
    <row r="2083" spans="54:55" x14ac:dyDescent="0.2">
      <c r="BB2083" s="9" t="s">
        <v>1257</v>
      </c>
      <c r="BC2083" s="1005">
        <v>384</v>
      </c>
    </row>
    <row r="2084" spans="54:55" x14ac:dyDescent="0.2">
      <c r="BB2084" s="9" t="s">
        <v>1257</v>
      </c>
      <c r="BC2084" s="1005">
        <v>385</v>
      </c>
    </row>
    <row r="2085" spans="54:55" x14ac:dyDescent="0.2">
      <c r="BB2085" s="9" t="s">
        <v>1257</v>
      </c>
      <c r="BC2085" s="1005">
        <v>386</v>
      </c>
    </row>
    <row r="2086" spans="54:55" x14ac:dyDescent="0.2">
      <c r="BB2086" s="9" t="s">
        <v>1257</v>
      </c>
      <c r="BC2086" s="1005">
        <v>387</v>
      </c>
    </row>
    <row r="2087" spans="54:55" x14ac:dyDescent="0.2">
      <c r="BB2087" s="9" t="s">
        <v>1257</v>
      </c>
      <c r="BC2087" s="1005">
        <v>388</v>
      </c>
    </row>
    <row r="2088" spans="54:55" x14ac:dyDescent="0.2">
      <c r="BB2088" s="9" t="s">
        <v>1257</v>
      </c>
      <c r="BC2088" s="1005">
        <v>389</v>
      </c>
    </row>
    <row r="2089" spans="54:55" x14ac:dyDescent="0.2">
      <c r="BB2089" s="9" t="s">
        <v>1257</v>
      </c>
      <c r="BC2089" s="1005">
        <v>390</v>
      </c>
    </row>
    <row r="2090" spans="54:55" x14ac:dyDescent="0.2">
      <c r="BB2090" s="9" t="s">
        <v>1257</v>
      </c>
      <c r="BC2090" s="1005">
        <v>391</v>
      </c>
    </row>
    <row r="2091" spans="54:55" x14ac:dyDescent="0.2">
      <c r="BB2091" s="9" t="s">
        <v>1257</v>
      </c>
      <c r="BC2091" s="1005">
        <v>392</v>
      </c>
    </row>
    <row r="2092" spans="54:55" x14ac:dyDescent="0.2">
      <c r="BB2092" s="9" t="s">
        <v>1257</v>
      </c>
      <c r="BC2092" s="1005">
        <v>393</v>
      </c>
    </row>
    <row r="2093" spans="54:55" x14ac:dyDescent="0.2">
      <c r="BB2093" s="9" t="s">
        <v>1257</v>
      </c>
      <c r="BC2093" s="1005">
        <v>394</v>
      </c>
    </row>
    <row r="2094" spans="54:55" x14ac:dyDescent="0.2">
      <c r="BB2094" s="9" t="s">
        <v>1257</v>
      </c>
      <c r="BC2094" s="1005">
        <v>395</v>
      </c>
    </row>
    <row r="2095" spans="54:55" x14ac:dyDescent="0.2">
      <c r="BB2095" s="9" t="s">
        <v>1257</v>
      </c>
      <c r="BC2095" s="1005">
        <v>396</v>
      </c>
    </row>
    <row r="2096" spans="54:55" x14ac:dyDescent="0.2">
      <c r="BB2096" s="9" t="s">
        <v>1257</v>
      </c>
      <c r="BC2096" s="1005">
        <v>397</v>
      </c>
    </row>
    <row r="2097" spans="54:55" x14ac:dyDescent="0.2">
      <c r="BB2097" s="9" t="s">
        <v>1257</v>
      </c>
      <c r="BC2097" s="1005">
        <v>398</v>
      </c>
    </row>
    <row r="2098" spans="54:55" x14ac:dyDescent="0.2">
      <c r="BB2098" s="9" t="s">
        <v>1257</v>
      </c>
      <c r="BC2098" s="1005">
        <v>399</v>
      </c>
    </row>
    <row r="2099" spans="54:55" x14ac:dyDescent="0.2">
      <c r="BB2099" s="9" t="s">
        <v>1257</v>
      </c>
      <c r="BC2099" s="1005">
        <v>400</v>
      </c>
    </row>
    <row r="2100" spans="54:55" x14ac:dyDescent="0.2">
      <c r="BB2100" s="9" t="s">
        <v>1260</v>
      </c>
      <c r="BC2100" s="1005">
        <v>250</v>
      </c>
    </row>
    <row r="2101" spans="54:55" x14ac:dyDescent="0.2">
      <c r="BB2101" s="9" t="s">
        <v>1260</v>
      </c>
      <c r="BC2101" s="1005">
        <v>251</v>
      </c>
    </row>
    <row r="2102" spans="54:55" x14ac:dyDescent="0.2">
      <c r="BB2102" s="9" t="s">
        <v>1260</v>
      </c>
      <c r="BC2102" s="1005">
        <v>252</v>
      </c>
    </row>
    <row r="2103" spans="54:55" x14ac:dyDescent="0.2">
      <c r="BB2103" s="9" t="s">
        <v>1260</v>
      </c>
      <c r="BC2103" s="1005">
        <v>253</v>
      </c>
    </row>
    <row r="2104" spans="54:55" x14ac:dyDescent="0.2">
      <c r="BB2104" s="9" t="s">
        <v>1260</v>
      </c>
      <c r="BC2104" s="1005">
        <v>254</v>
      </c>
    </row>
    <row r="2105" spans="54:55" x14ac:dyDescent="0.2">
      <c r="BB2105" s="9" t="s">
        <v>1260</v>
      </c>
      <c r="BC2105" s="1005">
        <v>255</v>
      </c>
    </row>
    <row r="2106" spans="54:55" x14ac:dyDescent="0.2">
      <c r="BB2106" s="9" t="s">
        <v>1260</v>
      </c>
      <c r="BC2106" s="1005">
        <v>256</v>
      </c>
    </row>
    <row r="2107" spans="54:55" x14ac:dyDescent="0.2">
      <c r="BB2107" s="9" t="s">
        <v>1260</v>
      </c>
      <c r="BC2107" s="1005">
        <v>257</v>
      </c>
    </row>
    <row r="2108" spans="54:55" x14ac:dyDescent="0.2">
      <c r="BB2108" s="9" t="s">
        <v>1260</v>
      </c>
      <c r="BC2108" s="1005">
        <v>258</v>
      </c>
    </row>
    <row r="2109" spans="54:55" x14ac:dyDescent="0.2">
      <c r="BB2109" s="9" t="s">
        <v>1260</v>
      </c>
      <c r="BC2109" s="1005">
        <v>259</v>
      </c>
    </row>
    <row r="2110" spans="54:55" x14ac:dyDescent="0.2">
      <c r="BB2110" s="9" t="s">
        <v>1260</v>
      </c>
      <c r="BC2110" s="1005">
        <v>260</v>
      </c>
    </row>
    <row r="2111" spans="54:55" x14ac:dyDescent="0.2">
      <c r="BB2111" s="9" t="s">
        <v>1260</v>
      </c>
      <c r="BC2111" s="1005">
        <v>261</v>
      </c>
    </row>
    <row r="2112" spans="54:55" x14ac:dyDescent="0.2">
      <c r="BB2112" s="9" t="s">
        <v>1260</v>
      </c>
      <c r="BC2112" s="1005">
        <v>262</v>
      </c>
    </row>
    <row r="2113" spans="54:55" x14ac:dyDescent="0.2">
      <c r="BB2113" s="9" t="s">
        <v>1260</v>
      </c>
      <c r="BC2113" s="1005">
        <v>263</v>
      </c>
    </row>
    <row r="2114" spans="54:55" x14ac:dyDescent="0.2">
      <c r="BB2114" s="9" t="s">
        <v>1260</v>
      </c>
      <c r="BC2114" s="1005">
        <v>264</v>
      </c>
    </row>
    <row r="2115" spans="54:55" x14ac:dyDescent="0.2">
      <c r="BB2115" s="9" t="s">
        <v>1260</v>
      </c>
      <c r="BC2115" s="1005">
        <v>265</v>
      </c>
    </row>
    <row r="2116" spans="54:55" x14ac:dyDescent="0.2">
      <c r="BB2116" s="9" t="s">
        <v>1260</v>
      </c>
      <c r="BC2116" s="1005">
        <v>266</v>
      </c>
    </row>
    <row r="2117" spans="54:55" x14ac:dyDescent="0.2">
      <c r="BB2117" s="9" t="s">
        <v>1260</v>
      </c>
      <c r="BC2117" s="1005">
        <v>267</v>
      </c>
    </row>
    <row r="2118" spans="54:55" x14ac:dyDescent="0.2">
      <c r="BB2118" s="9" t="s">
        <v>1260</v>
      </c>
      <c r="BC2118" s="1005">
        <v>268</v>
      </c>
    </row>
    <row r="2119" spans="54:55" x14ac:dyDescent="0.2">
      <c r="BB2119" s="9" t="s">
        <v>1260</v>
      </c>
      <c r="BC2119" s="1005">
        <v>269</v>
      </c>
    </row>
    <row r="2120" spans="54:55" x14ac:dyDescent="0.2">
      <c r="BB2120" s="9" t="s">
        <v>1260</v>
      </c>
      <c r="BC2120" s="1005">
        <v>270</v>
      </c>
    </row>
    <row r="2121" spans="54:55" x14ac:dyDescent="0.2">
      <c r="BB2121" s="9" t="s">
        <v>1260</v>
      </c>
      <c r="BC2121" s="1005">
        <v>271</v>
      </c>
    </row>
    <row r="2122" spans="54:55" x14ac:dyDescent="0.2">
      <c r="BB2122" s="9" t="s">
        <v>1260</v>
      </c>
      <c r="BC2122" s="1005">
        <v>272</v>
      </c>
    </row>
    <row r="2123" spans="54:55" x14ac:dyDescent="0.2">
      <c r="BB2123" s="9" t="s">
        <v>1260</v>
      </c>
      <c r="BC2123" s="1005">
        <v>273</v>
      </c>
    </row>
    <row r="2124" spans="54:55" x14ac:dyDescent="0.2">
      <c r="BB2124" s="9" t="s">
        <v>1260</v>
      </c>
      <c r="BC2124" s="1005">
        <v>274</v>
      </c>
    </row>
    <row r="2125" spans="54:55" x14ac:dyDescent="0.2">
      <c r="BB2125" s="9" t="s">
        <v>1260</v>
      </c>
      <c r="BC2125" s="1005">
        <v>275</v>
      </c>
    </row>
    <row r="2126" spans="54:55" x14ac:dyDescent="0.2">
      <c r="BB2126" s="9" t="s">
        <v>1260</v>
      </c>
      <c r="BC2126" s="1005">
        <v>276</v>
      </c>
    </row>
    <row r="2127" spans="54:55" x14ac:dyDescent="0.2">
      <c r="BB2127" s="9" t="s">
        <v>1260</v>
      </c>
      <c r="BC2127" s="1005">
        <v>277</v>
      </c>
    </row>
    <row r="2128" spans="54:55" x14ac:dyDescent="0.2">
      <c r="BB2128" s="9" t="s">
        <v>1260</v>
      </c>
      <c r="BC2128" s="1005">
        <v>278</v>
      </c>
    </row>
    <row r="2129" spans="54:55" x14ac:dyDescent="0.2">
      <c r="BB2129" s="9" t="s">
        <v>1260</v>
      </c>
      <c r="BC2129" s="1005">
        <v>279</v>
      </c>
    </row>
    <row r="2130" spans="54:55" x14ac:dyDescent="0.2">
      <c r="BB2130" s="9" t="s">
        <v>1260</v>
      </c>
      <c r="BC2130" s="1005">
        <v>280</v>
      </c>
    </row>
    <row r="2131" spans="54:55" x14ac:dyDescent="0.2">
      <c r="BB2131" s="9" t="s">
        <v>1260</v>
      </c>
      <c r="BC2131" s="1005">
        <v>281</v>
      </c>
    </row>
    <row r="2132" spans="54:55" x14ac:dyDescent="0.2">
      <c r="BB2132" s="9" t="s">
        <v>1260</v>
      </c>
      <c r="BC2132" s="1005">
        <v>282</v>
      </c>
    </row>
    <row r="2133" spans="54:55" x14ac:dyDescent="0.2">
      <c r="BB2133" s="9" t="s">
        <v>1260</v>
      </c>
      <c r="BC2133" s="1005">
        <v>283</v>
      </c>
    </row>
    <row r="2134" spans="54:55" x14ac:dyDescent="0.2">
      <c r="BB2134" s="9" t="s">
        <v>1260</v>
      </c>
      <c r="BC2134" s="1005">
        <v>284</v>
      </c>
    </row>
    <row r="2135" spans="54:55" x14ac:dyDescent="0.2">
      <c r="BB2135" s="9" t="s">
        <v>1260</v>
      </c>
      <c r="BC2135" s="1005">
        <v>285</v>
      </c>
    </row>
    <row r="2136" spans="54:55" x14ac:dyDescent="0.2">
      <c r="BB2136" s="9" t="s">
        <v>1260</v>
      </c>
      <c r="BC2136" s="1005">
        <v>286</v>
      </c>
    </row>
    <row r="2137" spans="54:55" x14ac:dyDescent="0.2">
      <c r="BB2137" s="9" t="s">
        <v>1260</v>
      </c>
      <c r="BC2137" s="1005">
        <v>287</v>
      </c>
    </row>
    <row r="2138" spans="54:55" x14ac:dyDescent="0.2">
      <c r="BB2138" s="9" t="s">
        <v>1260</v>
      </c>
      <c r="BC2138" s="1005">
        <v>288</v>
      </c>
    </row>
    <row r="2139" spans="54:55" x14ac:dyDescent="0.2">
      <c r="BB2139" s="9" t="s">
        <v>1260</v>
      </c>
      <c r="BC2139" s="1005">
        <v>289</v>
      </c>
    </row>
    <row r="2140" spans="54:55" x14ac:dyDescent="0.2">
      <c r="BB2140" s="9" t="s">
        <v>1260</v>
      </c>
      <c r="BC2140" s="1005">
        <v>290</v>
      </c>
    </row>
    <row r="2141" spans="54:55" x14ac:dyDescent="0.2">
      <c r="BB2141" s="9" t="s">
        <v>1260</v>
      </c>
      <c r="BC2141" s="1005">
        <v>291</v>
      </c>
    </row>
    <row r="2142" spans="54:55" x14ac:dyDescent="0.2">
      <c r="BB2142" s="9" t="s">
        <v>1260</v>
      </c>
      <c r="BC2142" s="1005">
        <v>292</v>
      </c>
    </row>
    <row r="2143" spans="54:55" x14ac:dyDescent="0.2">
      <c r="BB2143" s="9" t="s">
        <v>1260</v>
      </c>
      <c r="BC2143" s="1005">
        <v>293</v>
      </c>
    </row>
    <row r="2144" spans="54:55" x14ac:dyDescent="0.2">
      <c r="BB2144" s="9" t="s">
        <v>1260</v>
      </c>
      <c r="BC2144" s="1005">
        <v>294</v>
      </c>
    </row>
    <row r="2145" spans="54:55" x14ac:dyDescent="0.2">
      <c r="BB2145" s="9" t="s">
        <v>1260</v>
      </c>
      <c r="BC2145" s="1005">
        <v>295</v>
      </c>
    </row>
    <row r="2146" spans="54:55" x14ac:dyDescent="0.2">
      <c r="BB2146" s="9" t="s">
        <v>1260</v>
      </c>
      <c r="BC2146" s="1005">
        <v>296</v>
      </c>
    </row>
    <row r="2147" spans="54:55" x14ac:dyDescent="0.2">
      <c r="BB2147" s="9" t="s">
        <v>1260</v>
      </c>
      <c r="BC2147" s="1005">
        <v>297</v>
      </c>
    </row>
    <row r="2148" spans="54:55" x14ac:dyDescent="0.2">
      <c r="BB2148" s="9" t="s">
        <v>1260</v>
      </c>
      <c r="BC2148" s="1005">
        <v>298</v>
      </c>
    </row>
    <row r="2149" spans="54:55" x14ac:dyDescent="0.2">
      <c r="BB2149" s="9" t="s">
        <v>1260</v>
      </c>
      <c r="BC2149" s="1005">
        <v>299</v>
      </c>
    </row>
    <row r="2150" spans="54:55" x14ac:dyDescent="0.2">
      <c r="BB2150" s="9" t="s">
        <v>1260</v>
      </c>
      <c r="BC2150" s="1005">
        <v>300</v>
      </c>
    </row>
    <row r="2151" spans="54:55" x14ac:dyDescent="0.2">
      <c r="BB2151" s="9" t="s">
        <v>1260</v>
      </c>
      <c r="BC2151" s="1005">
        <v>301</v>
      </c>
    </row>
    <row r="2152" spans="54:55" x14ac:dyDescent="0.2">
      <c r="BB2152" s="9" t="s">
        <v>1260</v>
      </c>
      <c r="BC2152" s="1005">
        <v>302</v>
      </c>
    </row>
    <row r="2153" spans="54:55" x14ac:dyDescent="0.2">
      <c r="BB2153" s="9" t="s">
        <v>1260</v>
      </c>
      <c r="BC2153" s="1005">
        <v>303</v>
      </c>
    </row>
    <row r="2154" spans="54:55" x14ac:dyDescent="0.2">
      <c r="BB2154" s="9" t="s">
        <v>1260</v>
      </c>
      <c r="BC2154" s="1005">
        <v>304</v>
      </c>
    </row>
    <row r="2155" spans="54:55" x14ac:dyDescent="0.2">
      <c r="BB2155" s="9" t="s">
        <v>1260</v>
      </c>
      <c r="BC2155" s="1005">
        <v>305</v>
      </c>
    </row>
    <row r="2156" spans="54:55" x14ac:dyDescent="0.2">
      <c r="BB2156" s="9" t="s">
        <v>1260</v>
      </c>
      <c r="BC2156" s="1005">
        <v>306</v>
      </c>
    </row>
    <row r="2157" spans="54:55" x14ac:dyDescent="0.2">
      <c r="BB2157" s="9" t="s">
        <v>1260</v>
      </c>
      <c r="BC2157" s="1005">
        <v>307</v>
      </c>
    </row>
    <row r="2158" spans="54:55" x14ac:dyDescent="0.2">
      <c r="BB2158" s="9" t="s">
        <v>1260</v>
      </c>
      <c r="BC2158" s="1005">
        <v>308</v>
      </c>
    </row>
    <row r="2159" spans="54:55" x14ac:dyDescent="0.2">
      <c r="BB2159" s="9" t="s">
        <v>1260</v>
      </c>
      <c r="BC2159" s="1005">
        <v>309</v>
      </c>
    </row>
    <row r="2160" spans="54:55" x14ac:dyDescent="0.2">
      <c r="BB2160" s="9" t="s">
        <v>1260</v>
      </c>
      <c r="BC2160" s="1005">
        <v>310</v>
      </c>
    </row>
    <row r="2161" spans="54:55" x14ac:dyDescent="0.2">
      <c r="BB2161" s="9" t="s">
        <v>1260</v>
      </c>
      <c r="BC2161" s="1005">
        <v>311</v>
      </c>
    </row>
    <row r="2162" spans="54:55" x14ac:dyDescent="0.2">
      <c r="BB2162" s="9" t="s">
        <v>1260</v>
      </c>
      <c r="BC2162" s="1005">
        <v>312</v>
      </c>
    </row>
    <row r="2163" spans="54:55" x14ac:dyDescent="0.2">
      <c r="BB2163" s="9" t="s">
        <v>1260</v>
      </c>
      <c r="BC2163" s="1005">
        <v>313</v>
      </c>
    </row>
    <row r="2164" spans="54:55" x14ac:dyDescent="0.2">
      <c r="BB2164" s="9" t="s">
        <v>1260</v>
      </c>
      <c r="BC2164" s="1005">
        <v>314</v>
      </c>
    </row>
    <row r="2165" spans="54:55" x14ac:dyDescent="0.2">
      <c r="BB2165" s="9" t="s">
        <v>1260</v>
      </c>
      <c r="BC2165" s="1005">
        <v>315</v>
      </c>
    </row>
    <row r="2166" spans="54:55" x14ac:dyDescent="0.2">
      <c r="BB2166" s="9" t="s">
        <v>1260</v>
      </c>
      <c r="BC2166" s="1005">
        <v>316</v>
      </c>
    </row>
    <row r="2167" spans="54:55" x14ac:dyDescent="0.2">
      <c r="BB2167" s="9" t="s">
        <v>1260</v>
      </c>
      <c r="BC2167" s="1005">
        <v>317</v>
      </c>
    </row>
    <row r="2168" spans="54:55" x14ac:dyDescent="0.2">
      <c r="BB2168" s="9" t="s">
        <v>1260</v>
      </c>
      <c r="BC2168" s="1005">
        <v>318</v>
      </c>
    </row>
    <row r="2169" spans="54:55" x14ac:dyDescent="0.2">
      <c r="BB2169" s="9" t="s">
        <v>1260</v>
      </c>
      <c r="BC2169" s="1005">
        <v>319</v>
      </c>
    </row>
    <row r="2170" spans="54:55" x14ac:dyDescent="0.2">
      <c r="BB2170" s="9" t="s">
        <v>1260</v>
      </c>
      <c r="BC2170" s="1005">
        <v>320</v>
      </c>
    </row>
    <row r="2171" spans="54:55" x14ac:dyDescent="0.2">
      <c r="BB2171" s="9" t="s">
        <v>1260</v>
      </c>
      <c r="BC2171" s="1005">
        <v>321</v>
      </c>
    </row>
    <row r="2172" spans="54:55" x14ac:dyDescent="0.2">
      <c r="BB2172" s="9" t="s">
        <v>1260</v>
      </c>
      <c r="BC2172" s="1005">
        <v>322</v>
      </c>
    </row>
    <row r="2173" spans="54:55" x14ac:dyDescent="0.2">
      <c r="BB2173" s="9" t="s">
        <v>1260</v>
      </c>
      <c r="BC2173" s="1005">
        <v>323</v>
      </c>
    </row>
    <row r="2174" spans="54:55" x14ac:dyDescent="0.2">
      <c r="BB2174" s="9" t="s">
        <v>1260</v>
      </c>
      <c r="BC2174" s="1005">
        <v>324</v>
      </c>
    </row>
    <row r="2175" spans="54:55" x14ac:dyDescent="0.2">
      <c r="BB2175" s="9" t="s">
        <v>1260</v>
      </c>
      <c r="BC2175" s="1005">
        <v>325</v>
      </c>
    </row>
    <row r="2176" spans="54:55" x14ac:dyDescent="0.2">
      <c r="BB2176" s="9" t="s">
        <v>1260</v>
      </c>
      <c r="BC2176" s="1005">
        <v>326</v>
      </c>
    </row>
    <row r="2177" spans="54:55" x14ac:dyDescent="0.2">
      <c r="BB2177" s="9" t="s">
        <v>1260</v>
      </c>
      <c r="BC2177" s="1005">
        <v>327</v>
      </c>
    </row>
    <row r="2178" spans="54:55" x14ac:dyDescent="0.2">
      <c r="BB2178" s="9" t="s">
        <v>1260</v>
      </c>
      <c r="BC2178" s="1005">
        <v>328</v>
      </c>
    </row>
    <row r="2179" spans="54:55" x14ac:dyDescent="0.2">
      <c r="BB2179" s="9" t="s">
        <v>1260</v>
      </c>
      <c r="BC2179" s="1005">
        <v>329</v>
      </c>
    </row>
    <row r="2180" spans="54:55" x14ac:dyDescent="0.2">
      <c r="BB2180" s="9" t="s">
        <v>1260</v>
      </c>
      <c r="BC2180" s="1005">
        <v>330</v>
      </c>
    </row>
    <row r="2181" spans="54:55" x14ac:dyDescent="0.2">
      <c r="BB2181" s="9" t="s">
        <v>1260</v>
      </c>
      <c r="BC2181" s="1005">
        <v>331</v>
      </c>
    </row>
    <row r="2182" spans="54:55" x14ac:dyDescent="0.2">
      <c r="BB2182" s="9" t="s">
        <v>1260</v>
      </c>
      <c r="BC2182" s="1005">
        <v>332</v>
      </c>
    </row>
    <row r="2183" spans="54:55" x14ac:dyDescent="0.2">
      <c r="BB2183" s="9" t="s">
        <v>1260</v>
      </c>
      <c r="BC2183" s="1005">
        <v>333</v>
      </c>
    </row>
    <row r="2184" spans="54:55" x14ac:dyDescent="0.2">
      <c r="BB2184" s="9" t="s">
        <v>1260</v>
      </c>
      <c r="BC2184" s="1005">
        <v>334</v>
      </c>
    </row>
    <row r="2185" spans="54:55" x14ac:dyDescent="0.2">
      <c r="BB2185" s="9" t="s">
        <v>1260</v>
      </c>
      <c r="BC2185" s="1005">
        <v>335</v>
      </c>
    </row>
    <row r="2186" spans="54:55" x14ac:dyDescent="0.2">
      <c r="BB2186" s="9" t="s">
        <v>1260</v>
      </c>
      <c r="BC2186" s="1005">
        <v>336</v>
      </c>
    </row>
    <row r="2187" spans="54:55" x14ac:dyDescent="0.2">
      <c r="BB2187" s="9" t="s">
        <v>1260</v>
      </c>
      <c r="BC2187" s="1005">
        <v>337</v>
      </c>
    </row>
    <row r="2188" spans="54:55" x14ac:dyDescent="0.2">
      <c r="BB2188" s="9" t="s">
        <v>1260</v>
      </c>
      <c r="BC2188" s="1005">
        <v>338</v>
      </c>
    </row>
    <row r="2189" spans="54:55" x14ac:dyDescent="0.2">
      <c r="BB2189" s="9" t="s">
        <v>1260</v>
      </c>
      <c r="BC2189" s="1005">
        <v>339</v>
      </c>
    </row>
    <row r="2190" spans="54:55" x14ac:dyDescent="0.2">
      <c r="BB2190" s="9" t="s">
        <v>1260</v>
      </c>
      <c r="BC2190" s="1005">
        <v>340</v>
      </c>
    </row>
    <row r="2191" spans="54:55" x14ac:dyDescent="0.2">
      <c r="BB2191" s="9" t="s">
        <v>1260</v>
      </c>
      <c r="BC2191" s="1005">
        <v>341</v>
      </c>
    </row>
    <row r="2192" spans="54:55" x14ac:dyDescent="0.2">
      <c r="BB2192" s="9" t="s">
        <v>1260</v>
      </c>
      <c r="BC2192" s="1005">
        <v>342</v>
      </c>
    </row>
    <row r="2193" spans="54:55" x14ac:dyDescent="0.2">
      <c r="BB2193" s="9" t="s">
        <v>1260</v>
      </c>
      <c r="BC2193" s="1005">
        <v>343</v>
      </c>
    </row>
    <row r="2194" spans="54:55" x14ac:dyDescent="0.2">
      <c r="BB2194" s="9" t="s">
        <v>1260</v>
      </c>
      <c r="BC2194" s="1005">
        <v>344</v>
      </c>
    </row>
    <row r="2195" spans="54:55" x14ac:dyDescent="0.2">
      <c r="BB2195" s="9" t="s">
        <v>1260</v>
      </c>
      <c r="BC2195" s="1005">
        <v>345</v>
      </c>
    </row>
    <row r="2196" spans="54:55" x14ac:dyDescent="0.2">
      <c r="BB2196" s="9" t="s">
        <v>1260</v>
      </c>
      <c r="BC2196" s="1005">
        <v>346</v>
      </c>
    </row>
    <row r="2197" spans="54:55" x14ac:dyDescent="0.2">
      <c r="BB2197" s="9" t="s">
        <v>1260</v>
      </c>
      <c r="BC2197" s="1005">
        <v>347</v>
      </c>
    </row>
    <row r="2198" spans="54:55" x14ac:dyDescent="0.2">
      <c r="BB2198" s="9" t="s">
        <v>1260</v>
      </c>
      <c r="BC2198" s="1005">
        <v>348</v>
      </c>
    </row>
    <row r="2199" spans="54:55" x14ac:dyDescent="0.2">
      <c r="BB2199" s="9" t="s">
        <v>1260</v>
      </c>
      <c r="BC2199" s="1005">
        <v>349</v>
      </c>
    </row>
    <row r="2200" spans="54:55" x14ac:dyDescent="0.2">
      <c r="BB2200" s="9" t="s">
        <v>1260</v>
      </c>
      <c r="BC2200" s="1005">
        <v>350</v>
      </c>
    </row>
    <row r="2201" spans="54:55" x14ac:dyDescent="0.2">
      <c r="BB2201" s="9" t="s">
        <v>1260</v>
      </c>
      <c r="BC2201" s="1005">
        <v>351</v>
      </c>
    </row>
    <row r="2202" spans="54:55" x14ac:dyDescent="0.2">
      <c r="BB2202" s="9" t="s">
        <v>1260</v>
      </c>
      <c r="BC2202" s="1005">
        <v>352</v>
      </c>
    </row>
    <row r="2203" spans="54:55" x14ac:dyDescent="0.2">
      <c r="BB2203" s="9" t="s">
        <v>1260</v>
      </c>
      <c r="BC2203" s="1005">
        <v>353</v>
      </c>
    </row>
    <row r="2204" spans="54:55" x14ac:dyDescent="0.2">
      <c r="BB2204" s="9" t="s">
        <v>1260</v>
      </c>
      <c r="BC2204" s="1005">
        <v>354</v>
      </c>
    </row>
    <row r="2205" spans="54:55" x14ac:dyDescent="0.2">
      <c r="BB2205" s="9" t="s">
        <v>1260</v>
      </c>
      <c r="BC2205" s="1005">
        <v>355</v>
      </c>
    </row>
    <row r="2206" spans="54:55" x14ac:dyDescent="0.2">
      <c r="BB2206" s="9" t="s">
        <v>1260</v>
      </c>
      <c r="BC2206" s="1005">
        <v>356</v>
      </c>
    </row>
    <row r="2207" spans="54:55" x14ac:dyDescent="0.2">
      <c r="BB2207" s="9" t="s">
        <v>1260</v>
      </c>
      <c r="BC2207" s="1005">
        <v>357</v>
      </c>
    </row>
    <row r="2208" spans="54:55" x14ac:dyDescent="0.2">
      <c r="BB2208" s="9" t="s">
        <v>1260</v>
      </c>
      <c r="BC2208" s="1005">
        <v>358</v>
      </c>
    </row>
    <row r="2209" spans="54:55" x14ac:dyDescent="0.2">
      <c r="BB2209" s="9" t="s">
        <v>1260</v>
      </c>
      <c r="BC2209" s="1005">
        <v>359</v>
      </c>
    </row>
    <row r="2210" spans="54:55" x14ac:dyDescent="0.2">
      <c r="BB2210" s="9" t="s">
        <v>1260</v>
      </c>
      <c r="BC2210" s="1005">
        <v>360</v>
      </c>
    </row>
    <row r="2211" spans="54:55" x14ac:dyDescent="0.2">
      <c r="BB2211" s="9" t="s">
        <v>1260</v>
      </c>
      <c r="BC2211" s="1005">
        <v>361</v>
      </c>
    </row>
    <row r="2212" spans="54:55" x14ac:dyDescent="0.2">
      <c r="BB2212" s="9" t="s">
        <v>1260</v>
      </c>
      <c r="BC2212" s="1005">
        <v>362</v>
      </c>
    </row>
    <row r="2213" spans="54:55" x14ac:dyDescent="0.2">
      <c r="BB2213" s="9" t="s">
        <v>1260</v>
      </c>
      <c r="BC2213" s="1005">
        <v>363</v>
      </c>
    </row>
    <row r="2214" spans="54:55" x14ac:dyDescent="0.2">
      <c r="BB2214" s="9" t="s">
        <v>1260</v>
      </c>
      <c r="BC2214" s="1005">
        <v>364</v>
      </c>
    </row>
    <row r="2215" spans="54:55" x14ac:dyDescent="0.2">
      <c r="BB2215" s="9" t="s">
        <v>1260</v>
      </c>
      <c r="BC2215" s="1005">
        <v>365</v>
      </c>
    </row>
    <row r="2216" spans="54:55" x14ac:dyDescent="0.2">
      <c r="BB2216" s="9" t="s">
        <v>1260</v>
      </c>
      <c r="BC2216" s="1005">
        <v>366</v>
      </c>
    </row>
    <row r="2217" spans="54:55" x14ac:dyDescent="0.2">
      <c r="BB2217" s="9" t="s">
        <v>1260</v>
      </c>
      <c r="BC2217" s="1005">
        <v>367</v>
      </c>
    </row>
    <row r="2218" spans="54:55" x14ac:dyDescent="0.2">
      <c r="BB2218" s="9" t="s">
        <v>1260</v>
      </c>
      <c r="BC2218" s="1005">
        <v>368</v>
      </c>
    </row>
    <row r="2219" spans="54:55" x14ac:dyDescent="0.2">
      <c r="BB2219" s="9" t="s">
        <v>1260</v>
      </c>
      <c r="BC2219" s="1005">
        <v>369</v>
      </c>
    </row>
    <row r="2220" spans="54:55" x14ac:dyDescent="0.2">
      <c r="BB2220" s="9" t="s">
        <v>1260</v>
      </c>
      <c r="BC2220" s="1005">
        <v>370</v>
      </c>
    </row>
    <row r="2221" spans="54:55" x14ac:dyDescent="0.2">
      <c r="BB2221" s="9" t="s">
        <v>1260</v>
      </c>
      <c r="BC2221" s="1005">
        <v>371</v>
      </c>
    </row>
    <row r="2222" spans="54:55" x14ac:dyDescent="0.2">
      <c r="BB2222" s="9" t="s">
        <v>1260</v>
      </c>
      <c r="BC2222" s="1005">
        <v>372</v>
      </c>
    </row>
    <row r="2223" spans="54:55" x14ac:dyDescent="0.2">
      <c r="BB2223" s="9" t="s">
        <v>1260</v>
      </c>
      <c r="BC2223" s="1005">
        <v>373</v>
      </c>
    </row>
    <row r="2224" spans="54:55" x14ac:dyDescent="0.2">
      <c r="BB2224" s="9" t="s">
        <v>1260</v>
      </c>
      <c r="BC2224" s="1005">
        <v>374</v>
      </c>
    </row>
    <row r="2225" spans="54:55" x14ac:dyDescent="0.2">
      <c r="BB2225" s="9" t="s">
        <v>1260</v>
      </c>
      <c r="BC2225" s="1005">
        <v>375</v>
      </c>
    </row>
    <row r="2226" spans="54:55" x14ac:dyDescent="0.2">
      <c r="BB2226" s="9" t="s">
        <v>1260</v>
      </c>
      <c r="BC2226" s="1005">
        <v>376</v>
      </c>
    </row>
    <row r="2227" spans="54:55" x14ac:dyDescent="0.2">
      <c r="BB2227" s="9" t="s">
        <v>1260</v>
      </c>
      <c r="BC2227" s="1005">
        <v>377</v>
      </c>
    </row>
    <row r="2228" spans="54:55" x14ac:dyDescent="0.2">
      <c r="BB2228" s="9" t="s">
        <v>1260</v>
      </c>
      <c r="BC2228" s="1005">
        <v>378</v>
      </c>
    </row>
    <row r="2229" spans="54:55" x14ac:dyDescent="0.2">
      <c r="BB2229" s="9" t="s">
        <v>1260</v>
      </c>
      <c r="BC2229" s="1005">
        <v>379</v>
      </c>
    </row>
    <row r="2230" spans="54:55" x14ac:dyDescent="0.2">
      <c r="BB2230" s="9" t="s">
        <v>1260</v>
      </c>
      <c r="BC2230" s="1005">
        <v>380</v>
      </c>
    </row>
    <row r="2231" spans="54:55" x14ac:dyDescent="0.2">
      <c r="BB2231" s="9" t="s">
        <v>1260</v>
      </c>
      <c r="BC2231" s="1005">
        <v>381</v>
      </c>
    </row>
    <row r="2232" spans="54:55" x14ac:dyDescent="0.2">
      <c r="BB2232" s="9" t="s">
        <v>1260</v>
      </c>
      <c r="BC2232" s="1005">
        <v>382</v>
      </c>
    </row>
    <row r="2233" spans="54:55" x14ac:dyDescent="0.2">
      <c r="BB2233" s="9" t="s">
        <v>1260</v>
      </c>
      <c r="BC2233" s="1005">
        <v>383</v>
      </c>
    </row>
    <row r="2234" spans="54:55" x14ac:dyDescent="0.2">
      <c r="BB2234" s="9" t="s">
        <v>1260</v>
      </c>
      <c r="BC2234" s="1005">
        <v>384</v>
      </c>
    </row>
    <row r="2235" spans="54:55" x14ac:dyDescent="0.2">
      <c r="BB2235" s="9" t="s">
        <v>1260</v>
      </c>
      <c r="BC2235" s="1005">
        <v>385</v>
      </c>
    </row>
    <row r="2236" spans="54:55" x14ac:dyDescent="0.2">
      <c r="BB2236" s="9" t="s">
        <v>1260</v>
      </c>
      <c r="BC2236" s="1005">
        <v>386</v>
      </c>
    </row>
    <row r="2237" spans="54:55" x14ac:dyDescent="0.2">
      <c r="BB2237" s="9" t="s">
        <v>1260</v>
      </c>
      <c r="BC2237" s="1005">
        <v>387</v>
      </c>
    </row>
    <row r="2238" spans="54:55" x14ac:dyDescent="0.2">
      <c r="BB2238" s="9" t="s">
        <v>1260</v>
      </c>
      <c r="BC2238" s="1005">
        <v>388</v>
      </c>
    </row>
    <row r="2239" spans="54:55" x14ac:dyDescent="0.2">
      <c r="BB2239" s="9" t="s">
        <v>1260</v>
      </c>
      <c r="BC2239" s="1005">
        <v>389</v>
      </c>
    </row>
    <row r="2240" spans="54:55" x14ac:dyDescent="0.2">
      <c r="BB2240" s="9" t="s">
        <v>1260</v>
      </c>
      <c r="BC2240" s="1005">
        <v>390</v>
      </c>
    </row>
    <row r="2241" spans="54:55" x14ac:dyDescent="0.2">
      <c r="BB2241" s="9" t="s">
        <v>1260</v>
      </c>
      <c r="BC2241" s="1005">
        <v>391</v>
      </c>
    </row>
    <row r="2242" spans="54:55" x14ac:dyDescent="0.2">
      <c r="BB2242" s="9" t="s">
        <v>1260</v>
      </c>
      <c r="BC2242" s="1005">
        <v>392</v>
      </c>
    </row>
    <row r="2243" spans="54:55" x14ac:dyDescent="0.2">
      <c r="BB2243" s="9" t="s">
        <v>1260</v>
      </c>
      <c r="BC2243" s="1005">
        <v>393</v>
      </c>
    </row>
    <row r="2244" spans="54:55" x14ac:dyDescent="0.2">
      <c r="BB2244" s="9" t="s">
        <v>1260</v>
      </c>
      <c r="BC2244" s="1005">
        <v>394</v>
      </c>
    </row>
    <row r="2245" spans="54:55" x14ac:dyDescent="0.2">
      <c r="BB2245" s="9" t="s">
        <v>1260</v>
      </c>
      <c r="BC2245" s="1005">
        <v>395</v>
      </c>
    </row>
    <row r="2246" spans="54:55" x14ac:dyDescent="0.2">
      <c r="BB2246" s="9" t="s">
        <v>1260</v>
      </c>
      <c r="BC2246" s="1005">
        <v>396</v>
      </c>
    </row>
    <row r="2247" spans="54:55" x14ac:dyDescent="0.2">
      <c r="BB2247" s="9" t="s">
        <v>1260</v>
      </c>
      <c r="BC2247" s="1005">
        <v>397</v>
      </c>
    </row>
    <row r="2248" spans="54:55" x14ac:dyDescent="0.2">
      <c r="BB2248" s="9" t="s">
        <v>1260</v>
      </c>
      <c r="BC2248" s="1005">
        <v>398</v>
      </c>
    </row>
    <row r="2249" spans="54:55" x14ac:dyDescent="0.2">
      <c r="BB2249" s="9" t="s">
        <v>1260</v>
      </c>
      <c r="BC2249" s="1005">
        <v>399</v>
      </c>
    </row>
    <row r="2250" spans="54:55" x14ac:dyDescent="0.2">
      <c r="BB2250" s="9" t="s">
        <v>1260</v>
      </c>
      <c r="BC2250" s="1005">
        <v>400</v>
      </c>
    </row>
    <row r="2251" spans="54:55" x14ac:dyDescent="0.2">
      <c r="BB2251" s="9" t="s">
        <v>1260</v>
      </c>
      <c r="BC2251" s="1005">
        <v>401</v>
      </c>
    </row>
    <row r="2252" spans="54:55" x14ac:dyDescent="0.2">
      <c r="BB2252" s="9" t="s">
        <v>1260</v>
      </c>
      <c r="BC2252" s="1005">
        <v>402</v>
      </c>
    </row>
    <row r="2253" spans="54:55" x14ac:dyDescent="0.2">
      <c r="BB2253" s="9" t="s">
        <v>1260</v>
      </c>
      <c r="BC2253" s="1005">
        <v>403</v>
      </c>
    </row>
    <row r="2254" spans="54:55" x14ac:dyDescent="0.2">
      <c r="BB2254" s="9" t="s">
        <v>1260</v>
      </c>
      <c r="BC2254" s="1005">
        <v>404</v>
      </c>
    </row>
    <row r="2255" spans="54:55" x14ac:dyDescent="0.2">
      <c r="BB2255" s="9" t="s">
        <v>1260</v>
      </c>
      <c r="BC2255" s="1005">
        <v>405</v>
      </c>
    </row>
    <row r="2256" spans="54:55" x14ac:dyDescent="0.2">
      <c r="BB2256" s="9" t="s">
        <v>1260</v>
      </c>
      <c r="BC2256" s="1005">
        <v>406</v>
      </c>
    </row>
    <row r="2257" spans="54:55" x14ac:dyDescent="0.2">
      <c r="BB2257" s="9" t="s">
        <v>1260</v>
      </c>
      <c r="BC2257" s="1005">
        <v>407</v>
      </c>
    </row>
    <row r="2258" spans="54:55" x14ac:dyDescent="0.2">
      <c r="BB2258" s="9" t="s">
        <v>1260</v>
      </c>
      <c r="BC2258" s="1005">
        <v>408</v>
      </c>
    </row>
    <row r="2259" spans="54:55" x14ac:dyDescent="0.2">
      <c r="BB2259" s="9" t="s">
        <v>1260</v>
      </c>
      <c r="BC2259" s="1005">
        <v>409</v>
      </c>
    </row>
    <row r="2260" spans="54:55" x14ac:dyDescent="0.2">
      <c r="BB2260" s="9" t="s">
        <v>1260</v>
      </c>
      <c r="BC2260" s="1005">
        <v>410</v>
      </c>
    </row>
    <row r="2261" spans="54:55" x14ac:dyDescent="0.2">
      <c r="BB2261" s="9" t="s">
        <v>1260</v>
      </c>
      <c r="BC2261" s="1005">
        <v>411</v>
      </c>
    </row>
    <row r="2262" spans="54:55" x14ac:dyDescent="0.2">
      <c r="BB2262" s="9" t="s">
        <v>1260</v>
      </c>
      <c r="BC2262" s="1005">
        <v>412</v>
      </c>
    </row>
    <row r="2263" spans="54:55" x14ac:dyDescent="0.2">
      <c r="BB2263" s="9" t="s">
        <v>1260</v>
      </c>
      <c r="BC2263" s="1005">
        <v>413</v>
      </c>
    </row>
    <row r="2264" spans="54:55" x14ac:dyDescent="0.2">
      <c r="BB2264" s="9" t="s">
        <v>1260</v>
      </c>
      <c r="BC2264" s="1005">
        <v>414</v>
      </c>
    </row>
    <row r="2265" spans="54:55" x14ac:dyDescent="0.2">
      <c r="BB2265" s="9" t="s">
        <v>1260</v>
      </c>
      <c r="BC2265" s="1005">
        <v>415</v>
      </c>
    </row>
    <row r="2266" spans="54:55" x14ac:dyDescent="0.2">
      <c r="BB2266" s="9" t="s">
        <v>1260</v>
      </c>
      <c r="BC2266" s="1005">
        <v>416</v>
      </c>
    </row>
    <row r="2267" spans="54:55" x14ac:dyDescent="0.2">
      <c r="BB2267" s="9" t="s">
        <v>1260</v>
      </c>
      <c r="BC2267" s="1005">
        <v>417</v>
      </c>
    </row>
    <row r="2268" spans="54:55" x14ac:dyDescent="0.2">
      <c r="BB2268" s="9" t="s">
        <v>1260</v>
      </c>
      <c r="BC2268" s="1005">
        <v>418</v>
      </c>
    </row>
    <row r="2269" spans="54:55" x14ac:dyDescent="0.2">
      <c r="BB2269" s="9" t="s">
        <v>1260</v>
      </c>
      <c r="BC2269" s="1005">
        <v>419</v>
      </c>
    </row>
    <row r="2270" spans="54:55" x14ac:dyDescent="0.2">
      <c r="BB2270" s="9" t="s">
        <v>1260</v>
      </c>
      <c r="BC2270" s="1005">
        <v>420</v>
      </c>
    </row>
    <row r="2271" spans="54:55" x14ac:dyDescent="0.2">
      <c r="BB2271" s="9" t="s">
        <v>1260</v>
      </c>
      <c r="BC2271" s="1005">
        <v>421</v>
      </c>
    </row>
    <row r="2272" spans="54:55" x14ac:dyDescent="0.2">
      <c r="BB2272" s="9" t="s">
        <v>1260</v>
      </c>
      <c r="BC2272" s="1005">
        <v>422</v>
      </c>
    </row>
    <row r="2273" spans="54:55" x14ac:dyDescent="0.2">
      <c r="BB2273" s="9" t="s">
        <v>1260</v>
      </c>
      <c r="BC2273" s="1005">
        <v>423</v>
      </c>
    </row>
    <row r="2274" spans="54:55" x14ac:dyDescent="0.2">
      <c r="BB2274" s="9" t="s">
        <v>1260</v>
      </c>
      <c r="BC2274" s="1005">
        <v>424</v>
      </c>
    </row>
    <row r="2275" spans="54:55" x14ac:dyDescent="0.2">
      <c r="BB2275" s="9" t="s">
        <v>1260</v>
      </c>
      <c r="BC2275" s="1005">
        <v>425</v>
      </c>
    </row>
    <row r="2276" spans="54:55" x14ac:dyDescent="0.2">
      <c r="BB2276" s="9" t="s">
        <v>1260</v>
      </c>
      <c r="BC2276" s="1005">
        <v>426</v>
      </c>
    </row>
    <row r="2277" spans="54:55" x14ac:dyDescent="0.2">
      <c r="BB2277" s="9" t="s">
        <v>1260</v>
      </c>
      <c r="BC2277" s="1005">
        <v>427</v>
      </c>
    </row>
    <row r="2278" spans="54:55" x14ac:dyDescent="0.2">
      <c r="BB2278" s="9" t="s">
        <v>1260</v>
      </c>
      <c r="BC2278" s="1005">
        <v>428</v>
      </c>
    </row>
    <row r="2279" spans="54:55" x14ac:dyDescent="0.2">
      <c r="BB2279" s="9" t="s">
        <v>1260</v>
      </c>
      <c r="BC2279" s="1005">
        <v>429</v>
      </c>
    </row>
    <row r="2280" spans="54:55" x14ac:dyDescent="0.2">
      <c r="BB2280" s="9" t="s">
        <v>1260</v>
      </c>
      <c r="BC2280" s="1005">
        <v>430</v>
      </c>
    </row>
    <row r="2281" spans="54:55" x14ac:dyDescent="0.2">
      <c r="BB2281" s="9" t="s">
        <v>1260</v>
      </c>
      <c r="BC2281" s="1005">
        <v>431</v>
      </c>
    </row>
    <row r="2282" spans="54:55" x14ac:dyDescent="0.2">
      <c r="BB2282" s="9" t="s">
        <v>1260</v>
      </c>
      <c r="BC2282" s="1005">
        <v>432</v>
      </c>
    </row>
    <row r="2283" spans="54:55" x14ac:dyDescent="0.2">
      <c r="BB2283" s="9" t="s">
        <v>1260</v>
      </c>
      <c r="BC2283" s="1005">
        <v>433</v>
      </c>
    </row>
    <row r="2284" spans="54:55" x14ac:dyDescent="0.2">
      <c r="BB2284" s="9" t="s">
        <v>1260</v>
      </c>
      <c r="BC2284" s="1005">
        <v>434</v>
      </c>
    </row>
    <row r="2285" spans="54:55" x14ac:dyDescent="0.2">
      <c r="BB2285" s="9" t="s">
        <v>1260</v>
      </c>
      <c r="BC2285" s="1005">
        <v>435</v>
      </c>
    </row>
    <row r="2286" spans="54:55" x14ac:dyDescent="0.2">
      <c r="BB2286" s="9" t="s">
        <v>1260</v>
      </c>
      <c r="BC2286" s="1005">
        <v>436</v>
      </c>
    </row>
    <row r="2287" spans="54:55" x14ac:dyDescent="0.2">
      <c r="BB2287" s="9" t="s">
        <v>1260</v>
      </c>
      <c r="BC2287" s="1005">
        <v>437</v>
      </c>
    </row>
    <row r="2288" spans="54:55" x14ac:dyDescent="0.2">
      <c r="BB2288" s="9" t="s">
        <v>1260</v>
      </c>
      <c r="BC2288" s="1005">
        <v>438</v>
      </c>
    </row>
    <row r="2289" spans="54:55" x14ac:dyDescent="0.2">
      <c r="BB2289" s="9" t="s">
        <v>1260</v>
      </c>
      <c r="BC2289" s="1005">
        <v>439</v>
      </c>
    </row>
    <row r="2290" spans="54:55" x14ac:dyDescent="0.2">
      <c r="BB2290" s="9" t="s">
        <v>1260</v>
      </c>
      <c r="BC2290" s="1005">
        <v>440</v>
      </c>
    </row>
    <row r="2291" spans="54:55" x14ac:dyDescent="0.2">
      <c r="BB2291" s="9" t="s">
        <v>1260</v>
      </c>
      <c r="BC2291" s="1005">
        <v>441</v>
      </c>
    </row>
    <row r="2292" spans="54:55" x14ac:dyDescent="0.2">
      <c r="BB2292" s="9" t="s">
        <v>1260</v>
      </c>
      <c r="BC2292" s="1005">
        <v>442</v>
      </c>
    </row>
    <row r="2293" spans="54:55" x14ac:dyDescent="0.2">
      <c r="BB2293" s="9" t="s">
        <v>1260</v>
      </c>
      <c r="BC2293" s="1005">
        <v>443</v>
      </c>
    </row>
    <row r="2294" spans="54:55" x14ac:dyDescent="0.2">
      <c r="BB2294" s="9" t="s">
        <v>1260</v>
      </c>
      <c r="BC2294" s="1005">
        <v>444</v>
      </c>
    </row>
    <row r="2295" spans="54:55" x14ac:dyDescent="0.2">
      <c r="BB2295" s="9" t="s">
        <v>1260</v>
      </c>
      <c r="BC2295" s="1005">
        <v>445</v>
      </c>
    </row>
    <row r="2296" spans="54:55" x14ac:dyDescent="0.2">
      <c r="BB2296" s="9" t="s">
        <v>1260</v>
      </c>
      <c r="BC2296" s="1005">
        <v>446</v>
      </c>
    </row>
    <row r="2297" spans="54:55" x14ac:dyDescent="0.2">
      <c r="BB2297" s="9" t="s">
        <v>1260</v>
      </c>
      <c r="BC2297" s="1005">
        <v>447</v>
      </c>
    </row>
    <row r="2298" spans="54:55" x14ac:dyDescent="0.2">
      <c r="BB2298" s="9" t="s">
        <v>1260</v>
      </c>
      <c r="BC2298" s="1005">
        <v>448</v>
      </c>
    </row>
    <row r="2299" spans="54:55" x14ac:dyDescent="0.2">
      <c r="BB2299" s="9" t="s">
        <v>1260</v>
      </c>
      <c r="BC2299" s="1005">
        <v>449</v>
      </c>
    </row>
    <row r="2300" spans="54:55" x14ac:dyDescent="0.2">
      <c r="BB2300" s="9" t="s">
        <v>1260</v>
      </c>
      <c r="BC2300" s="1005">
        <v>450</v>
      </c>
    </row>
    <row r="2301" spans="54:55" x14ac:dyDescent="0.2">
      <c r="BB2301" s="9" t="s">
        <v>1260</v>
      </c>
      <c r="BC2301" s="1005">
        <v>451</v>
      </c>
    </row>
    <row r="2302" spans="54:55" x14ac:dyDescent="0.2">
      <c r="BB2302" s="9" t="s">
        <v>1260</v>
      </c>
      <c r="BC2302" s="1005">
        <v>452</v>
      </c>
    </row>
    <row r="2303" spans="54:55" x14ac:dyDescent="0.2">
      <c r="BB2303" s="9" t="s">
        <v>1260</v>
      </c>
      <c r="BC2303" s="1005">
        <v>453</v>
      </c>
    </row>
    <row r="2304" spans="54:55" x14ac:dyDescent="0.2">
      <c r="BB2304" s="9" t="s">
        <v>1260</v>
      </c>
      <c r="BC2304" s="1005">
        <v>454</v>
      </c>
    </row>
    <row r="2305" spans="54:55" x14ac:dyDescent="0.2">
      <c r="BB2305" s="9" t="s">
        <v>1260</v>
      </c>
      <c r="BC2305" s="1005">
        <v>455</v>
      </c>
    </row>
    <row r="2306" spans="54:55" x14ac:dyDescent="0.2">
      <c r="BB2306" s="9" t="s">
        <v>1260</v>
      </c>
      <c r="BC2306" s="1005">
        <v>456</v>
      </c>
    </row>
    <row r="2307" spans="54:55" x14ac:dyDescent="0.2">
      <c r="BB2307" s="9" t="s">
        <v>1260</v>
      </c>
      <c r="BC2307" s="1005">
        <v>457</v>
      </c>
    </row>
    <row r="2308" spans="54:55" x14ac:dyDescent="0.2">
      <c r="BB2308" s="9" t="s">
        <v>1260</v>
      </c>
      <c r="BC2308" s="1005">
        <v>458</v>
      </c>
    </row>
    <row r="2309" spans="54:55" x14ac:dyDescent="0.2">
      <c r="BB2309" s="9" t="s">
        <v>1260</v>
      </c>
      <c r="BC2309" s="1005">
        <v>459</v>
      </c>
    </row>
    <row r="2310" spans="54:55" x14ac:dyDescent="0.2">
      <c r="BB2310" s="9" t="s">
        <v>1260</v>
      </c>
      <c r="BC2310" s="1005">
        <v>460</v>
      </c>
    </row>
    <row r="2311" spans="54:55" x14ac:dyDescent="0.2">
      <c r="BB2311" s="9" t="s">
        <v>1260</v>
      </c>
      <c r="BC2311" s="1005">
        <v>461</v>
      </c>
    </row>
    <row r="2312" spans="54:55" x14ac:dyDescent="0.2">
      <c r="BB2312" s="9" t="s">
        <v>1260</v>
      </c>
      <c r="BC2312" s="1005">
        <v>462</v>
      </c>
    </row>
    <row r="2313" spans="54:55" x14ac:dyDescent="0.2">
      <c r="BB2313" s="9" t="s">
        <v>1260</v>
      </c>
      <c r="BC2313" s="1005">
        <v>463</v>
      </c>
    </row>
    <row r="2314" spans="54:55" x14ac:dyDescent="0.2">
      <c r="BB2314" s="9" t="s">
        <v>1260</v>
      </c>
      <c r="BC2314" s="1005">
        <v>464</v>
      </c>
    </row>
    <row r="2315" spans="54:55" x14ac:dyDescent="0.2">
      <c r="BB2315" s="9" t="s">
        <v>1260</v>
      </c>
      <c r="BC2315" s="1005">
        <v>465</v>
      </c>
    </row>
    <row r="2316" spans="54:55" x14ac:dyDescent="0.2">
      <c r="BB2316" s="9" t="s">
        <v>1260</v>
      </c>
      <c r="BC2316" s="1005">
        <v>466</v>
      </c>
    </row>
    <row r="2317" spans="54:55" x14ac:dyDescent="0.2">
      <c r="BB2317" s="9" t="s">
        <v>1260</v>
      </c>
      <c r="BC2317" s="1005">
        <v>467</v>
      </c>
    </row>
    <row r="2318" spans="54:55" x14ac:dyDescent="0.2">
      <c r="BB2318" s="9" t="s">
        <v>1260</v>
      </c>
      <c r="BC2318" s="1005">
        <v>468</v>
      </c>
    </row>
    <row r="2319" spans="54:55" x14ac:dyDescent="0.2">
      <c r="BB2319" s="9" t="s">
        <v>1260</v>
      </c>
      <c r="BC2319" s="1005">
        <v>469</v>
      </c>
    </row>
    <row r="2320" spans="54:55" x14ac:dyDescent="0.2">
      <c r="BB2320" s="9" t="s">
        <v>1260</v>
      </c>
      <c r="BC2320" s="1005">
        <v>470</v>
      </c>
    </row>
    <row r="2321" spans="54:55" x14ac:dyDescent="0.2">
      <c r="BB2321" s="9" t="s">
        <v>1260</v>
      </c>
      <c r="BC2321" s="1005">
        <v>471</v>
      </c>
    </row>
    <row r="2322" spans="54:55" x14ac:dyDescent="0.2">
      <c r="BB2322" s="9" t="s">
        <v>1260</v>
      </c>
      <c r="BC2322" s="1005">
        <v>472</v>
      </c>
    </row>
    <row r="2323" spans="54:55" x14ac:dyDescent="0.2">
      <c r="BB2323" s="9" t="s">
        <v>1260</v>
      </c>
      <c r="BC2323" s="1005">
        <v>473</v>
      </c>
    </row>
    <row r="2324" spans="54:55" x14ac:dyDescent="0.2">
      <c r="BB2324" s="9" t="s">
        <v>1260</v>
      </c>
      <c r="BC2324" s="1005">
        <v>474</v>
      </c>
    </row>
    <row r="2325" spans="54:55" x14ac:dyDescent="0.2">
      <c r="BB2325" s="9" t="s">
        <v>1260</v>
      </c>
      <c r="BC2325" s="1005">
        <v>475</v>
      </c>
    </row>
    <row r="2326" spans="54:55" x14ac:dyDescent="0.2">
      <c r="BB2326" s="9" t="s">
        <v>1260</v>
      </c>
      <c r="BC2326" s="1005">
        <v>476</v>
      </c>
    </row>
    <row r="2327" spans="54:55" x14ac:dyDescent="0.2">
      <c r="BB2327" s="9" t="s">
        <v>1260</v>
      </c>
      <c r="BC2327" s="1005">
        <v>477</v>
      </c>
    </row>
    <row r="2328" spans="54:55" x14ac:dyDescent="0.2">
      <c r="BB2328" s="9" t="s">
        <v>1260</v>
      </c>
      <c r="BC2328" s="1005">
        <v>478</v>
      </c>
    </row>
    <row r="2329" spans="54:55" x14ac:dyDescent="0.2">
      <c r="BB2329" s="9" t="s">
        <v>1260</v>
      </c>
      <c r="BC2329" s="1005">
        <v>479</v>
      </c>
    </row>
    <row r="2330" spans="54:55" x14ac:dyDescent="0.2">
      <c r="BB2330" s="9" t="s">
        <v>1260</v>
      </c>
      <c r="BC2330" s="1005">
        <v>480</v>
      </c>
    </row>
    <row r="2331" spans="54:55" x14ac:dyDescent="0.2">
      <c r="BB2331" s="9" t="s">
        <v>1260</v>
      </c>
      <c r="BC2331" s="1005">
        <v>481</v>
      </c>
    </row>
    <row r="2332" spans="54:55" x14ac:dyDescent="0.2">
      <c r="BB2332" s="9" t="s">
        <v>1260</v>
      </c>
      <c r="BC2332" s="1005">
        <v>482</v>
      </c>
    </row>
    <row r="2333" spans="54:55" x14ac:dyDescent="0.2">
      <c r="BB2333" s="9" t="s">
        <v>1260</v>
      </c>
      <c r="BC2333" s="1005">
        <v>483</v>
      </c>
    </row>
    <row r="2334" spans="54:55" x14ac:dyDescent="0.2">
      <c r="BB2334" s="9" t="s">
        <v>1260</v>
      </c>
      <c r="BC2334" s="1005">
        <v>484</v>
      </c>
    </row>
    <row r="2335" spans="54:55" x14ac:dyDescent="0.2">
      <c r="BB2335" s="9" t="s">
        <v>1260</v>
      </c>
      <c r="BC2335" s="1005">
        <v>485</v>
      </c>
    </row>
    <row r="2336" spans="54:55" x14ac:dyDescent="0.2">
      <c r="BB2336" s="9" t="s">
        <v>1260</v>
      </c>
      <c r="BC2336" s="1005">
        <v>486</v>
      </c>
    </row>
    <row r="2337" spans="54:55" x14ac:dyDescent="0.2">
      <c r="BB2337" s="9" t="s">
        <v>1260</v>
      </c>
      <c r="BC2337" s="1005">
        <v>487</v>
      </c>
    </row>
    <row r="2338" spans="54:55" x14ac:dyDescent="0.2">
      <c r="BB2338" s="9" t="s">
        <v>1260</v>
      </c>
      <c r="BC2338" s="1005">
        <v>488</v>
      </c>
    </row>
    <row r="2339" spans="54:55" x14ac:dyDescent="0.2">
      <c r="BB2339" s="9" t="s">
        <v>1260</v>
      </c>
      <c r="BC2339" s="1005">
        <v>489</v>
      </c>
    </row>
    <row r="2340" spans="54:55" x14ac:dyDescent="0.2">
      <c r="BB2340" s="9" t="s">
        <v>1260</v>
      </c>
      <c r="BC2340" s="1005">
        <v>490</v>
      </c>
    </row>
    <row r="2341" spans="54:55" x14ac:dyDescent="0.2">
      <c r="BB2341" s="9" t="s">
        <v>1260</v>
      </c>
      <c r="BC2341" s="1005">
        <v>491</v>
      </c>
    </row>
    <row r="2342" spans="54:55" x14ac:dyDescent="0.2">
      <c r="BB2342" s="9" t="s">
        <v>1260</v>
      </c>
      <c r="BC2342" s="1005">
        <v>492</v>
      </c>
    </row>
    <row r="2343" spans="54:55" x14ac:dyDescent="0.2">
      <c r="BB2343" s="9" t="s">
        <v>1260</v>
      </c>
      <c r="BC2343" s="1005">
        <v>493</v>
      </c>
    </row>
    <row r="2344" spans="54:55" x14ac:dyDescent="0.2">
      <c r="BB2344" s="9" t="s">
        <v>1260</v>
      </c>
      <c r="BC2344" s="1005">
        <v>494</v>
      </c>
    </row>
    <row r="2345" spans="54:55" x14ac:dyDescent="0.2">
      <c r="BB2345" s="9" t="s">
        <v>1260</v>
      </c>
      <c r="BC2345" s="1005">
        <v>495</v>
      </c>
    </row>
    <row r="2346" spans="54:55" x14ac:dyDescent="0.2">
      <c r="BB2346" s="9" t="s">
        <v>1260</v>
      </c>
      <c r="BC2346" s="1005">
        <v>496</v>
      </c>
    </row>
    <row r="2347" spans="54:55" x14ac:dyDescent="0.2">
      <c r="BB2347" s="9" t="s">
        <v>1260</v>
      </c>
      <c r="BC2347" s="1005">
        <v>497</v>
      </c>
    </row>
    <row r="2348" spans="54:55" x14ac:dyDescent="0.2">
      <c r="BB2348" s="9" t="s">
        <v>1260</v>
      </c>
      <c r="BC2348" s="1005">
        <v>498</v>
      </c>
    </row>
    <row r="2349" spans="54:55" x14ac:dyDescent="0.2">
      <c r="BB2349" s="9" t="s">
        <v>1260</v>
      </c>
      <c r="BC2349" s="1005">
        <v>499</v>
      </c>
    </row>
    <row r="2350" spans="54:55" x14ac:dyDescent="0.2">
      <c r="BB2350" s="9" t="s">
        <v>1260</v>
      </c>
      <c r="BC2350" s="1005">
        <v>500</v>
      </c>
    </row>
    <row r="2351" spans="54:55" x14ac:dyDescent="0.2">
      <c r="BB2351" s="9" t="s">
        <v>1260</v>
      </c>
      <c r="BC2351" s="1005">
        <v>501</v>
      </c>
    </row>
    <row r="2352" spans="54:55" x14ac:dyDescent="0.2">
      <c r="BB2352" s="9" t="s">
        <v>1260</v>
      </c>
      <c r="BC2352" s="1005">
        <v>502</v>
      </c>
    </row>
    <row r="2353" spans="54:55" x14ac:dyDescent="0.2">
      <c r="BB2353" s="9" t="s">
        <v>1260</v>
      </c>
      <c r="BC2353" s="1005">
        <v>503</v>
      </c>
    </row>
    <row r="2354" spans="54:55" x14ac:dyDescent="0.2">
      <c r="BB2354" s="9" t="s">
        <v>1260</v>
      </c>
      <c r="BC2354" s="1005">
        <v>504</v>
      </c>
    </row>
    <row r="2355" spans="54:55" x14ac:dyDescent="0.2">
      <c r="BB2355" s="9" t="s">
        <v>1260</v>
      </c>
      <c r="BC2355" s="1005">
        <v>505</v>
      </c>
    </row>
    <row r="2356" spans="54:55" x14ac:dyDescent="0.2">
      <c r="BB2356" s="9" t="s">
        <v>1260</v>
      </c>
      <c r="BC2356" s="1005">
        <v>506</v>
      </c>
    </row>
    <row r="2357" spans="54:55" x14ac:dyDescent="0.2">
      <c r="BB2357" s="9" t="s">
        <v>1260</v>
      </c>
      <c r="BC2357" s="1005">
        <v>507</v>
      </c>
    </row>
    <row r="2358" spans="54:55" x14ac:dyDescent="0.2">
      <c r="BB2358" s="9" t="s">
        <v>1260</v>
      </c>
      <c r="BC2358" s="1005">
        <v>508</v>
      </c>
    </row>
    <row r="2359" spans="54:55" x14ac:dyDescent="0.2">
      <c r="BB2359" s="9" t="s">
        <v>1260</v>
      </c>
      <c r="BC2359" s="1005">
        <v>509</v>
      </c>
    </row>
    <row r="2360" spans="54:55" x14ac:dyDescent="0.2">
      <c r="BB2360" s="9" t="s">
        <v>1260</v>
      </c>
      <c r="BC2360" s="1005">
        <v>510</v>
      </c>
    </row>
    <row r="2361" spans="54:55" x14ac:dyDescent="0.2">
      <c r="BB2361" s="9" t="s">
        <v>1260</v>
      </c>
      <c r="BC2361" s="1005">
        <v>511</v>
      </c>
    </row>
    <row r="2362" spans="54:55" x14ac:dyDescent="0.2">
      <c r="BB2362" s="9" t="s">
        <v>1260</v>
      </c>
      <c r="BC2362" s="1005">
        <v>512</v>
      </c>
    </row>
    <row r="2363" spans="54:55" x14ac:dyDescent="0.2">
      <c r="BB2363" s="9" t="s">
        <v>1260</v>
      </c>
      <c r="BC2363" s="1005">
        <v>513</v>
      </c>
    </row>
    <row r="2364" spans="54:55" x14ac:dyDescent="0.2">
      <c r="BB2364" s="9" t="s">
        <v>1260</v>
      </c>
      <c r="BC2364" s="1005">
        <v>514</v>
      </c>
    </row>
    <row r="2365" spans="54:55" x14ac:dyDescent="0.2">
      <c r="BB2365" s="9" t="s">
        <v>1260</v>
      </c>
      <c r="BC2365" s="1005">
        <v>515</v>
      </c>
    </row>
    <row r="2366" spans="54:55" x14ac:dyDescent="0.2">
      <c r="BB2366" s="9" t="s">
        <v>1260</v>
      </c>
      <c r="BC2366" s="1005">
        <v>516</v>
      </c>
    </row>
    <row r="2367" spans="54:55" x14ac:dyDescent="0.2">
      <c r="BB2367" s="9" t="s">
        <v>1260</v>
      </c>
      <c r="BC2367" s="1005">
        <v>517</v>
      </c>
    </row>
    <row r="2368" spans="54:55" x14ac:dyDescent="0.2">
      <c r="BB2368" s="9" t="s">
        <v>1260</v>
      </c>
      <c r="BC2368" s="1005">
        <v>518</v>
      </c>
    </row>
    <row r="2369" spans="54:55" x14ac:dyDescent="0.2">
      <c r="BB2369" s="9" t="s">
        <v>1260</v>
      </c>
      <c r="BC2369" s="1005">
        <v>519</v>
      </c>
    </row>
    <row r="2370" spans="54:55" x14ac:dyDescent="0.2">
      <c r="BB2370" s="9" t="s">
        <v>1260</v>
      </c>
      <c r="BC2370" s="1005">
        <v>520</v>
      </c>
    </row>
    <row r="2371" spans="54:55" x14ac:dyDescent="0.2">
      <c r="BB2371" s="9" t="s">
        <v>1260</v>
      </c>
      <c r="BC2371" s="1005">
        <v>521</v>
      </c>
    </row>
    <row r="2372" spans="54:55" x14ac:dyDescent="0.2">
      <c r="BB2372" s="9" t="s">
        <v>1260</v>
      </c>
      <c r="BC2372" s="1005">
        <v>522</v>
      </c>
    </row>
    <row r="2373" spans="54:55" x14ac:dyDescent="0.2">
      <c r="BB2373" s="9" t="s">
        <v>1260</v>
      </c>
      <c r="BC2373" s="1005">
        <v>523</v>
      </c>
    </row>
    <row r="2374" spans="54:55" x14ac:dyDescent="0.2">
      <c r="BB2374" s="9" t="s">
        <v>1260</v>
      </c>
      <c r="BC2374" s="1005">
        <v>524</v>
      </c>
    </row>
    <row r="2375" spans="54:55" x14ac:dyDescent="0.2">
      <c r="BB2375" s="9" t="s">
        <v>1260</v>
      </c>
      <c r="BC2375" s="1005">
        <v>525</v>
      </c>
    </row>
    <row r="2376" spans="54:55" x14ac:dyDescent="0.2">
      <c r="BB2376" s="9" t="s">
        <v>1260</v>
      </c>
      <c r="BC2376" s="1005">
        <v>526</v>
      </c>
    </row>
    <row r="2377" spans="54:55" x14ac:dyDescent="0.2">
      <c r="BB2377" s="9" t="s">
        <v>1260</v>
      </c>
      <c r="BC2377" s="1005">
        <v>527</v>
      </c>
    </row>
    <row r="2378" spans="54:55" x14ac:dyDescent="0.2">
      <c r="BB2378" s="9" t="s">
        <v>1260</v>
      </c>
      <c r="BC2378" s="1005">
        <v>528</v>
      </c>
    </row>
    <row r="2379" spans="54:55" x14ac:dyDescent="0.2">
      <c r="BB2379" s="9" t="s">
        <v>1260</v>
      </c>
      <c r="BC2379" s="1005">
        <v>529</v>
      </c>
    </row>
    <row r="2380" spans="54:55" x14ac:dyDescent="0.2">
      <c r="BB2380" s="9" t="s">
        <v>1260</v>
      </c>
      <c r="BC2380" s="1005">
        <v>530</v>
      </c>
    </row>
    <row r="2381" spans="54:55" x14ac:dyDescent="0.2">
      <c r="BB2381" s="9" t="s">
        <v>1260</v>
      </c>
      <c r="BC2381" s="1005">
        <v>531</v>
      </c>
    </row>
    <row r="2382" spans="54:55" x14ac:dyDescent="0.2">
      <c r="BB2382" s="9" t="s">
        <v>1260</v>
      </c>
      <c r="BC2382" s="1005">
        <v>532</v>
      </c>
    </row>
    <row r="2383" spans="54:55" x14ac:dyDescent="0.2">
      <c r="BB2383" s="9" t="s">
        <v>1260</v>
      </c>
      <c r="BC2383" s="1005">
        <v>533</v>
      </c>
    </row>
    <row r="2384" spans="54:55" x14ac:dyDescent="0.2">
      <c r="BB2384" s="9" t="s">
        <v>1260</v>
      </c>
      <c r="BC2384" s="1005">
        <v>534</v>
      </c>
    </row>
    <row r="2385" spans="54:55" x14ac:dyDescent="0.2">
      <c r="BB2385" s="9" t="s">
        <v>1260</v>
      </c>
      <c r="BC2385" s="1005">
        <v>535</v>
      </c>
    </row>
    <row r="2386" spans="54:55" x14ac:dyDescent="0.2">
      <c r="BB2386" s="9" t="s">
        <v>1260</v>
      </c>
      <c r="BC2386" s="1005">
        <v>536</v>
      </c>
    </row>
    <row r="2387" spans="54:55" x14ac:dyDescent="0.2">
      <c r="BB2387" s="9" t="s">
        <v>1260</v>
      </c>
      <c r="BC2387" s="1005">
        <v>537</v>
      </c>
    </row>
    <row r="2388" spans="54:55" x14ac:dyDescent="0.2">
      <c r="BB2388" s="9" t="s">
        <v>1260</v>
      </c>
      <c r="BC2388" s="1005">
        <v>538</v>
      </c>
    </row>
    <row r="2389" spans="54:55" x14ac:dyDescent="0.2">
      <c r="BB2389" s="9" t="s">
        <v>1260</v>
      </c>
      <c r="BC2389" s="1005">
        <v>539</v>
      </c>
    </row>
    <row r="2390" spans="54:55" x14ac:dyDescent="0.2">
      <c r="BB2390" s="9" t="s">
        <v>1260</v>
      </c>
      <c r="BC2390" s="1005">
        <v>540</v>
      </c>
    </row>
    <row r="2391" spans="54:55" x14ac:dyDescent="0.2">
      <c r="BB2391" s="9" t="s">
        <v>1260</v>
      </c>
      <c r="BC2391" s="1005">
        <v>541</v>
      </c>
    </row>
    <row r="2392" spans="54:55" x14ac:dyDescent="0.2">
      <c r="BB2392" s="9" t="s">
        <v>1260</v>
      </c>
      <c r="BC2392" s="1005">
        <v>542</v>
      </c>
    </row>
    <row r="2393" spans="54:55" x14ac:dyDescent="0.2">
      <c r="BB2393" s="9" t="s">
        <v>1260</v>
      </c>
      <c r="BC2393" s="1005">
        <v>543</v>
      </c>
    </row>
    <row r="2394" spans="54:55" x14ac:dyDescent="0.2">
      <c r="BB2394" s="9" t="s">
        <v>1260</v>
      </c>
      <c r="BC2394" s="1005">
        <v>544</v>
      </c>
    </row>
    <row r="2395" spans="54:55" x14ac:dyDescent="0.2">
      <c r="BB2395" s="9" t="s">
        <v>1260</v>
      </c>
      <c r="BC2395" s="1005">
        <v>545</v>
      </c>
    </row>
    <row r="2396" spans="54:55" x14ac:dyDescent="0.2">
      <c r="BB2396" s="9" t="s">
        <v>1260</v>
      </c>
      <c r="BC2396" s="1005">
        <v>546</v>
      </c>
    </row>
    <row r="2397" spans="54:55" x14ac:dyDescent="0.2">
      <c r="BB2397" s="9" t="s">
        <v>1260</v>
      </c>
      <c r="BC2397" s="1005">
        <v>547</v>
      </c>
    </row>
    <row r="2398" spans="54:55" x14ac:dyDescent="0.2">
      <c r="BB2398" s="9" t="s">
        <v>1260</v>
      </c>
      <c r="BC2398" s="1005">
        <v>548</v>
      </c>
    </row>
    <row r="2399" spans="54:55" x14ac:dyDescent="0.2">
      <c r="BB2399" s="9" t="s">
        <v>1260</v>
      </c>
      <c r="BC2399" s="1005">
        <v>549</v>
      </c>
    </row>
    <row r="2400" spans="54:55" x14ac:dyDescent="0.2">
      <c r="BB2400" s="9" t="s">
        <v>1260</v>
      </c>
      <c r="BC2400" s="1005">
        <v>550</v>
      </c>
    </row>
    <row r="2401" spans="54:55" x14ac:dyDescent="0.2">
      <c r="BB2401" s="9" t="s">
        <v>1260</v>
      </c>
      <c r="BC2401" s="1005">
        <v>551</v>
      </c>
    </row>
    <row r="2402" spans="54:55" x14ac:dyDescent="0.2">
      <c r="BB2402" s="9" t="s">
        <v>1260</v>
      </c>
      <c r="BC2402" s="1005">
        <v>552</v>
      </c>
    </row>
    <row r="2403" spans="54:55" x14ac:dyDescent="0.2">
      <c r="BB2403" s="9" t="s">
        <v>1260</v>
      </c>
      <c r="BC2403" s="1005">
        <v>553</v>
      </c>
    </row>
    <row r="2404" spans="54:55" x14ac:dyDescent="0.2">
      <c r="BB2404" s="9" t="s">
        <v>1260</v>
      </c>
      <c r="BC2404" s="1005">
        <v>554</v>
      </c>
    </row>
    <row r="2405" spans="54:55" x14ac:dyDescent="0.2">
      <c r="BB2405" s="9" t="s">
        <v>1260</v>
      </c>
      <c r="BC2405" s="1005">
        <v>555</v>
      </c>
    </row>
    <row r="2406" spans="54:55" x14ac:dyDescent="0.2">
      <c r="BB2406" s="9" t="s">
        <v>1260</v>
      </c>
      <c r="BC2406" s="1005">
        <v>556</v>
      </c>
    </row>
    <row r="2407" spans="54:55" x14ac:dyDescent="0.2">
      <c r="BB2407" s="9" t="s">
        <v>1260</v>
      </c>
      <c r="BC2407" s="1005">
        <v>557</v>
      </c>
    </row>
    <row r="2408" spans="54:55" x14ac:dyDescent="0.2">
      <c r="BB2408" s="9" t="s">
        <v>1260</v>
      </c>
      <c r="BC2408" s="1005">
        <v>558</v>
      </c>
    </row>
    <row r="2409" spans="54:55" x14ac:dyDescent="0.2">
      <c r="BB2409" s="9" t="s">
        <v>1260</v>
      </c>
      <c r="BC2409" s="1005">
        <v>559</v>
      </c>
    </row>
    <row r="2410" spans="54:55" x14ac:dyDescent="0.2">
      <c r="BB2410" s="9" t="s">
        <v>1260</v>
      </c>
      <c r="BC2410" s="1005">
        <v>560</v>
      </c>
    </row>
    <row r="2411" spans="54:55" x14ac:dyDescent="0.2">
      <c r="BB2411" s="9" t="s">
        <v>1260</v>
      </c>
      <c r="BC2411" s="1005">
        <v>561</v>
      </c>
    </row>
    <row r="2412" spans="54:55" x14ac:dyDescent="0.2">
      <c r="BB2412" s="9" t="s">
        <v>1260</v>
      </c>
      <c r="BC2412" s="1005">
        <v>562</v>
      </c>
    </row>
    <row r="2413" spans="54:55" x14ac:dyDescent="0.2">
      <c r="BB2413" s="9" t="s">
        <v>1260</v>
      </c>
      <c r="BC2413" s="1005">
        <v>563</v>
      </c>
    </row>
    <row r="2414" spans="54:55" x14ac:dyDescent="0.2">
      <c r="BB2414" s="9" t="s">
        <v>1260</v>
      </c>
      <c r="BC2414" s="1005">
        <v>564</v>
      </c>
    </row>
    <row r="2415" spans="54:55" x14ac:dyDescent="0.2">
      <c r="BB2415" s="9" t="s">
        <v>1260</v>
      </c>
      <c r="BC2415" s="1005">
        <v>565</v>
      </c>
    </row>
    <row r="2416" spans="54:55" x14ac:dyDescent="0.2">
      <c r="BB2416" s="9" t="s">
        <v>1260</v>
      </c>
      <c r="BC2416" s="1005">
        <v>566</v>
      </c>
    </row>
    <row r="2417" spans="54:55" x14ac:dyDescent="0.2">
      <c r="BB2417" s="9" t="s">
        <v>1260</v>
      </c>
      <c r="BC2417" s="1005">
        <v>567</v>
      </c>
    </row>
    <row r="2418" spans="54:55" x14ac:dyDescent="0.2">
      <c r="BB2418" s="9" t="s">
        <v>1260</v>
      </c>
      <c r="BC2418" s="1005">
        <v>568</v>
      </c>
    </row>
    <row r="2419" spans="54:55" x14ac:dyDescent="0.2">
      <c r="BB2419" s="9" t="s">
        <v>1260</v>
      </c>
      <c r="BC2419" s="1005">
        <v>569</v>
      </c>
    </row>
    <row r="2420" spans="54:55" x14ac:dyDescent="0.2">
      <c r="BB2420" s="9" t="s">
        <v>1260</v>
      </c>
      <c r="BC2420" s="1005">
        <v>570</v>
      </c>
    </row>
    <row r="2421" spans="54:55" x14ac:dyDescent="0.2">
      <c r="BB2421" s="9" t="s">
        <v>1260</v>
      </c>
      <c r="BC2421" s="1005">
        <v>571</v>
      </c>
    </row>
    <row r="2422" spans="54:55" x14ac:dyDescent="0.2">
      <c r="BB2422" s="9" t="s">
        <v>1260</v>
      </c>
      <c r="BC2422" s="1005">
        <v>572</v>
      </c>
    </row>
    <row r="2423" spans="54:55" x14ac:dyDescent="0.2">
      <c r="BB2423" s="9" t="s">
        <v>1260</v>
      </c>
      <c r="BC2423" s="1005">
        <v>573</v>
      </c>
    </row>
    <row r="2424" spans="54:55" x14ac:dyDescent="0.2">
      <c r="BB2424" s="9" t="s">
        <v>1260</v>
      </c>
      <c r="BC2424" s="1005">
        <v>574</v>
      </c>
    </row>
    <row r="2425" spans="54:55" x14ac:dyDescent="0.2">
      <c r="BB2425" s="9" t="s">
        <v>1260</v>
      </c>
      <c r="BC2425" s="1005">
        <v>575</v>
      </c>
    </row>
    <row r="2426" spans="54:55" x14ac:dyDescent="0.2">
      <c r="BB2426" s="9" t="s">
        <v>1260</v>
      </c>
      <c r="BC2426" s="1005">
        <v>576</v>
      </c>
    </row>
    <row r="2427" spans="54:55" x14ac:dyDescent="0.2">
      <c r="BB2427" s="9" t="s">
        <v>1260</v>
      </c>
      <c r="BC2427" s="1005">
        <v>577</v>
      </c>
    </row>
    <row r="2428" spans="54:55" x14ac:dyDescent="0.2">
      <c r="BB2428" s="9" t="s">
        <v>1260</v>
      </c>
      <c r="BC2428" s="1005">
        <v>578</v>
      </c>
    </row>
    <row r="2429" spans="54:55" x14ac:dyDescent="0.2">
      <c r="BB2429" s="9" t="s">
        <v>1260</v>
      </c>
      <c r="BC2429" s="1005">
        <v>579</v>
      </c>
    </row>
    <row r="2430" spans="54:55" x14ac:dyDescent="0.2">
      <c r="BB2430" s="9" t="s">
        <v>1260</v>
      </c>
      <c r="BC2430" s="1005">
        <v>580</v>
      </c>
    </row>
    <row r="2431" spans="54:55" x14ac:dyDescent="0.2">
      <c r="BB2431" s="9" t="s">
        <v>1260</v>
      </c>
      <c r="BC2431" s="1005">
        <v>581</v>
      </c>
    </row>
    <row r="2432" spans="54:55" x14ac:dyDescent="0.2">
      <c r="BB2432" s="9" t="s">
        <v>1260</v>
      </c>
      <c r="BC2432" s="1005">
        <v>582</v>
      </c>
    </row>
    <row r="2433" spans="54:55" x14ac:dyDescent="0.2">
      <c r="BB2433" s="9" t="s">
        <v>1260</v>
      </c>
      <c r="BC2433" s="1005">
        <v>583</v>
      </c>
    </row>
    <row r="2434" spans="54:55" x14ac:dyDescent="0.2">
      <c r="BB2434" s="9" t="s">
        <v>1260</v>
      </c>
      <c r="BC2434" s="1005">
        <v>584</v>
      </c>
    </row>
    <row r="2435" spans="54:55" x14ac:dyDescent="0.2">
      <c r="BB2435" s="9" t="s">
        <v>1260</v>
      </c>
      <c r="BC2435" s="1005">
        <v>585</v>
      </c>
    </row>
    <row r="2436" spans="54:55" x14ac:dyDescent="0.2">
      <c r="BB2436" s="9" t="s">
        <v>1260</v>
      </c>
      <c r="BC2436" s="1005">
        <v>586</v>
      </c>
    </row>
    <row r="2437" spans="54:55" x14ac:dyDescent="0.2">
      <c r="BB2437" s="9" t="s">
        <v>1260</v>
      </c>
      <c r="BC2437" s="1005">
        <v>587</v>
      </c>
    </row>
    <row r="2438" spans="54:55" x14ac:dyDescent="0.2">
      <c r="BB2438" s="9" t="s">
        <v>1260</v>
      </c>
      <c r="BC2438" s="1005">
        <v>588</v>
      </c>
    </row>
    <row r="2439" spans="54:55" x14ac:dyDescent="0.2">
      <c r="BB2439" s="9" t="s">
        <v>1260</v>
      </c>
      <c r="BC2439" s="1005">
        <v>589</v>
      </c>
    </row>
    <row r="2440" spans="54:55" x14ac:dyDescent="0.2">
      <c r="BB2440" s="9" t="s">
        <v>1260</v>
      </c>
      <c r="BC2440" s="1005">
        <v>590</v>
      </c>
    </row>
    <row r="2441" spans="54:55" x14ac:dyDescent="0.2">
      <c r="BB2441" s="9" t="s">
        <v>1260</v>
      </c>
      <c r="BC2441" s="1005">
        <v>591</v>
      </c>
    </row>
    <row r="2442" spans="54:55" x14ac:dyDescent="0.2">
      <c r="BB2442" s="9" t="s">
        <v>1260</v>
      </c>
      <c r="BC2442" s="1005">
        <v>592</v>
      </c>
    </row>
    <row r="2443" spans="54:55" x14ac:dyDescent="0.2">
      <c r="BB2443" s="9" t="s">
        <v>1260</v>
      </c>
      <c r="BC2443" s="1005">
        <v>593</v>
      </c>
    </row>
    <row r="2444" spans="54:55" x14ac:dyDescent="0.2">
      <c r="BB2444" s="9" t="s">
        <v>1260</v>
      </c>
      <c r="BC2444" s="1005">
        <v>594</v>
      </c>
    </row>
    <row r="2445" spans="54:55" x14ac:dyDescent="0.2">
      <c r="BB2445" s="9" t="s">
        <v>1260</v>
      </c>
      <c r="BC2445" s="1005">
        <v>595</v>
      </c>
    </row>
    <row r="2446" spans="54:55" x14ac:dyDescent="0.2">
      <c r="BB2446" s="9" t="s">
        <v>1260</v>
      </c>
      <c r="BC2446" s="1005">
        <v>596</v>
      </c>
    </row>
    <row r="2447" spans="54:55" x14ac:dyDescent="0.2">
      <c r="BB2447" s="9" t="s">
        <v>1260</v>
      </c>
      <c r="BC2447" s="1005">
        <v>597</v>
      </c>
    </row>
    <row r="2448" spans="54:55" x14ac:dyDescent="0.2">
      <c r="BB2448" s="9" t="s">
        <v>1260</v>
      </c>
      <c r="BC2448" s="1005">
        <v>598</v>
      </c>
    </row>
    <row r="2449" spans="54:55" x14ac:dyDescent="0.2">
      <c r="BB2449" s="9" t="s">
        <v>1260</v>
      </c>
      <c r="BC2449" s="1005">
        <v>599</v>
      </c>
    </row>
    <row r="2450" spans="54:55" x14ac:dyDescent="0.2">
      <c r="BB2450" s="9" t="s">
        <v>1260</v>
      </c>
      <c r="BC2450" s="1005">
        <v>600</v>
      </c>
    </row>
    <row r="2451" spans="54:55" x14ac:dyDescent="0.2">
      <c r="BB2451" s="9" t="s">
        <v>1260</v>
      </c>
      <c r="BC2451" s="1005">
        <v>601</v>
      </c>
    </row>
    <row r="2452" spans="54:55" x14ac:dyDescent="0.2">
      <c r="BB2452" s="9" t="s">
        <v>1260</v>
      </c>
      <c r="BC2452" s="1005">
        <v>602</v>
      </c>
    </row>
    <row r="2453" spans="54:55" x14ac:dyDescent="0.2">
      <c r="BB2453" s="9" t="s">
        <v>1260</v>
      </c>
      <c r="BC2453" s="1005">
        <v>603</v>
      </c>
    </row>
    <row r="2454" spans="54:55" x14ac:dyDescent="0.2">
      <c r="BB2454" s="9" t="s">
        <v>1260</v>
      </c>
      <c r="BC2454" s="1005">
        <v>604</v>
      </c>
    </row>
    <row r="2455" spans="54:55" x14ac:dyDescent="0.2">
      <c r="BB2455" s="9" t="s">
        <v>1260</v>
      </c>
      <c r="BC2455" s="1005">
        <v>605</v>
      </c>
    </row>
    <row r="2456" spans="54:55" x14ac:dyDescent="0.2">
      <c r="BB2456" s="9" t="s">
        <v>1260</v>
      </c>
      <c r="BC2456" s="1005">
        <v>606</v>
      </c>
    </row>
    <row r="2457" spans="54:55" x14ac:dyDescent="0.2">
      <c r="BB2457" s="9" t="s">
        <v>1260</v>
      </c>
      <c r="BC2457" s="1005">
        <v>607</v>
      </c>
    </row>
    <row r="2458" spans="54:55" x14ac:dyDescent="0.2">
      <c r="BB2458" s="9" t="s">
        <v>1260</v>
      </c>
      <c r="BC2458" s="1005">
        <v>608</v>
      </c>
    </row>
    <row r="2459" spans="54:55" x14ac:dyDescent="0.2">
      <c r="BB2459" s="9" t="s">
        <v>1260</v>
      </c>
      <c r="BC2459" s="1005">
        <v>609</v>
      </c>
    </row>
    <row r="2460" spans="54:55" x14ac:dyDescent="0.2">
      <c r="BB2460" s="9" t="s">
        <v>1260</v>
      </c>
      <c r="BC2460" s="1005">
        <v>610</v>
      </c>
    </row>
    <row r="2461" spans="54:55" x14ac:dyDescent="0.2">
      <c r="BB2461" s="9" t="s">
        <v>1260</v>
      </c>
      <c r="BC2461" s="1005">
        <v>611</v>
      </c>
    </row>
    <row r="2462" spans="54:55" x14ac:dyDescent="0.2">
      <c r="BB2462" s="9" t="s">
        <v>1260</v>
      </c>
      <c r="BC2462" s="1005">
        <v>612</v>
      </c>
    </row>
    <row r="2463" spans="54:55" x14ac:dyDescent="0.2">
      <c r="BB2463" s="9" t="s">
        <v>1260</v>
      </c>
      <c r="BC2463" s="1005">
        <v>613</v>
      </c>
    </row>
    <row r="2464" spans="54:55" x14ac:dyDescent="0.2">
      <c r="BB2464" s="9" t="s">
        <v>1260</v>
      </c>
      <c r="BC2464" s="1005">
        <v>614</v>
      </c>
    </row>
    <row r="2465" spans="54:55" x14ac:dyDescent="0.2">
      <c r="BB2465" s="9" t="s">
        <v>1260</v>
      </c>
      <c r="BC2465" s="1005">
        <v>615</v>
      </c>
    </row>
    <row r="2466" spans="54:55" x14ac:dyDescent="0.2">
      <c r="BB2466" s="9" t="s">
        <v>1260</v>
      </c>
      <c r="BC2466" s="1005">
        <v>616</v>
      </c>
    </row>
    <row r="2467" spans="54:55" x14ac:dyDescent="0.2">
      <c r="BB2467" s="9" t="s">
        <v>1260</v>
      </c>
      <c r="BC2467" s="1005">
        <v>617</v>
      </c>
    </row>
    <row r="2468" spans="54:55" x14ac:dyDescent="0.2">
      <c r="BB2468" s="9" t="s">
        <v>1260</v>
      </c>
      <c r="BC2468" s="1005">
        <v>618</v>
      </c>
    </row>
    <row r="2469" spans="54:55" x14ac:dyDescent="0.2">
      <c r="BB2469" s="9" t="s">
        <v>1260</v>
      </c>
      <c r="BC2469" s="1005">
        <v>619</v>
      </c>
    </row>
    <row r="2470" spans="54:55" x14ac:dyDescent="0.2">
      <c r="BB2470" s="9" t="s">
        <v>1260</v>
      </c>
      <c r="BC2470" s="1005">
        <v>620</v>
      </c>
    </row>
    <row r="2471" spans="54:55" x14ac:dyDescent="0.2">
      <c r="BB2471" s="9" t="s">
        <v>1260</v>
      </c>
      <c r="BC2471" s="1005">
        <v>621</v>
      </c>
    </row>
    <row r="2472" spans="54:55" x14ac:dyDescent="0.2">
      <c r="BB2472" s="9" t="s">
        <v>1260</v>
      </c>
      <c r="BC2472" s="1005">
        <v>622</v>
      </c>
    </row>
    <row r="2473" spans="54:55" x14ac:dyDescent="0.2">
      <c r="BB2473" s="9" t="s">
        <v>1260</v>
      </c>
      <c r="BC2473" s="1005">
        <v>623</v>
      </c>
    </row>
    <row r="2474" spans="54:55" x14ac:dyDescent="0.2">
      <c r="BB2474" s="9" t="s">
        <v>1260</v>
      </c>
      <c r="BC2474" s="1005">
        <v>624</v>
      </c>
    </row>
    <row r="2475" spans="54:55" x14ac:dyDescent="0.2">
      <c r="BB2475" s="9" t="s">
        <v>1260</v>
      </c>
      <c r="BC2475" s="1005">
        <v>625</v>
      </c>
    </row>
    <row r="2476" spans="54:55" x14ac:dyDescent="0.2">
      <c r="BB2476" s="9" t="s">
        <v>1260</v>
      </c>
      <c r="BC2476" s="1005">
        <v>626</v>
      </c>
    </row>
    <row r="2477" spans="54:55" x14ac:dyDescent="0.2">
      <c r="BB2477" s="9" t="s">
        <v>1260</v>
      </c>
      <c r="BC2477" s="1005">
        <v>627</v>
      </c>
    </row>
    <row r="2478" spans="54:55" x14ac:dyDescent="0.2">
      <c r="BB2478" s="9" t="s">
        <v>1260</v>
      </c>
      <c r="BC2478" s="1005">
        <v>628</v>
      </c>
    </row>
    <row r="2479" spans="54:55" x14ac:dyDescent="0.2">
      <c r="BB2479" s="9" t="s">
        <v>1260</v>
      </c>
      <c r="BC2479" s="1005">
        <v>629</v>
      </c>
    </row>
    <row r="2480" spans="54:55" x14ac:dyDescent="0.2">
      <c r="BB2480" s="9" t="s">
        <v>1260</v>
      </c>
      <c r="BC2480" s="1005">
        <v>630</v>
      </c>
    </row>
    <row r="2481" spans="54:55" x14ac:dyDescent="0.2">
      <c r="BB2481" s="9" t="s">
        <v>1246</v>
      </c>
      <c r="BC2481" s="1006">
        <v>18</v>
      </c>
    </row>
    <row r="2482" spans="54:55" x14ac:dyDescent="0.2">
      <c r="BB2482" s="9" t="s">
        <v>1246</v>
      </c>
      <c r="BC2482" s="1005">
        <v>19</v>
      </c>
    </row>
    <row r="2483" spans="54:55" x14ac:dyDescent="0.2">
      <c r="BB2483" s="9" t="s">
        <v>1246</v>
      </c>
      <c r="BC2483" s="1006">
        <v>20</v>
      </c>
    </row>
    <row r="2484" spans="54:55" x14ac:dyDescent="0.2">
      <c r="BB2484" s="9" t="s">
        <v>1246</v>
      </c>
      <c r="BC2484" s="1005">
        <v>21</v>
      </c>
    </row>
    <row r="2485" spans="54:55" x14ac:dyDescent="0.2">
      <c r="BB2485" s="9" t="s">
        <v>1246</v>
      </c>
      <c r="BC2485" s="1006">
        <v>22</v>
      </c>
    </row>
    <row r="2486" spans="54:55" x14ac:dyDescent="0.2">
      <c r="BB2486" s="9" t="s">
        <v>1246</v>
      </c>
      <c r="BC2486" s="1005">
        <v>23</v>
      </c>
    </row>
    <row r="2487" spans="54:55" x14ac:dyDescent="0.2">
      <c r="BB2487" s="9" t="s">
        <v>1246</v>
      </c>
      <c r="BC2487" s="1006">
        <v>24</v>
      </c>
    </row>
    <row r="2488" spans="54:55" x14ac:dyDescent="0.2">
      <c r="BB2488" s="9" t="s">
        <v>1246</v>
      </c>
      <c r="BC2488" s="1005">
        <v>25</v>
      </c>
    </row>
    <row r="2489" spans="54:55" x14ac:dyDescent="0.2">
      <c r="BB2489" s="9" t="s">
        <v>1246</v>
      </c>
      <c r="BC2489" s="1006">
        <v>26</v>
      </c>
    </row>
    <row r="2490" spans="54:55" x14ac:dyDescent="0.2">
      <c r="BB2490" s="9" t="s">
        <v>1246</v>
      </c>
      <c r="BC2490" s="1005">
        <v>27</v>
      </c>
    </row>
    <row r="2491" spans="54:55" x14ac:dyDescent="0.2">
      <c r="BB2491" s="9" t="s">
        <v>1246</v>
      </c>
      <c r="BC2491" s="1006">
        <v>28</v>
      </c>
    </row>
    <row r="2492" spans="54:55" x14ac:dyDescent="0.2">
      <c r="BB2492" s="9" t="s">
        <v>1246</v>
      </c>
      <c r="BC2492" s="1005">
        <v>29</v>
      </c>
    </row>
    <row r="2493" spans="54:55" x14ac:dyDescent="0.2">
      <c r="BB2493" s="9" t="s">
        <v>1246</v>
      </c>
      <c r="BC2493" s="1006">
        <v>30</v>
      </c>
    </row>
    <row r="2494" spans="54:55" x14ac:dyDescent="0.2">
      <c r="BB2494" s="9" t="s">
        <v>1246</v>
      </c>
      <c r="BC2494" s="1005">
        <v>31</v>
      </c>
    </row>
    <row r="2495" spans="54:55" x14ac:dyDescent="0.2">
      <c r="BB2495" s="9" t="s">
        <v>1246</v>
      </c>
      <c r="BC2495" s="1006">
        <v>32</v>
      </c>
    </row>
    <row r="2496" spans="54:55" x14ac:dyDescent="0.2">
      <c r="BB2496" s="9" t="s">
        <v>1246</v>
      </c>
      <c r="BC2496" s="1005">
        <v>33</v>
      </c>
    </row>
    <row r="2497" spans="54:55" x14ac:dyDescent="0.2">
      <c r="BB2497" s="9" t="s">
        <v>1246</v>
      </c>
      <c r="BC2497" s="1006">
        <v>34</v>
      </c>
    </row>
    <row r="2498" spans="54:55" x14ac:dyDescent="0.2">
      <c r="BB2498" s="9" t="s">
        <v>1246</v>
      </c>
      <c r="BC2498" s="1005">
        <v>35</v>
      </c>
    </row>
    <row r="2499" spans="54:55" x14ac:dyDescent="0.2">
      <c r="BB2499" s="9" t="s">
        <v>1246</v>
      </c>
      <c r="BC2499" s="1006">
        <v>36</v>
      </c>
    </row>
    <row r="2500" spans="54:55" x14ac:dyDescent="0.2">
      <c r="BB2500" s="9" t="s">
        <v>1246</v>
      </c>
      <c r="BC2500" s="1005">
        <v>37</v>
      </c>
    </row>
    <row r="2501" spans="54:55" x14ac:dyDescent="0.2">
      <c r="BB2501" s="9" t="s">
        <v>1246</v>
      </c>
      <c r="BC2501" s="1006">
        <v>38</v>
      </c>
    </row>
    <row r="2502" spans="54:55" x14ac:dyDescent="0.2">
      <c r="BB2502" s="9" t="s">
        <v>1246</v>
      </c>
      <c r="BC2502" s="1005">
        <v>39</v>
      </c>
    </row>
    <row r="2503" spans="54:55" x14ac:dyDescent="0.2">
      <c r="BB2503" s="9" t="s">
        <v>1246</v>
      </c>
      <c r="BC2503" s="1006">
        <v>40</v>
      </c>
    </row>
    <row r="2504" spans="54:55" x14ac:dyDescent="0.2">
      <c r="BB2504" s="9" t="s">
        <v>1249</v>
      </c>
      <c r="BC2504" s="1005">
        <v>40</v>
      </c>
    </row>
    <row r="2505" spans="54:55" x14ac:dyDescent="0.2">
      <c r="BB2505" s="9" t="s">
        <v>1249</v>
      </c>
      <c r="BC2505" s="1005">
        <v>41</v>
      </c>
    </row>
    <row r="2506" spans="54:55" x14ac:dyDescent="0.2">
      <c r="BB2506" s="9" t="s">
        <v>1249</v>
      </c>
      <c r="BC2506" s="1005">
        <v>42</v>
      </c>
    </row>
    <row r="2507" spans="54:55" x14ac:dyDescent="0.2">
      <c r="BB2507" s="9" t="s">
        <v>1249</v>
      </c>
      <c r="BC2507" s="1005">
        <v>43</v>
      </c>
    </row>
    <row r="2508" spans="54:55" x14ac:dyDescent="0.2">
      <c r="BB2508" s="9" t="s">
        <v>1249</v>
      </c>
      <c r="BC2508" s="1005">
        <v>44</v>
      </c>
    </row>
    <row r="2509" spans="54:55" x14ac:dyDescent="0.2">
      <c r="BB2509" s="9" t="s">
        <v>1249</v>
      </c>
      <c r="BC2509" s="1005">
        <v>45</v>
      </c>
    </row>
    <row r="2510" spans="54:55" x14ac:dyDescent="0.2">
      <c r="BB2510" s="9" t="s">
        <v>1249</v>
      </c>
      <c r="BC2510" s="1005">
        <v>46</v>
      </c>
    </row>
    <row r="2511" spans="54:55" x14ac:dyDescent="0.2">
      <c r="BB2511" s="9" t="s">
        <v>1249</v>
      </c>
      <c r="BC2511" s="1005">
        <v>47</v>
      </c>
    </row>
    <row r="2512" spans="54:55" x14ac:dyDescent="0.2">
      <c r="BB2512" s="9" t="s">
        <v>1249</v>
      </c>
      <c r="BC2512" s="1005">
        <v>48</v>
      </c>
    </row>
    <row r="2513" spans="54:55" x14ac:dyDescent="0.2">
      <c r="BB2513" s="9" t="s">
        <v>1249</v>
      </c>
      <c r="BC2513" s="1005">
        <v>49</v>
      </c>
    </row>
    <row r="2514" spans="54:55" x14ac:dyDescent="0.2">
      <c r="BB2514" s="9" t="s">
        <v>1249</v>
      </c>
      <c r="BC2514" s="1005">
        <v>50</v>
      </c>
    </row>
    <row r="2515" spans="54:55" x14ac:dyDescent="0.2">
      <c r="BB2515" s="9" t="s">
        <v>1249</v>
      </c>
      <c r="BC2515" s="1005">
        <v>51</v>
      </c>
    </row>
    <row r="2516" spans="54:55" x14ac:dyDescent="0.2">
      <c r="BB2516" s="9" t="s">
        <v>1249</v>
      </c>
      <c r="BC2516" s="1005">
        <v>52</v>
      </c>
    </row>
    <row r="2517" spans="54:55" x14ac:dyDescent="0.2">
      <c r="BB2517" s="9" t="s">
        <v>1249</v>
      </c>
      <c r="BC2517" s="1005">
        <v>53</v>
      </c>
    </row>
    <row r="2518" spans="54:55" x14ac:dyDescent="0.2">
      <c r="BB2518" s="9" t="s">
        <v>1249</v>
      </c>
      <c r="BC2518" s="1005">
        <v>54</v>
      </c>
    </row>
    <row r="2519" spans="54:55" x14ac:dyDescent="0.2">
      <c r="BB2519" s="9" t="s">
        <v>1249</v>
      </c>
      <c r="BC2519" s="1005">
        <v>55</v>
      </c>
    </row>
    <row r="2520" spans="54:55" x14ac:dyDescent="0.2">
      <c r="BB2520" s="9" t="s">
        <v>1249</v>
      </c>
      <c r="BC2520" s="1005">
        <v>56</v>
      </c>
    </row>
    <row r="2521" spans="54:55" x14ac:dyDescent="0.2">
      <c r="BB2521" s="9" t="s">
        <v>1249</v>
      </c>
      <c r="BC2521" s="1005">
        <v>57</v>
      </c>
    </row>
    <row r="2522" spans="54:55" x14ac:dyDescent="0.2">
      <c r="BB2522" s="9" t="s">
        <v>1249</v>
      </c>
      <c r="BC2522" s="1005">
        <v>58</v>
      </c>
    </row>
    <row r="2523" spans="54:55" x14ac:dyDescent="0.2">
      <c r="BB2523" s="9" t="s">
        <v>1249</v>
      </c>
      <c r="BC2523" s="1005">
        <v>59</v>
      </c>
    </row>
    <row r="2524" spans="54:55" x14ac:dyDescent="0.2">
      <c r="BB2524" s="9" t="s">
        <v>1249</v>
      </c>
      <c r="BC2524" s="1005">
        <v>60</v>
      </c>
    </row>
    <row r="2525" spans="54:55" x14ac:dyDescent="0.2">
      <c r="BB2525" s="9" t="s">
        <v>1249</v>
      </c>
      <c r="BC2525" s="1005">
        <v>61</v>
      </c>
    </row>
    <row r="2526" spans="54:55" x14ac:dyDescent="0.2">
      <c r="BB2526" s="9" t="s">
        <v>1249</v>
      </c>
      <c r="BC2526" s="1005">
        <v>62</v>
      </c>
    </row>
    <row r="2527" spans="54:55" x14ac:dyDescent="0.2">
      <c r="BB2527" s="9" t="s">
        <v>1249</v>
      </c>
      <c r="BC2527" s="1005">
        <v>63</v>
      </c>
    </row>
    <row r="2528" spans="54:55" x14ac:dyDescent="0.2">
      <c r="BB2528" s="9" t="s">
        <v>1249</v>
      </c>
      <c r="BC2528" s="1005">
        <v>64</v>
      </c>
    </row>
    <row r="2529" spans="54:55" x14ac:dyDescent="0.2">
      <c r="BB2529" s="9" t="s">
        <v>1249</v>
      </c>
      <c r="BC2529" s="1005">
        <v>65</v>
      </c>
    </row>
    <row r="2530" spans="54:55" x14ac:dyDescent="0.2">
      <c r="BB2530" s="9" t="s">
        <v>1249</v>
      </c>
      <c r="BC2530" s="1005">
        <v>66</v>
      </c>
    </row>
    <row r="2531" spans="54:55" x14ac:dyDescent="0.2">
      <c r="BB2531" s="9" t="s">
        <v>1249</v>
      </c>
      <c r="BC2531" s="1005">
        <v>67</v>
      </c>
    </row>
    <row r="2532" spans="54:55" x14ac:dyDescent="0.2">
      <c r="BB2532" s="9" t="s">
        <v>1249</v>
      </c>
      <c r="BC2532" s="1005">
        <v>68</v>
      </c>
    </row>
    <row r="2533" spans="54:55" x14ac:dyDescent="0.2">
      <c r="BB2533" s="9" t="s">
        <v>1249</v>
      </c>
      <c r="BC2533" s="1005">
        <v>69</v>
      </c>
    </row>
    <row r="2534" spans="54:55" x14ac:dyDescent="0.2">
      <c r="BB2534" s="9" t="s">
        <v>1249</v>
      </c>
      <c r="BC2534" s="1005">
        <v>70</v>
      </c>
    </row>
    <row r="2535" spans="54:55" x14ac:dyDescent="0.2">
      <c r="BB2535" s="9" t="s">
        <v>1249</v>
      </c>
      <c r="BC2535" s="1005">
        <v>71</v>
      </c>
    </row>
    <row r="2536" spans="54:55" x14ac:dyDescent="0.2">
      <c r="BB2536" s="9" t="s">
        <v>1249</v>
      </c>
      <c r="BC2536" s="1005">
        <v>72</v>
      </c>
    </row>
    <row r="2537" spans="54:55" x14ac:dyDescent="0.2">
      <c r="BB2537" s="9" t="s">
        <v>1249</v>
      </c>
      <c r="BC2537" s="1005">
        <v>73</v>
      </c>
    </row>
    <row r="2538" spans="54:55" x14ac:dyDescent="0.2">
      <c r="BB2538" s="9" t="s">
        <v>1249</v>
      </c>
      <c r="BC2538" s="1005">
        <v>74</v>
      </c>
    </row>
    <row r="2539" spans="54:55" x14ac:dyDescent="0.2">
      <c r="BB2539" s="9" t="s">
        <v>1249</v>
      </c>
      <c r="BC2539" s="1005">
        <v>75</v>
      </c>
    </row>
    <row r="2540" spans="54:55" x14ac:dyDescent="0.2">
      <c r="BB2540" s="9" t="s">
        <v>1249</v>
      </c>
      <c r="BC2540" s="1005">
        <v>76</v>
      </c>
    </row>
    <row r="2541" spans="54:55" x14ac:dyDescent="0.2">
      <c r="BB2541" s="9" t="s">
        <v>1249</v>
      </c>
      <c r="BC2541" s="1005">
        <v>77</v>
      </c>
    </row>
    <row r="2542" spans="54:55" x14ac:dyDescent="0.2">
      <c r="BB2542" s="9" t="s">
        <v>1249</v>
      </c>
      <c r="BC2542" s="1005">
        <v>78</v>
      </c>
    </row>
    <row r="2543" spans="54:55" x14ac:dyDescent="0.2">
      <c r="BB2543" s="9" t="s">
        <v>1249</v>
      </c>
      <c r="BC2543" s="1005">
        <v>79</v>
      </c>
    </row>
    <row r="2544" spans="54:55" x14ac:dyDescent="0.2">
      <c r="BB2544" s="9" t="s">
        <v>1249</v>
      </c>
      <c r="BC2544" s="1005">
        <v>80</v>
      </c>
    </row>
    <row r="2545" spans="54:55" x14ac:dyDescent="0.2">
      <c r="BB2545" s="9" t="s">
        <v>1249</v>
      </c>
      <c r="BC2545" s="1005">
        <v>81</v>
      </c>
    </row>
    <row r="2546" spans="54:55" x14ac:dyDescent="0.2">
      <c r="BB2546" s="9" t="s">
        <v>1249</v>
      </c>
      <c r="BC2546" s="1005">
        <v>82</v>
      </c>
    </row>
    <row r="2547" spans="54:55" x14ac:dyDescent="0.2">
      <c r="BB2547" s="9" t="s">
        <v>1249</v>
      </c>
      <c r="BC2547" s="1005">
        <v>83</v>
      </c>
    </row>
    <row r="2548" spans="54:55" x14ac:dyDescent="0.2">
      <c r="BB2548" s="9" t="s">
        <v>1249</v>
      </c>
      <c r="BC2548" s="1005">
        <v>84</v>
      </c>
    </row>
    <row r="2549" spans="54:55" x14ac:dyDescent="0.2">
      <c r="BB2549" s="9" t="s">
        <v>1249</v>
      </c>
      <c r="BC2549" s="1005">
        <v>85</v>
      </c>
    </row>
    <row r="2550" spans="54:55" x14ac:dyDescent="0.2">
      <c r="BB2550" s="9" t="s">
        <v>1249</v>
      </c>
      <c r="BC2550" s="1005">
        <v>86</v>
      </c>
    </row>
    <row r="2551" spans="54:55" x14ac:dyDescent="0.2">
      <c r="BB2551" s="9" t="s">
        <v>1249</v>
      </c>
      <c r="BC2551" s="1005">
        <v>87</v>
      </c>
    </row>
    <row r="2552" spans="54:55" x14ac:dyDescent="0.2">
      <c r="BB2552" s="9" t="s">
        <v>1249</v>
      </c>
      <c r="BC2552" s="1005">
        <v>88</v>
      </c>
    </row>
    <row r="2553" spans="54:55" x14ac:dyDescent="0.2">
      <c r="BB2553" s="9" t="s">
        <v>1249</v>
      </c>
      <c r="BC2553" s="1005">
        <v>89</v>
      </c>
    </row>
    <row r="2554" spans="54:55" x14ac:dyDescent="0.2">
      <c r="BB2554" s="9" t="s">
        <v>1249</v>
      </c>
      <c r="BC2554" s="1005">
        <v>90</v>
      </c>
    </row>
    <row r="2555" spans="54:55" x14ac:dyDescent="0.2">
      <c r="BB2555" s="9" t="s">
        <v>1249</v>
      </c>
      <c r="BC2555" s="1005">
        <v>91</v>
      </c>
    </row>
    <row r="2556" spans="54:55" x14ac:dyDescent="0.2">
      <c r="BB2556" s="9" t="s">
        <v>1249</v>
      </c>
      <c r="BC2556" s="1005">
        <v>92</v>
      </c>
    </row>
    <row r="2557" spans="54:55" x14ac:dyDescent="0.2">
      <c r="BB2557" s="9" t="s">
        <v>1249</v>
      </c>
      <c r="BC2557" s="1005">
        <v>93</v>
      </c>
    </row>
    <row r="2558" spans="54:55" x14ac:dyDescent="0.2">
      <c r="BB2558" s="9" t="s">
        <v>1249</v>
      </c>
      <c r="BC2558" s="1005">
        <v>94</v>
      </c>
    </row>
    <row r="2559" spans="54:55" x14ac:dyDescent="0.2">
      <c r="BB2559" s="9" t="s">
        <v>1249</v>
      </c>
      <c r="BC2559" s="1005">
        <v>95</v>
      </c>
    </row>
    <row r="2560" spans="54:55" x14ac:dyDescent="0.2">
      <c r="BB2560" s="9" t="s">
        <v>1249</v>
      </c>
      <c r="BC2560" s="1005">
        <v>96</v>
      </c>
    </row>
    <row r="2561" spans="54:55" x14ac:dyDescent="0.2">
      <c r="BB2561" s="9" t="s">
        <v>1249</v>
      </c>
      <c r="BC2561" s="1005">
        <v>97</v>
      </c>
    </row>
    <row r="2562" spans="54:55" x14ac:dyDescent="0.2">
      <c r="BB2562" s="9" t="s">
        <v>1249</v>
      </c>
      <c r="BC2562" s="1005">
        <v>98</v>
      </c>
    </row>
    <row r="2563" spans="54:55" x14ac:dyDescent="0.2">
      <c r="BB2563" s="9" t="s">
        <v>1249</v>
      </c>
      <c r="BC2563" s="1005">
        <v>99</v>
      </c>
    </row>
    <row r="2564" spans="54:55" x14ac:dyDescent="0.2">
      <c r="BB2564" s="9" t="s">
        <v>1249</v>
      </c>
      <c r="BC2564" s="1005">
        <v>100</v>
      </c>
    </row>
    <row r="2565" spans="54:55" x14ac:dyDescent="0.2">
      <c r="BB2565" s="9" t="s">
        <v>1252</v>
      </c>
      <c r="BC2565" s="1005">
        <v>63</v>
      </c>
    </row>
    <row r="2566" spans="54:55" x14ac:dyDescent="0.2">
      <c r="BB2566" s="9" t="s">
        <v>1252</v>
      </c>
      <c r="BC2566" s="1005">
        <v>64</v>
      </c>
    </row>
    <row r="2567" spans="54:55" x14ac:dyDescent="0.2">
      <c r="BB2567" s="9" t="s">
        <v>1252</v>
      </c>
      <c r="BC2567" s="1005">
        <v>65</v>
      </c>
    </row>
    <row r="2568" spans="54:55" x14ac:dyDescent="0.2">
      <c r="BB2568" s="9" t="s">
        <v>1252</v>
      </c>
      <c r="BC2568" s="1005">
        <v>66</v>
      </c>
    </row>
    <row r="2569" spans="54:55" x14ac:dyDescent="0.2">
      <c r="BB2569" s="9" t="s">
        <v>1252</v>
      </c>
      <c r="BC2569" s="1005">
        <v>67</v>
      </c>
    </row>
    <row r="2570" spans="54:55" x14ac:dyDescent="0.2">
      <c r="BB2570" s="9" t="s">
        <v>1252</v>
      </c>
      <c r="BC2570" s="1005">
        <v>68</v>
      </c>
    </row>
    <row r="2571" spans="54:55" x14ac:dyDescent="0.2">
      <c r="BB2571" s="9" t="s">
        <v>1252</v>
      </c>
      <c r="BC2571" s="1005">
        <v>69</v>
      </c>
    </row>
    <row r="2572" spans="54:55" x14ac:dyDescent="0.2">
      <c r="BB2572" s="9" t="s">
        <v>1252</v>
      </c>
      <c r="BC2572" s="1005">
        <v>70</v>
      </c>
    </row>
    <row r="2573" spans="54:55" x14ac:dyDescent="0.2">
      <c r="BB2573" s="9" t="s">
        <v>1252</v>
      </c>
      <c r="BC2573" s="1005">
        <v>71</v>
      </c>
    </row>
    <row r="2574" spans="54:55" x14ac:dyDescent="0.2">
      <c r="BB2574" s="9" t="s">
        <v>1252</v>
      </c>
      <c r="BC2574" s="1005">
        <v>72</v>
      </c>
    </row>
    <row r="2575" spans="54:55" x14ac:dyDescent="0.2">
      <c r="BB2575" s="9" t="s">
        <v>1252</v>
      </c>
      <c r="BC2575" s="1005">
        <v>73</v>
      </c>
    </row>
    <row r="2576" spans="54:55" x14ac:dyDescent="0.2">
      <c r="BB2576" s="9" t="s">
        <v>1252</v>
      </c>
      <c r="BC2576" s="1005">
        <v>74</v>
      </c>
    </row>
    <row r="2577" spans="54:55" x14ac:dyDescent="0.2">
      <c r="BB2577" s="9" t="s">
        <v>1252</v>
      </c>
      <c r="BC2577" s="1005">
        <v>75</v>
      </c>
    </row>
    <row r="2578" spans="54:55" x14ac:dyDescent="0.2">
      <c r="BB2578" s="9" t="s">
        <v>1252</v>
      </c>
      <c r="BC2578" s="1005">
        <v>76</v>
      </c>
    </row>
    <row r="2579" spans="54:55" x14ac:dyDescent="0.2">
      <c r="BB2579" s="9" t="s">
        <v>1252</v>
      </c>
      <c r="BC2579" s="1005">
        <v>77</v>
      </c>
    </row>
    <row r="2580" spans="54:55" x14ac:dyDescent="0.2">
      <c r="BB2580" s="9" t="s">
        <v>1252</v>
      </c>
      <c r="BC2580" s="1005">
        <v>78</v>
      </c>
    </row>
    <row r="2581" spans="54:55" x14ac:dyDescent="0.2">
      <c r="BB2581" s="9" t="s">
        <v>1252</v>
      </c>
      <c r="BC2581" s="1005">
        <v>79</v>
      </c>
    </row>
    <row r="2582" spans="54:55" x14ac:dyDescent="0.2">
      <c r="BB2582" s="9" t="s">
        <v>1252</v>
      </c>
      <c r="BC2582" s="1005">
        <v>80</v>
      </c>
    </row>
    <row r="2583" spans="54:55" x14ac:dyDescent="0.2">
      <c r="BB2583" s="9" t="s">
        <v>1252</v>
      </c>
      <c r="BC2583" s="1005">
        <v>81</v>
      </c>
    </row>
    <row r="2584" spans="54:55" x14ac:dyDescent="0.2">
      <c r="BB2584" s="9" t="s">
        <v>1252</v>
      </c>
      <c r="BC2584" s="1005">
        <v>82</v>
      </c>
    </row>
    <row r="2585" spans="54:55" x14ac:dyDescent="0.2">
      <c r="BB2585" s="9" t="s">
        <v>1252</v>
      </c>
      <c r="BC2585" s="1005">
        <v>83</v>
      </c>
    </row>
    <row r="2586" spans="54:55" x14ac:dyDescent="0.2">
      <c r="BB2586" s="9" t="s">
        <v>1252</v>
      </c>
      <c r="BC2586" s="1005">
        <v>84</v>
      </c>
    </row>
    <row r="2587" spans="54:55" x14ac:dyDescent="0.2">
      <c r="BB2587" s="9" t="s">
        <v>1252</v>
      </c>
      <c r="BC2587" s="1005">
        <v>85</v>
      </c>
    </row>
    <row r="2588" spans="54:55" x14ac:dyDescent="0.2">
      <c r="BB2588" s="9" t="s">
        <v>1252</v>
      </c>
      <c r="BC2588" s="1005">
        <v>86</v>
      </c>
    </row>
    <row r="2589" spans="54:55" x14ac:dyDescent="0.2">
      <c r="BB2589" s="9" t="s">
        <v>1252</v>
      </c>
      <c r="BC2589" s="1005">
        <v>87</v>
      </c>
    </row>
    <row r="2590" spans="54:55" x14ac:dyDescent="0.2">
      <c r="BB2590" s="9" t="s">
        <v>1252</v>
      </c>
      <c r="BC2590" s="1005">
        <v>88</v>
      </c>
    </row>
    <row r="2591" spans="54:55" x14ac:dyDescent="0.2">
      <c r="BB2591" s="9" t="s">
        <v>1252</v>
      </c>
      <c r="BC2591" s="1005">
        <v>89</v>
      </c>
    </row>
    <row r="2592" spans="54:55" x14ac:dyDescent="0.2">
      <c r="BB2592" s="9" t="s">
        <v>1252</v>
      </c>
      <c r="BC2592" s="1005">
        <v>90</v>
      </c>
    </row>
    <row r="2593" spans="54:55" x14ac:dyDescent="0.2">
      <c r="BB2593" s="9" t="s">
        <v>1252</v>
      </c>
      <c r="BC2593" s="1005">
        <v>91</v>
      </c>
    </row>
    <row r="2594" spans="54:55" x14ac:dyDescent="0.2">
      <c r="BB2594" s="9" t="s">
        <v>1252</v>
      </c>
      <c r="BC2594" s="1005">
        <v>92</v>
      </c>
    </row>
    <row r="2595" spans="54:55" x14ac:dyDescent="0.2">
      <c r="BB2595" s="9" t="s">
        <v>1252</v>
      </c>
      <c r="BC2595" s="1005">
        <v>93</v>
      </c>
    </row>
    <row r="2596" spans="54:55" x14ac:dyDescent="0.2">
      <c r="BB2596" s="9" t="s">
        <v>1252</v>
      </c>
      <c r="BC2596" s="1005">
        <v>94</v>
      </c>
    </row>
    <row r="2597" spans="54:55" x14ac:dyDescent="0.2">
      <c r="BB2597" s="9" t="s">
        <v>1252</v>
      </c>
      <c r="BC2597" s="1005">
        <v>95</v>
      </c>
    </row>
    <row r="2598" spans="54:55" x14ac:dyDescent="0.2">
      <c r="BB2598" s="9" t="s">
        <v>1252</v>
      </c>
      <c r="BC2598" s="1005">
        <v>96</v>
      </c>
    </row>
    <row r="2599" spans="54:55" x14ac:dyDescent="0.2">
      <c r="BB2599" s="9" t="s">
        <v>1252</v>
      </c>
      <c r="BC2599" s="1005">
        <v>97</v>
      </c>
    </row>
    <row r="2600" spans="54:55" x14ac:dyDescent="0.2">
      <c r="BB2600" s="9" t="s">
        <v>1252</v>
      </c>
      <c r="BC2600" s="1005">
        <v>98</v>
      </c>
    </row>
    <row r="2601" spans="54:55" x14ac:dyDescent="0.2">
      <c r="BB2601" s="9" t="s">
        <v>1252</v>
      </c>
      <c r="BC2601" s="1005">
        <v>99</v>
      </c>
    </row>
    <row r="2602" spans="54:55" x14ac:dyDescent="0.2">
      <c r="BB2602" s="9" t="s">
        <v>1252</v>
      </c>
      <c r="BC2602" s="1005">
        <v>100</v>
      </c>
    </row>
    <row r="2603" spans="54:55" x14ac:dyDescent="0.2">
      <c r="BB2603" s="9" t="s">
        <v>1252</v>
      </c>
      <c r="BC2603" s="1005">
        <v>101</v>
      </c>
    </row>
    <row r="2604" spans="54:55" x14ac:dyDescent="0.2">
      <c r="BB2604" s="9" t="s">
        <v>1252</v>
      </c>
      <c r="BC2604" s="1005">
        <v>102</v>
      </c>
    </row>
    <row r="2605" spans="54:55" x14ac:dyDescent="0.2">
      <c r="BB2605" s="9" t="s">
        <v>1252</v>
      </c>
      <c r="BC2605" s="1005">
        <v>103</v>
      </c>
    </row>
    <row r="2606" spans="54:55" x14ac:dyDescent="0.2">
      <c r="BB2606" s="9" t="s">
        <v>1252</v>
      </c>
      <c r="BC2606" s="1005">
        <v>104</v>
      </c>
    </row>
    <row r="2607" spans="54:55" x14ac:dyDescent="0.2">
      <c r="BB2607" s="9" t="s">
        <v>1252</v>
      </c>
      <c r="BC2607" s="1005">
        <v>105</v>
      </c>
    </row>
    <row r="2608" spans="54:55" x14ac:dyDescent="0.2">
      <c r="BB2608" s="9" t="s">
        <v>1252</v>
      </c>
      <c r="BC2608" s="1005">
        <v>106</v>
      </c>
    </row>
    <row r="2609" spans="54:55" x14ac:dyDescent="0.2">
      <c r="BB2609" s="9" t="s">
        <v>1252</v>
      </c>
      <c r="BC2609" s="1005">
        <v>107</v>
      </c>
    </row>
    <row r="2610" spans="54:55" x14ac:dyDescent="0.2">
      <c r="BB2610" s="9" t="s">
        <v>1252</v>
      </c>
      <c r="BC2610" s="1005">
        <v>108</v>
      </c>
    </row>
    <row r="2611" spans="54:55" x14ac:dyDescent="0.2">
      <c r="BB2611" s="9" t="s">
        <v>1252</v>
      </c>
      <c r="BC2611" s="1005">
        <v>109</v>
      </c>
    </row>
    <row r="2612" spans="54:55" x14ac:dyDescent="0.2">
      <c r="BB2612" s="9" t="s">
        <v>1252</v>
      </c>
      <c r="BC2612" s="1005">
        <v>110</v>
      </c>
    </row>
    <row r="2613" spans="54:55" x14ac:dyDescent="0.2">
      <c r="BB2613" s="9" t="s">
        <v>1252</v>
      </c>
      <c r="BC2613" s="1005">
        <v>111</v>
      </c>
    </row>
    <row r="2614" spans="54:55" x14ac:dyDescent="0.2">
      <c r="BB2614" s="9" t="s">
        <v>1252</v>
      </c>
      <c r="BC2614" s="1005">
        <v>112</v>
      </c>
    </row>
    <row r="2615" spans="54:55" x14ac:dyDescent="0.2">
      <c r="BB2615" s="9" t="s">
        <v>1252</v>
      </c>
      <c r="BC2615" s="1005">
        <v>113</v>
      </c>
    </row>
    <row r="2616" spans="54:55" x14ac:dyDescent="0.2">
      <c r="BB2616" s="9" t="s">
        <v>1252</v>
      </c>
      <c r="BC2616" s="1005">
        <v>114</v>
      </c>
    </row>
    <row r="2617" spans="54:55" x14ac:dyDescent="0.2">
      <c r="BB2617" s="9" t="s">
        <v>1252</v>
      </c>
      <c r="BC2617" s="1005">
        <v>115</v>
      </c>
    </row>
    <row r="2618" spans="54:55" x14ac:dyDescent="0.2">
      <c r="BB2618" s="9" t="s">
        <v>1252</v>
      </c>
      <c r="BC2618" s="1005">
        <v>116</v>
      </c>
    </row>
    <row r="2619" spans="54:55" x14ac:dyDescent="0.2">
      <c r="BB2619" s="9" t="s">
        <v>1252</v>
      </c>
      <c r="BC2619" s="1005">
        <v>117</v>
      </c>
    </row>
    <row r="2620" spans="54:55" x14ac:dyDescent="0.2">
      <c r="BB2620" s="9" t="s">
        <v>1252</v>
      </c>
      <c r="BC2620" s="1005">
        <v>118</v>
      </c>
    </row>
    <row r="2621" spans="54:55" x14ac:dyDescent="0.2">
      <c r="BB2621" s="9" t="s">
        <v>1252</v>
      </c>
      <c r="BC2621" s="1005">
        <v>119</v>
      </c>
    </row>
    <row r="2622" spans="54:55" x14ac:dyDescent="0.2">
      <c r="BB2622" s="9" t="s">
        <v>1252</v>
      </c>
      <c r="BC2622" s="1005">
        <v>120</v>
      </c>
    </row>
    <row r="2623" spans="54:55" x14ac:dyDescent="0.2">
      <c r="BB2623" s="9" t="s">
        <v>1252</v>
      </c>
      <c r="BC2623" s="1005">
        <v>121</v>
      </c>
    </row>
    <row r="2624" spans="54:55" x14ac:dyDescent="0.2">
      <c r="BB2624" s="9" t="s">
        <v>1252</v>
      </c>
      <c r="BC2624" s="1005">
        <v>122</v>
      </c>
    </row>
    <row r="2625" spans="54:55" x14ac:dyDescent="0.2">
      <c r="BB2625" s="9" t="s">
        <v>1252</v>
      </c>
      <c r="BC2625" s="1005">
        <v>123</v>
      </c>
    </row>
    <row r="2626" spans="54:55" x14ac:dyDescent="0.2">
      <c r="BB2626" s="9" t="s">
        <v>1252</v>
      </c>
      <c r="BC2626" s="1005">
        <v>124</v>
      </c>
    </row>
    <row r="2627" spans="54:55" x14ac:dyDescent="0.2">
      <c r="BB2627" s="9" t="s">
        <v>1252</v>
      </c>
      <c r="BC2627" s="1005">
        <v>125</v>
      </c>
    </row>
    <row r="2628" spans="54:55" x14ac:dyDescent="0.2">
      <c r="BB2628" s="9" t="s">
        <v>1252</v>
      </c>
      <c r="BC2628" s="1005">
        <v>126</v>
      </c>
    </row>
    <row r="2629" spans="54:55" x14ac:dyDescent="0.2">
      <c r="BB2629" s="9" t="s">
        <v>1252</v>
      </c>
      <c r="BC2629" s="1005">
        <v>127</v>
      </c>
    </row>
    <row r="2630" spans="54:55" x14ac:dyDescent="0.2">
      <c r="BB2630" s="9" t="s">
        <v>1252</v>
      </c>
      <c r="BC2630" s="1005">
        <v>128</v>
      </c>
    </row>
    <row r="2631" spans="54:55" x14ac:dyDescent="0.2">
      <c r="BB2631" s="9" t="s">
        <v>1252</v>
      </c>
      <c r="BC2631" s="1005">
        <v>129</v>
      </c>
    </row>
    <row r="2632" spans="54:55" x14ac:dyDescent="0.2">
      <c r="BB2632" s="9" t="s">
        <v>1252</v>
      </c>
      <c r="BC2632" s="1005">
        <v>130</v>
      </c>
    </row>
    <row r="2633" spans="54:55" x14ac:dyDescent="0.2">
      <c r="BB2633" s="9" t="s">
        <v>1252</v>
      </c>
      <c r="BC2633" s="1005">
        <v>131</v>
      </c>
    </row>
    <row r="2634" spans="54:55" x14ac:dyDescent="0.2">
      <c r="BB2634" s="9" t="s">
        <v>1252</v>
      </c>
      <c r="BC2634" s="1005">
        <v>132</v>
      </c>
    </row>
    <row r="2635" spans="54:55" x14ac:dyDescent="0.2">
      <c r="BB2635" s="9" t="s">
        <v>1252</v>
      </c>
      <c r="BC2635" s="1005">
        <v>133</v>
      </c>
    </row>
    <row r="2636" spans="54:55" x14ac:dyDescent="0.2">
      <c r="BB2636" s="9" t="s">
        <v>1252</v>
      </c>
      <c r="BC2636" s="1005">
        <v>134</v>
      </c>
    </row>
    <row r="2637" spans="54:55" x14ac:dyDescent="0.2">
      <c r="BB2637" s="9" t="s">
        <v>1252</v>
      </c>
      <c r="BC2637" s="1005">
        <v>135</v>
      </c>
    </row>
    <row r="2638" spans="54:55" x14ac:dyDescent="0.2">
      <c r="BB2638" s="9" t="s">
        <v>1252</v>
      </c>
      <c r="BC2638" s="1005">
        <v>136</v>
      </c>
    </row>
    <row r="2639" spans="54:55" x14ac:dyDescent="0.2">
      <c r="BB2639" s="9" t="s">
        <v>1252</v>
      </c>
      <c r="BC2639" s="1005">
        <v>137</v>
      </c>
    </row>
    <row r="2640" spans="54:55" x14ac:dyDescent="0.2">
      <c r="BB2640" s="9" t="s">
        <v>1252</v>
      </c>
      <c r="BC2640" s="1005">
        <v>138</v>
      </c>
    </row>
    <row r="2641" spans="54:55" x14ac:dyDescent="0.2">
      <c r="BB2641" s="9" t="s">
        <v>1252</v>
      </c>
      <c r="BC2641" s="1005">
        <v>139</v>
      </c>
    </row>
    <row r="2642" spans="54:55" x14ac:dyDescent="0.2">
      <c r="BB2642" s="9" t="s">
        <v>1252</v>
      </c>
      <c r="BC2642" s="1005">
        <v>140</v>
      </c>
    </row>
    <row r="2643" spans="54:55" x14ac:dyDescent="0.2">
      <c r="BB2643" s="9" t="s">
        <v>1252</v>
      </c>
      <c r="BC2643" s="1005">
        <v>141</v>
      </c>
    </row>
    <row r="2644" spans="54:55" x14ac:dyDescent="0.2">
      <c r="BB2644" s="9" t="s">
        <v>1252</v>
      </c>
      <c r="BC2644" s="1005">
        <v>142</v>
      </c>
    </row>
    <row r="2645" spans="54:55" x14ac:dyDescent="0.2">
      <c r="BB2645" s="9" t="s">
        <v>1252</v>
      </c>
      <c r="BC2645" s="1005">
        <v>143</v>
      </c>
    </row>
    <row r="2646" spans="54:55" x14ac:dyDescent="0.2">
      <c r="BB2646" s="9" t="s">
        <v>1252</v>
      </c>
      <c r="BC2646" s="1005">
        <v>144</v>
      </c>
    </row>
    <row r="2647" spans="54:55" x14ac:dyDescent="0.2">
      <c r="BB2647" s="9" t="s">
        <v>1252</v>
      </c>
      <c r="BC2647" s="1005">
        <v>145</v>
      </c>
    </row>
    <row r="2648" spans="54:55" x14ac:dyDescent="0.2">
      <c r="BB2648" s="9" t="s">
        <v>1252</v>
      </c>
      <c r="BC2648" s="1005">
        <v>146</v>
      </c>
    </row>
    <row r="2649" spans="54:55" x14ac:dyDescent="0.2">
      <c r="BB2649" s="9" t="s">
        <v>1252</v>
      </c>
      <c r="BC2649" s="1005">
        <v>147</v>
      </c>
    </row>
    <row r="2650" spans="54:55" x14ac:dyDescent="0.2">
      <c r="BB2650" s="9" t="s">
        <v>1252</v>
      </c>
      <c r="BC2650" s="1005">
        <v>148</v>
      </c>
    </row>
    <row r="2651" spans="54:55" x14ac:dyDescent="0.2">
      <c r="BB2651" s="9" t="s">
        <v>1252</v>
      </c>
      <c r="BC2651" s="1005">
        <v>149</v>
      </c>
    </row>
    <row r="2652" spans="54:55" x14ac:dyDescent="0.2">
      <c r="BB2652" s="9" t="s">
        <v>1252</v>
      </c>
      <c r="BC2652" s="1005">
        <v>150</v>
      </c>
    </row>
    <row r="2653" spans="54:55" x14ac:dyDescent="0.2">
      <c r="BB2653" s="9" t="s">
        <v>1252</v>
      </c>
      <c r="BC2653" s="1005">
        <v>151</v>
      </c>
    </row>
    <row r="2654" spans="54:55" x14ac:dyDescent="0.2">
      <c r="BB2654" s="9" t="s">
        <v>1252</v>
      </c>
      <c r="BC2654" s="1005">
        <v>152</v>
      </c>
    </row>
    <row r="2655" spans="54:55" x14ac:dyDescent="0.2">
      <c r="BB2655" s="9" t="s">
        <v>1252</v>
      </c>
      <c r="BC2655" s="1005">
        <v>153</v>
      </c>
    </row>
    <row r="2656" spans="54:55" x14ac:dyDescent="0.2">
      <c r="BB2656" s="9" t="s">
        <v>1252</v>
      </c>
      <c r="BC2656" s="1005">
        <v>154</v>
      </c>
    </row>
    <row r="2657" spans="54:55" x14ac:dyDescent="0.2">
      <c r="BB2657" s="9" t="s">
        <v>1252</v>
      </c>
      <c r="BC2657" s="1005">
        <v>155</v>
      </c>
    </row>
    <row r="2658" spans="54:55" x14ac:dyDescent="0.2">
      <c r="BB2658" s="9" t="s">
        <v>1252</v>
      </c>
      <c r="BC2658" s="1005">
        <v>156</v>
      </c>
    </row>
    <row r="2659" spans="54:55" x14ac:dyDescent="0.2">
      <c r="BB2659" s="9" t="s">
        <v>1252</v>
      </c>
      <c r="BC2659" s="1005">
        <v>157</v>
      </c>
    </row>
    <row r="2660" spans="54:55" x14ac:dyDescent="0.2">
      <c r="BB2660" s="9" t="s">
        <v>1252</v>
      </c>
      <c r="BC2660" s="1005">
        <v>158</v>
      </c>
    </row>
    <row r="2661" spans="54:55" x14ac:dyDescent="0.2">
      <c r="BB2661" s="9" t="s">
        <v>1252</v>
      </c>
      <c r="BC2661" s="1005">
        <v>159</v>
      </c>
    </row>
    <row r="2662" spans="54:55" x14ac:dyDescent="0.2">
      <c r="BB2662" s="9" t="s">
        <v>1252</v>
      </c>
      <c r="BC2662" s="1005">
        <v>160</v>
      </c>
    </row>
    <row r="2663" spans="54:55" x14ac:dyDescent="0.2">
      <c r="BB2663" s="9" t="s">
        <v>1255</v>
      </c>
      <c r="BC2663" s="1005">
        <v>100</v>
      </c>
    </row>
    <row r="2664" spans="54:55" x14ac:dyDescent="0.2">
      <c r="BB2664" s="9" t="s">
        <v>1255</v>
      </c>
      <c r="BC2664" s="1005">
        <v>101</v>
      </c>
    </row>
    <row r="2665" spans="54:55" x14ac:dyDescent="0.2">
      <c r="BB2665" s="9" t="s">
        <v>1255</v>
      </c>
      <c r="BC2665" s="1005">
        <v>102</v>
      </c>
    </row>
    <row r="2666" spans="54:55" x14ac:dyDescent="0.2">
      <c r="BB2666" s="9" t="s">
        <v>1255</v>
      </c>
      <c r="BC2666" s="1005">
        <v>103</v>
      </c>
    </row>
    <row r="2667" spans="54:55" x14ac:dyDescent="0.2">
      <c r="BB2667" s="9" t="s">
        <v>1255</v>
      </c>
      <c r="BC2667" s="1005">
        <v>104</v>
      </c>
    </row>
    <row r="2668" spans="54:55" x14ac:dyDescent="0.2">
      <c r="BB2668" s="9" t="s">
        <v>1255</v>
      </c>
      <c r="BC2668" s="1005">
        <v>105</v>
      </c>
    </row>
    <row r="2669" spans="54:55" x14ac:dyDescent="0.2">
      <c r="BB2669" s="9" t="s">
        <v>1255</v>
      </c>
      <c r="BC2669" s="1005">
        <v>106</v>
      </c>
    </row>
    <row r="2670" spans="54:55" x14ac:dyDescent="0.2">
      <c r="BB2670" s="9" t="s">
        <v>1255</v>
      </c>
      <c r="BC2670" s="1005">
        <v>107</v>
      </c>
    </row>
    <row r="2671" spans="54:55" x14ac:dyDescent="0.2">
      <c r="BB2671" s="9" t="s">
        <v>1255</v>
      </c>
      <c r="BC2671" s="1005">
        <v>108</v>
      </c>
    </row>
    <row r="2672" spans="54:55" x14ac:dyDescent="0.2">
      <c r="BB2672" s="9" t="s">
        <v>1255</v>
      </c>
      <c r="BC2672" s="1005">
        <v>109</v>
      </c>
    </row>
    <row r="2673" spans="54:55" x14ac:dyDescent="0.2">
      <c r="BB2673" s="9" t="s">
        <v>1255</v>
      </c>
      <c r="BC2673" s="1005">
        <v>110</v>
      </c>
    </row>
    <row r="2674" spans="54:55" x14ac:dyDescent="0.2">
      <c r="BB2674" s="9" t="s">
        <v>1255</v>
      </c>
      <c r="BC2674" s="1005">
        <v>111</v>
      </c>
    </row>
    <row r="2675" spans="54:55" x14ac:dyDescent="0.2">
      <c r="BB2675" s="9" t="s">
        <v>1255</v>
      </c>
      <c r="BC2675" s="1005">
        <v>112</v>
      </c>
    </row>
    <row r="2676" spans="54:55" x14ac:dyDescent="0.2">
      <c r="BB2676" s="9" t="s">
        <v>1255</v>
      </c>
      <c r="BC2676" s="1005">
        <v>113</v>
      </c>
    </row>
    <row r="2677" spans="54:55" x14ac:dyDescent="0.2">
      <c r="BB2677" s="9" t="s">
        <v>1255</v>
      </c>
      <c r="BC2677" s="1005">
        <v>114</v>
      </c>
    </row>
    <row r="2678" spans="54:55" x14ac:dyDescent="0.2">
      <c r="BB2678" s="9" t="s">
        <v>1255</v>
      </c>
      <c r="BC2678" s="1005">
        <v>115</v>
      </c>
    </row>
    <row r="2679" spans="54:55" x14ac:dyDescent="0.2">
      <c r="BB2679" s="9" t="s">
        <v>1255</v>
      </c>
      <c r="BC2679" s="1005">
        <v>116</v>
      </c>
    </row>
    <row r="2680" spans="54:55" x14ac:dyDescent="0.2">
      <c r="BB2680" s="9" t="s">
        <v>1255</v>
      </c>
      <c r="BC2680" s="1005">
        <v>117</v>
      </c>
    </row>
    <row r="2681" spans="54:55" x14ac:dyDescent="0.2">
      <c r="BB2681" s="9" t="s">
        <v>1255</v>
      </c>
      <c r="BC2681" s="1005">
        <v>118</v>
      </c>
    </row>
    <row r="2682" spans="54:55" x14ac:dyDescent="0.2">
      <c r="BB2682" s="9" t="s">
        <v>1255</v>
      </c>
      <c r="BC2682" s="1005">
        <v>119</v>
      </c>
    </row>
    <row r="2683" spans="54:55" x14ac:dyDescent="0.2">
      <c r="BB2683" s="9" t="s">
        <v>1255</v>
      </c>
      <c r="BC2683" s="1005">
        <v>120</v>
      </c>
    </row>
    <row r="2684" spans="54:55" x14ac:dyDescent="0.2">
      <c r="BB2684" s="9" t="s">
        <v>1255</v>
      </c>
      <c r="BC2684" s="1005">
        <v>121</v>
      </c>
    </row>
    <row r="2685" spans="54:55" x14ac:dyDescent="0.2">
      <c r="BB2685" s="9" t="s">
        <v>1255</v>
      </c>
      <c r="BC2685" s="1005">
        <v>122</v>
      </c>
    </row>
    <row r="2686" spans="54:55" x14ac:dyDescent="0.2">
      <c r="BB2686" s="9" t="s">
        <v>1255</v>
      </c>
      <c r="BC2686" s="1005">
        <v>123</v>
      </c>
    </row>
    <row r="2687" spans="54:55" x14ac:dyDescent="0.2">
      <c r="BB2687" s="9" t="s">
        <v>1255</v>
      </c>
      <c r="BC2687" s="1005">
        <v>124</v>
      </c>
    </row>
    <row r="2688" spans="54:55" x14ac:dyDescent="0.2">
      <c r="BB2688" s="9" t="s">
        <v>1255</v>
      </c>
      <c r="BC2688" s="1005">
        <v>125</v>
      </c>
    </row>
    <row r="2689" spans="54:55" x14ac:dyDescent="0.2">
      <c r="BB2689" s="9" t="s">
        <v>1255</v>
      </c>
      <c r="BC2689" s="1005">
        <v>126</v>
      </c>
    </row>
    <row r="2690" spans="54:55" x14ac:dyDescent="0.2">
      <c r="BB2690" s="9" t="s">
        <v>1255</v>
      </c>
      <c r="BC2690" s="1005">
        <v>127</v>
      </c>
    </row>
    <row r="2691" spans="54:55" x14ac:dyDescent="0.2">
      <c r="BB2691" s="9" t="s">
        <v>1255</v>
      </c>
      <c r="BC2691" s="1005">
        <v>128</v>
      </c>
    </row>
    <row r="2692" spans="54:55" x14ac:dyDescent="0.2">
      <c r="BB2692" s="9" t="s">
        <v>1255</v>
      </c>
      <c r="BC2692" s="1005">
        <v>129</v>
      </c>
    </row>
    <row r="2693" spans="54:55" x14ac:dyDescent="0.2">
      <c r="BB2693" s="9" t="s">
        <v>1255</v>
      </c>
      <c r="BC2693" s="1005">
        <v>130</v>
      </c>
    </row>
    <row r="2694" spans="54:55" x14ac:dyDescent="0.2">
      <c r="BB2694" s="9" t="s">
        <v>1255</v>
      </c>
      <c r="BC2694" s="1005">
        <v>131</v>
      </c>
    </row>
    <row r="2695" spans="54:55" x14ac:dyDescent="0.2">
      <c r="BB2695" s="9" t="s">
        <v>1255</v>
      </c>
      <c r="BC2695" s="1005">
        <v>132</v>
      </c>
    </row>
    <row r="2696" spans="54:55" x14ac:dyDescent="0.2">
      <c r="BB2696" s="9" t="s">
        <v>1255</v>
      </c>
      <c r="BC2696" s="1005">
        <v>133</v>
      </c>
    </row>
    <row r="2697" spans="54:55" x14ac:dyDescent="0.2">
      <c r="BB2697" s="9" t="s">
        <v>1255</v>
      </c>
      <c r="BC2697" s="1005">
        <v>134</v>
      </c>
    </row>
    <row r="2698" spans="54:55" x14ac:dyDescent="0.2">
      <c r="BB2698" s="9" t="s">
        <v>1255</v>
      </c>
      <c r="BC2698" s="1005">
        <v>135</v>
      </c>
    </row>
    <row r="2699" spans="54:55" x14ac:dyDescent="0.2">
      <c r="BB2699" s="9" t="s">
        <v>1255</v>
      </c>
      <c r="BC2699" s="1005">
        <v>136</v>
      </c>
    </row>
    <row r="2700" spans="54:55" x14ac:dyDescent="0.2">
      <c r="BB2700" s="9" t="s">
        <v>1255</v>
      </c>
      <c r="BC2700" s="1005">
        <v>137</v>
      </c>
    </row>
    <row r="2701" spans="54:55" x14ac:dyDescent="0.2">
      <c r="BB2701" s="9" t="s">
        <v>1255</v>
      </c>
      <c r="BC2701" s="1005">
        <v>138</v>
      </c>
    </row>
    <row r="2702" spans="54:55" x14ac:dyDescent="0.2">
      <c r="BB2702" s="9" t="s">
        <v>1255</v>
      </c>
      <c r="BC2702" s="1005">
        <v>139</v>
      </c>
    </row>
    <row r="2703" spans="54:55" x14ac:dyDescent="0.2">
      <c r="BB2703" s="9" t="s">
        <v>1255</v>
      </c>
      <c r="BC2703" s="1005">
        <v>140</v>
      </c>
    </row>
    <row r="2704" spans="54:55" x14ac:dyDescent="0.2">
      <c r="BB2704" s="9" t="s">
        <v>1255</v>
      </c>
      <c r="BC2704" s="1005">
        <v>141</v>
      </c>
    </row>
    <row r="2705" spans="54:55" x14ac:dyDescent="0.2">
      <c r="BB2705" s="9" t="s">
        <v>1255</v>
      </c>
      <c r="BC2705" s="1005">
        <v>142</v>
      </c>
    </row>
    <row r="2706" spans="54:55" x14ac:dyDescent="0.2">
      <c r="BB2706" s="9" t="s">
        <v>1255</v>
      </c>
      <c r="BC2706" s="1005">
        <v>143</v>
      </c>
    </row>
    <row r="2707" spans="54:55" x14ac:dyDescent="0.2">
      <c r="BB2707" s="9" t="s">
        <v>1255</v>
      </c>
      <c r="BC2707" s="1005">
        <v>144</v>
      </c>
    </row>
    <row r="2708" spans="54:55" x14ac:dyDescent="0.2">
      <c r="BB2708" s="9" t="s">
        <v>1255</v>
      </c>
      <c r="BC2708" s="1005">
        <v>145</v>
      </c>
    </row>
    <row r="2709" spans="54:55" x14ac:dyDescent="0.2">
      <c r="BB2709" s="9" t="s">
        <v>1255</v>
      </c>
      <c r="BC2709" s="1005">
        <v>146</v>
      </c>
    </row>
    <row r="2710" spans="54:55" x14ac:dyDescent="0.2">
      <c r="BB2710" s="9" t="s">
        <v>1255</v>
      </c>
      <c r="BC2710" s="1005">
        <v>147</v>
      </c>
    </row>
    <row r="2711" spans="54:55" x14ac:dyDescent="0.2">
      <c r="BB2711" s="9" t="s">
        <v>1255</v>
      </c>
      <c r="BC2711" s="1005">
        <v>148</v>
      </c>
    </row>
    <row r="2712" spans="54:55" x14ac:dyDescent="0.2">
      <c r="BB2712" s="9" t="s">
        <v>1255</v>
      </c>
      <c r="BC2712" s="1005">
        <v>149</v>
      </c>
    </row>
    <row r="2713" spans="54:55" x14ac:dyDescent="0.2">
      <c r="BB2713" s="9" t="s">
        <v>1255</v>
      </c>
      <c r="BC2713" s="1005">
        <v>150</v>
      </c>
    </row>
    <row r="2714" spans="54:55" x14ac:dyDescent="0.2">
      <c r="BB2714" s="9" t="s">
        <v>1255</v>
      </c>
      <c r="BC2714" s="1005">
        <v>151</v>
      </c>
    </row>
    <row r="2715" spans="54:55" x14ac:dyDescent="0.2">
      <c r="BB2715" s="9" t="s">
        <v>1255</v>
      </c>
      <c r="BC2715" s="1005">
        <v>152</v>
      </c>
    </row>
    <row r="2716" spans="54:55" x14ac:dyDescent="0.2">
      <c r="BB2716" s="9" t="s">
        <v>1255</v>
      </c>
      <c r="BC2716" s="1005">
        <v>153</v>
      </c>
    </row>
    <row r="2717" spans="54:55" x14ac:dyDescent="0.2">
      <c r="BB2717" s="9" t="s">
        <v>1255</v>
      </c>
      <c r="BC2717" s="1005">
        <v>154</v>
      </c>
    </row>
    <row r="2718" spans="54:55" x14ac:dyDescent="0.2">
      <c r="BB2718" s="9" t="s">
        <v>1255</v>
      </c>
      <c r="BC2718" s="1005">
        <v>155</v>
      </c>
    </row>
    <row r="2719" spans="54:55" x14ac:dyDescent="0.2">
      <c r="BB2719" s="9" t="s">
        <v>1255</v>
      </c>
      <c r="BC2719" s="1005">
        <v>156</v>
      </c>
    </row>
    <row r="2720" spans="54:55" x14ac:dyDescent="0.2">
      <c r="BB2720" s="9" t="s">
        <v>1255</v>
      </c>
      <c r="BC2720" s="1005">
        <v>157</v>
      </c>
    </row>
    <row r="2721" spans="54:55" x14ac:dyDescent="0.2">
      <c r="BB2721" s="9" t="s">
        <v>1255</v>
      </c>
      <c r="BC2721" s="1005">
        <v>158</v>
      </c>
    </row>
    <row r="2722" spans="54:55" x14ac:dyDescent="0.2">
      <c r="BB2722" s="9" t="s">
        <v>1255</v>
      </c>
      <c r="BC2722" s="1005">
        <v>159</v>
      </c>
    </row>
    <row r="2723" spans="54:55" x14ac:dyDescent="0.2">
      <c r="BB2723" s="9" t="s">
        <v>1255</v>
      </c>
      <c r="BC2723" s="1005">
        <v>160</v>
      </c>
    </row>
    <row r="2724" spans="54:55" x14ac:dyDescent="0.2">
      <c r="BB2724" s="9" t="s">
        <v>1255</v>
      </c>
      <c r="BC2724" s="1005">
        <v>161</v>
      </c>
    </row>
    <row r="2725" spans="54:55" x14ac:dyDescent="0.2">
      <c r="BB2725" s="9" t="s">
        <v>1255</v>
      </c>
      <c r="BC2725" s="1005">
        <v>162</v>
      </c>
    </row>
    <row r="2726" spans="54:55" x14ac:dyDescent="0.2">
      <c r="BB2726" s="9" t="s">
        <v>1255</v>
      </c>
      <c r="BC2726" s="1005">
        <v>163</v>
      </c>
    </row>
    <row r="2727" spans="54:55" x14ac:dyDescent="0.2">
      <c r="BB2727" s="9" t="s">
        <v>1255</v>
      </c>
      <c r="BC2727" s="1005">
        <v>164</v>
      </c>
    </row>
    <row r="2728" spans="54:55" x14ac:dyDescent="0.2">
      <c r="BB2728" s="9" t="s">
        <v>1255</v>
      </c>
      <c r="BC2728" s="1005">
        <v>165</v>
      </c>
    </row>
    <row r="2729" spans="54:55" x14ac:dyDescent="0.2">
      <c r="BB2729" s="9" t="s">
        <v>1255</v>
      </c>
      <c r="BC2729" s="1005">
        <v>166</v>
      </c>
    </row>
    <row r="2730" spans="54:55" x14ac:dyDescent="0.2">
      <c r="BB2730" s="9" t="s">
        <v>1255</v>
      </c>
      <c r="BC2730" s="1005">
        <v>167</v>
      </c>
    </row>
    <row r="2731" spans="54:55" x14ac:dyDescent="0.2">
      <c r="BB2731" s="9" t="s">
        <v>1255</v>
      </c>
      <c r="BC2731" s="1005">
        <v>168</v>
      </c>
    </row>
    <row r="2732" spans="54:55" x14ac:dyDescent="0.2">
      <c r="BB2732" s="9" t="s">
        <v>1255</v>
      </c>
      <c r="BC2732" s="1005">
        <v>169</v>
      </c>
    </row>
    <row r="2733" spans="54:55" x14ac:dyDescent="0.2">
      <c r="BB2733" s="9" t="s">
        <v>1255</v>
      </c>
      <c r="BC2733" s="1005">
        <v>170</v>
      </c>
    </row>
    <row r="2734" spans="54:55" x14ac:dyDescent="0.2">
      <c r="BB2734" s="9" t="s">
        <v>1255</v>
      </c>
      <c r="BC2734" s="1005">
        <v>171</v>
      </c>
    </row>
    <row r="2735" spans="54:55" x14ac:dyDescent="0.2">
      <c r="BB2735" s="9" t="s">
        <v>1255</v>
      </c>
      <c r="BC2735" s="1005">
        <v>172</v>
      </c>
    </row>
    <row r="2736" spans="54:55" x14ac:dyDescent="0.2">
      <c r="BB2736" s="9" t="s">
        <v>1255</v>
      </c>
      <c r="BC2736" s="1005">
        <v>173</v>
      </c>
    </row>
    <row r="2737" spans="54:55" x14ac:dyDescent="0.2">
      <c r="BB2737" s="9" t="s">
        <v>1255</v>
      </c>
      <c r="BC2737" s="1005">
        <v>174</v>
      </c>
    </row>
    <row r="2738" spans="54:55" x14ac:dyDescent="0.2">
      <c r="BB2738" s="9" t="s">
        <v>1255</v>
      </c>
      <c r="BC2738" s="1005">
        <v>175</v>
      </c>
    </row>
    <row r="2739" spans="54:55" x14ac:dyDescent="0.2">
      <c r="BB2739" s="9" t="s">
        <v>1255</v>
      </c>
      <c r="BC2739" s="1005">
        <v>176</v>
      </c>
    </row>
    <row r="2740" spans="54:55" x14ac:dyDescent="0.2">
      <c r="BB2740" s="9" t="s">
        <v>1255</v>
      </c>
      <c r="BC2740" s="1005">
        <v>177</v>
      </c>
    </row>
    <row r="2741" spans="54:55" x14ac:dyDescent="0.2">
      <c r="BB2741" s="9" t="s">
        <v>1255</v>
      </c>
      <c r="BC2741" s="1005">
        <v>178</v>
      </c>
    </row>
    <row r="2742" spans="54:55" x14ac:dyDescent="0.2">
      <c r="BB2742" s="9" t="s">
        <v>1255</v>
      </c>
      <c r="BC2742" s="1005">
        <v>179</v>
      </c>
    </row>
    <row r="2743" spans="54:55" x14ac:dyDescent="0.2">
      <c r="BB2743" s="9" t="s">
        <v>1255</v>
      </c>
      <c r="BC2743" s="1005">
        <v>180</v>
      </c>
    </row>
    <row r="2744" spans="54:55" x14ac:dyDescent="0.2">
      <c r="BB2744" s="9" t="s">
        <v>1255</v>
      </c>
      <c r="BC2744" s="1005">
        <v>181</v>
      </c>
    </row>
    <row r="2745" spans="54:55" x14ac:dyDescent="0.2">
      <c r="BB2745" s="9" t="s">
        <v>1255</v>
      </c>
      <c r="BC2745" s="1005">
        <v>182</v>
      </c>
    </row>
    <row r="2746" spans="54:55" x14ac:dyDescent="0.2">
      <c r="BB2746" s="9" t="s">
        <v>1255</v>
      </c>
      <c r="BC2746" s="1005">
        <v>183</v>
      </c>
    </row>
    <row r="2747" spans="54:55" x14ac:dyDescent="0.2">
      <c r="BB2747" s="9" t="s">
        <v>1255</v>
      </c>
      <c r="BC2747" s="1005">
        <v>184</v>
      </c>
    </row>
    <row r="2748" spans="54:55" x14ac:dyDescent="0.2">
      <c r="BB2748" s="9" t="s">
        <v>1255</v>
      </c>
      <c r="BC2748" s="1005">
        <v>185</v>
      </c>
    </row>
    <row r="2749" spans="54:55" x14ac:dyDescent="0.2">
      <c r="BB2749" s="9" t="s">
        <v>1255</v>
      </c>
      <c r="BC2749" s="1005">
        <v>186</v>
      </c>
    </row>
    <row r="2750" spans="54:55" x14ac:dyDescent="0.2">
      <c r="BB2750" s="9" t="s">
        <v>1255</v>
      </c>
      <c r="BC2750" s="1005">
        <v>187</v>
      </c>
    </row>
    <row r="2751" spans="54:55" x14ac:dyDescent="0.2">
      <c r="BB2751" s="9" t="s">
        <v>1255</v>
      </c>
      <c r="BC2751" s="1005">
        <v>188</v>
      </c>
    </row>
    <row r="2752" spans="54:55" x14ac:dyDescent="0.2">
      <c r="BB2752" s="9" t="s">
        <v>1255</v>
      </c>
      <c r="BC2752" s="1005">
        <v>189</v>
      </c>
    </row>
    <row r="2753" spans="54:55" x14ac:dyDescent="0.2">
      <c r="BB2753" s="9" t="s">
        <v>1255</v>
      </c>
      <c r="BC2753" s="1005">
        <v>190</v>
      </c>
    </row>
    <row r="2754" spans="54:55" x14ac:dyDescent="0.2">
      <c r="BB2754" s="9" t="s">
        <v>1255</v>
      </c>
      <c r="BC2754" s="1005">
        <v>191</v>
      </c>
    </row>
    <row r="2755" spans="54:55" x14ac:dyDescent="0.2">
      <c r="BB2755" s="9" t="s">
        <v>1255</v>
      </c>
      <c r="BC2755" s="1005">
        <v>192</v>
      </c>
    </row>
    <row r="2756" spans="54:55" x14ac:dyDescent="0.2">
      <c r="BB2756" s="9" t="s">
        <v>1255</v>
      </c>
      <c r="BC2756" s="1005">
        <v>193</v>
      </c>
    </row>
    <row r="2757" spans="54:55" x14ac:dyDescent="0.2">
      <c r="BB2757" s="9" t="s">
        <v>1255</v>
      </c>
      <c r="BC2757" s="1005">
        <v>194</v>
      </c>
    </row>
    <row r="2758" spans="54:55" x14ac:dyDescent="0.2">
      <c r="BB2758" s="9" t="s">
        <v>1255</v>
      </c>
      <c r="BC2758" s="1005">
        <v>195</v>
      </c>
    </row>
    <row r="2759" spans="54:55" x14ac:dyDescent="0.2">
      <c r="BB2759" s="9" t="s">
        <v>1255</v>
      </c>
      <c r="BC2759" s="1005">
        <v>196</v>
      </c>
    </row>
    <row r="2760" spans="54:55" x14ac:dyDescent="0.2">
      <c r="BB2760" s="9" t="s">
        <v>1255</v>
      </c>
      <c r="BC2760" s="1005">
        <v>197</v>
      </c>
    </row>
    <row r="2761" spans="54:55" x14ac:dyDescent="0.2">
      <c r="BB2761" s="9" t="s">
        <v>1255</v>
      </c>
      <c r="BC2761" s="1005">
        <v>198</v>
      </c>
    </row>
    <row r="2762" spans="54:55" x14ac:dyDescent="0.2">
      <c r="BB2762" s="9" t="s">
        <v>1255</v>
      </c>
      <c r="BC2762" s="1005">
        <v>199</v>
      </c>
    </row>
    <row r="2763" spans="54:55" x14ac:dyDescent="0.2">
      <c r="BB2763" s="9" t="s">
        <v>1255</v>
      </c>
      <c r="BC2763" s="1005">
        <v>200</v>
      </c>
    </row>
    <row r="2764" spans="54:55" x14ac:dyDescent="0.2">
      <c r="BB2764" s="9" t="s">
        <v>1255</v>
      </c>
      <c r="BC2764" s="1005">
        <v>201</v>
      </c>
    </row>
    <row r="2765" spans="54:55" x14ac:dyDescent="0.2">
      <c r="BB2765" s="9" t="s">
        <v>1255</v>
      </c>
      <c r="BC2765" s="1005">
        <v>202</v>
      </c>
    </row>
    <row r="2766" spans="54:55" x14ac:dyDescent="0.2">
      <c r="BB2766" s="9" t="s">
        <v>1255</v>
      </c>
      <c r="BC2766" s="1005">
        <v>203</v>
      </c>
    </row>
    <row r="2767" spans="54:55" x14ac:dyDescent="0.2">
      <c r="BB2767" s="9" t="s">
        <v>1255</v>
      </c>
      <c r="BC2767" s="1005">
        <v>204</v>
      </c>
    </row>
    <row r="2768" spans="54:55" x14ac:dyDescent="0.2">
      <c r="BB2768" s="9" t="s">
        <v>1255</v>
      </c>
      <c r="BC2768" s="1005">
        <v>205</v>
      </c>
    </row>
    <row r="2769" spans="54:55" x14ac:dyDescent="0.2">
      <c r="BB2769" s="9" t="s">
        <v>1255</v>
      </c>
      <c r="BC2769" s="1005">
        <v>206</v>
      </c>
    </row>
    <row r="2770" spans="54:55" x14ac:dyDescent="0.2">
      <c r="BB2770" s="9" t="s">
        <v>1255</v>
      </c>
      <c r="BC2770" s="1005">
        <v>207</v>
      </c>
    </row>
    <row r="2771" spans="54:55" x14ac:dyDescent="0.2">
      <c r="BB2771" s="9" t="s">
        <v>1255</v>
      </c>
      <c r="BC2771" s="1005">
        <v>208</v>
      </c>
    </row>
    <row r="2772" spans="54:55" x14ac:dyDescent="0.2">
      <c r="BB2772" s="9" t="s">
        <v>1255</v>
      </c>
      <c r="BC2772" s="1005">
        <v>209</v>
      </c>
    </row>
    <row r="2773" spans="54:55" x14ac:dyDescent="0.2">
      <c r="BB2773" s="9" t="s">
        <v>1255</v>
      </c>
      <c r="BC2773" s="1005">
        <v>210</v>
      </c>
    </row>
    <row r="2774" spans="54:55" x14ac:dyDescent="0.2">
      <c r="BB2774" s="9" t="s">
        <v>1255</v>
      </c>
      <c r="BC2774" s="1005">
        <v>211</v>
      </c>
    </row>
    <row r="2775" spans="54:55" x14ac:dyDescent="0.2">
      <c r="BB2775" s="9" t="s">
        <v>1255</v>
      </c>
      <c r="BC2775" s="1005">
        <v>212</v>
      </c>
    </row>
    <row r="2776" spans="54:55" x14ac:dyDescent="0.2">
      <c r="BB2776" s="9" t="s">
        <v>1255</v>
      </c>
      <c r="BC2776" s="1005">
        <v>213</v>
      </c>
    </row>
    <row r="2777" spans="54:55" x14ac:dyDescent="0.2">
      <c r="BB2777" s="9" t="s">
        <v>1255</v>
      </c>
      <c r="BC2777" s="1005">
        <v>214</v>
      </c>
    </row>
    <row r="2778" spans="54:55" x14ac:dyDescent="0.2">
      <c r="BB2778" s="9" t="s">
        <v>1255</v>
      </c>
      <c r="BC2778" s="1005">
        <v>215</v>
      </c>
    </row>
    <row r="2779" spans="54:55" x14ac:dyDescent="0.2">
      <c r="BB2779" s="9" t="s">
        <v>1255</v>
      </c>
      <c r="BC2779" s="1005">
        <v>216</v>
      </c>
    </row>
    <row r="2780" spans="54:55" x14ac:dyDescent="0.2">
      <c r="BB2780" s="9" t="s">
        <v>1255</v>
      </c>
      <c r="BC2780" s="1005">
        <v>217</v>
      </c>
    </row>
    <row r="2781" spans="54:55" x14ac:dyDescent="0.2">
      <c r="BB2781" s="9" t="s">
        <v>1255</v>
      </c>
      <c r="BC2781" s="1005">
        <v>218</v>
      </c>
    </row>
    <row r="2782" spans="54:55" x14ac:dyDescent="0.2">
      <c r="BB2782" s="9" t="s">
        <v>1255</v>
      </c>
      <c r="BC2782" s="1005">
        <v>219</v>
      </c>
    </row>
    <row r="2783" spans="54:55" x14ac:dyDescent="0.2">
      <c r="BB2783" s="9" t="s">
        <v>1255</v>
      </c>
      <c r="BC2783" s="1005">
        <v>220</v>
      </c>
    </row>
    <row r="2784" spans="54:55" x14ac:dyDescent="0.2">
      <c r="BB2784" s="9" t="s">
        <v>1255</v>
      </c>
      <c r="BC2784" s="1005">
        <v>221</v>
      </c>
    </row>
    <row r="2785" spans="54:55" x14ac:dyDescent="0.2">
      <c r="BB2785" s="9" t="s">
        <v>1255</v>
      </c>
      <c r="BC2785" s="1005">
        <v>222</v>
      </c>
    </row>
    <row r="2786" spans="54:55" x14ac:dyDescent="0.2">
      <c r="BB2786" s="9" t="s">
        <v>1255</v>
      </c>
      <c r="BC2786" s="1005">
        <v>223</v>
      </c>
    </row>
    <row r="2787" spans="54:55" x14ac:dyDescent="0.2">
      <c r="BB2787" s="9" t="s">
        <v>1255</v>
      </c>
      <c r="BC2787" s="1005">
        <v>224</v>
      </c>
    </row>
    <row r="2788" spans="54:55" x14ac:dyDescent="0.2">
      <c r="BB2788" s="9" t="s">
        <v>1255</v>
      </c>
      <c r="BC2788" s="1005">
        <v>225</v>
      </c>
    </row>
    <row r="2789" spans="54:55" x14ac:dyDescent="0.2">
      <c r="BB2789" s="9" t="s">
        <v>1255</v>
      </c>
      <c r="BC2789" s="1005">
        <v>226</v>
      </c>
    </row>
    <row r="2790" spans="54:55" x14ac:dyDescent="0.2">
      <c r="BB2790" s="9" t="s">
        <v>1255</v>
      </c>
      <c r="BC2790" s="1005">
        <v>227</v>
      </c>
    </row>
    <row r="2791" spans="54:55" x14ac:dyDescent="0.2">
      <c r="BB2791" s="9" t="s">
        <v>1255</v>
      </c>
      <c r="BC2791" s="1005">
        <v>228</v>
      </c>
    </row>
    <row r="2792" spans="54:55" x14ac:dyDescent="0.2">
      <c r="BB2792" s="9" t="s">
        <v>1255</v>
      </c>
      <c r="BC2792" s="1005">
        <v>229</v>
      </c>
    </row>
    <row r="2793" spans="54:55" x14ac:dyDescent="0.2">
      <c r="BB2793" s="9" t="s">
        <v>1255</v>
      </c>
      <c r="BC2793" s="1005">
        <v>230</v>
      </c>
    </row>
    <row r="2794" spans="54:55" x14ac:dyDescent="0.2">
      <c r="BB2794" s="9" t="s">
        <v>1255</v>
      </c>
      <c r="BC2794" s="1005">
        <v>231</v>
      </c>
    </row>
    <row r="2795" spans="54:55" x14ac:dyDescent="0.2">
      <c r="BB2795" s="9" t="s">
        <v>1255</v>
      </c>
      <c r="BC2795" s="1005">
        <v>232</v>
      </c>
    </row>
    <row r="2796" spans="54:55" x14ac:dyDescent="0.2">
      <c r="BB2796" s="9" t="s">
        <v>1255</v>
      </c>
      <c r="BC2796" s="1005">
        <v>233</v>
      </c>
    </row>
    <row r="2797" spans="54:55" x14ac:dyDescent="0.2">
      <c r="BB2797" s="9" t="s">
        <v>1255</v>
      </c>
      <c r="BC2797" s="1005">
        <v>234</v>
      </c>
    </row>
    <row r="2798" spans="54:55" x14ac:dyDescent="0.2">
      <c r="BB2798" s="9" t="s">
        <v>1255</v>
      </c>
      <c r="BC2798" s="1005">
        <v>235</v>
      </c>
    </row>
    <row r="2799" spans="54:55" x14ac:dyDescent="0.2">
      <c r="BB2799" s="9" t="s">
        <v>1255</v>
      </c>
      <c r="BC2799" s="1005">
        <v>236</v>
      </c>
    </row>
    <row r="2800" spans="54:55" x14ac:dyDescent="0.2">
      <c r="BB2800" s="9" t="s">
        <v>1255</v>
      </c>
      <c r="BC2800" s="1005">
        <v>237</v>
      </c>
    </row>
    <row r="2801" spans="54:55" x14ac:dyDescent="0.2">
      <c r="BB2801" s="9" t="s">
        <v>1255</v>
      </c>
      <c r="BC2801" s="1005">
        <v>238</v>
      </c>
    </row>
    <row r="2802" spans="54:55" x14ac:dyDescent="0.2">
      <c r="BB2802" s="9" t="s">
        <v>1255</v>
      </c>
      <c r="BC2802" s="1005">
        <v>239</v>
      </c>
    </row>
    <row r="2803" spans="54:55" x14ac:dyDescent="0.2">
      <c r="BB2803" s="9" t="s">
        <v>1255</v>
      </c>
      <c r="BC2803" s="1005">
        <v>240</v>
      </c>
    </row>
    <row r="2804" spans="54:55" x14ac:dyDescent="0.2">
      <c r="BB2804" s="9" t="s">
        <v>1255</v>
      </c>
      <c r="BC2804" s="1005">
        <v>241</v>
      </c>
    </row>
    <row r="2805" spans="54:55" x14ac:dyDescent="0.2">
      <c r="BB2805" s="9" t="s">
        <v>1255</v>
      </c>
      <c r="BC2805" s="1005">
        <v>242</v>
      </c>
    </row>
    <row r="2806" spans="54:55" x14ac:dyDescent="0.2">
      <c r="BB2806" s="9" t="s">
        <v>1255</v>
      </c>
      <c r="BC2806" s="1005">
        <v>243</v>
      </c>
    </row>
    <row r="2807" spans="54:55" x14ac:dyDescent="0.2">
      <c r="BB2807" s="9" t="s">
        <v>1255</v>
      </c>
      <c r="BC2807" s="1005">
        <v>244</v>
      </c>
    </row>
    <row r="2808" spans="54:55" x14ac:dyDescent="0.2">
      <c r="BB2808" s="9" t="s">
        <v>1255</v>
      </c>
      <c r="BC2808" s="1005">
        <v>245</v>
      </c>
    </row>
    <row r="2809" spans="54:55" x14ac:dyDescent="0.2">
      <c r="BB2809" s="9" t="s">
        <v>1255</v>
      </c>
      <c r="BC2809" s="1005">
        <v>246</v>
      </c>
    </row>
    <row r="2810" spans="54:55" x14ac:dyDescent="0.2">
      <c r="BB2810" s="9" t="s">
        <v>1255</v>
      </c>
      <c r="BC2810" s="1005">
        <v>247</v>
      </c>
    </row>
    <row r="2811" spans="54:55" x14ac:dyDescent="0.2">
      <c r="BB2811" s="9" t="s">
        <v>1255</v>
      </c>
      <c r="BC2811" s="1005">
        <v>248</v>
      </c>
    </row>
    <row r="2812" spans="54:55" x14ac:dyDescent="0.2">
      <c r="BB2812" s="9" t="s">
        <v>1255</v>
      </c>
      <c r="BC2812" s="1005">
        <v>249</v>
      </c>
    </row>
    <row r="2813" spans="54:55" x14ac:dyDescent="0.2">
      <c r="BB2813" s="9" t="s">
        <v>1255</v>
      </c>
      <c r="BC2813" s="1005">
        <v>250</v>
      </c>
    </row>
    <row r="2814" spans="54:55" x14ac:dyDescent="0.2">
      <c r="BB2814" s="9" t="s">
        <v>1258</v>
      </c>
      <c r="BC2814" s="1005">
        <v>160</v>
      </c>
    </row>
    <row r="2815" spans="54:55" x14ac:dyDescent="0.2">
      <c r="BB2815" s="9" t="s">
        <v>1258</v>
      </c>
      <c r="BC2815" s="1005">
        <v>161</v>
      </c>
    </row>
    <row r="2816" spans="54:55" x14ac:dyDescent="0.2">
      <c r="BB2816" s="9" t="s">
        <v>1258</v>
      </c>
      <c r="BC2816" s="1005">
        <v>162</v>
      </c>
    </row>
    <row r="2817" spans="54:55" x14ac:dyDescent="0.2">
      <c r="BB2817" s="9" t="s">
        <v>1258</v>
      </c>
      <c r="BC2817" s="1005">
        <v>163</v>
      </c>
    </row>
    <row r="2818" spans="54:55" x14ac:dyDescent="0.2">
      <c r="BB2818" s="9" t="s">
        <v>1258</v>
      </c>
      <c r="BC2818" s="1005">
        <v>164</v>
      </c>
    </row>
    <row r="2819" spans="54:55" x14ac:dyDescent="0.2">
      <c r="BB2819" s="9" t="s">
        <v>1258</v>
      </c>
      <c r="BC2819" s="1005">
        <v>165</v>
      </c>
    </row>
    <row r="2820" spans="54:55" x14ac:dyDescent="0.2">
      <c r="BB2820" s="9" t="s">
        <v>1258</v>
      </c>
      <c r="BC2820" s="1005">
        <v>166</v>
      </c>
    </row>
    <row r="2821" spans="54:55" x14ac:dyDescent="0.2">
      <c r="BB2821" s="9" t="s">
        <v>1258</v>
      </c>
      <c r="BC2821" s="1005">
        <v>167</v>
      </c>
    </row>
    <row r="2822" spans="54:55" x14ac:dyDescent="0.2">
      <c r="BB2822" s="9" t="s">
        <v>1258</v>
      </c>
      <c r="BC2822" s="1005">
        <v>168</v>
      </c>
    </row>
    <row r="2823" spans="54:55" x14ac:dyDescent="0.2">
      <c r="BB2823" s="9" t="s">
        <v>1258</v>
      </c>
      <c r="BC2823" s="1005">
        <v>169</v>
      </c>
    </row>
    <row r="2824" spans="54:55" x14ac:dyDescent="0.2">
      <c r="BB2824" s="9" t="s">
        <v>1258</v>
      </c>
      <c r="BC2824" s="1005">
        <v>170</v>
      </c>
    </row>
    <row r="2825" spans="54:55" x14ac:dyDescent="0.2">
      <c r="BB2825" s="9" t="s">
        <v>1258</v>
      </c>
      <c r="BC2825" s="1005">
        <v>171</v>
      </c>
    </row>
    <row r="2826" spans="54:55" x14ac:dyDescent="0.2">
      <c r="BB2826" s="9" t="s">
        <v>1258</v>
      </c>
      <c r="BC2826" s="1005">
        <v>172</v>
      </c>
    </row>
    <row r="2827" spans="54:55" x14ac:dyDescent="0.2">
      <c r="BB2827" s="9" t="s">
        <v>1258</v>
      </c>
      <c r="BC2827" s="1005">
        <v>173</v>
      </c>
    </row>
    <row r="2828" spans="54:55" x14ac:dyDescent="0.2">
      <c r="BB2828" s="9" t="s">
        <v>1258</v>
      </c>
      <c r="BC2828" s="1005">
        <v>174</v>
      </c>
    </row>
    <row r="2829" spans="54:55" x14ac:dyDescent="0.2">
      <c r="BB2829" s="9" t="s">
        <v>1258</v>
      </c>
      <c r="BC2829" s="1005">
        <v>175</v>
      </c>
    </row>
    <row r="2830" spans="54:55" x14ac:dyDescent="0.2">
      <c r="BB2830" s="9" t="s">
        <v>1258</v>
      </c>
      <c r="BC2830" s="1005">
        <v>176</v>
      </c>
    </row>
    <row r="2831" spans="54:55" x14ac:dyDescent="0.2">
      <c r="BB2831" s="9" t="s">
        <v>1258</v>
      </c>
      <c r="BC2831" s="1005">
        <v>177</v>
      </c>
    </row>
    <row r="2832" spans="54:55" x14ac:dyDescent="0.2">
      <c r="BB2832" s="9" t="s">
        <v>1258</v>
      </c>
      <c r="BC2832" s="1005">
        <v>178</v>
      </c>
    </row>
    <row r="2833" spans="54:55" x14ac:dyDescent="0.2">
      <c r="BB2833" s="9" t="s">
        <v>1258</v>
      </c>
      <c r="BC2833" s="1005">
        <v>179</v>
      </c>
    </row>
    <row r="2834" spans="54:55" x14ac:dyDescent="0.2">
      <c r="BB2834" s="9" t="s">
        <v>1258</v>
      </c>
      <c r="BC2834" s="1005">
        <v>180</v>
      </c>
    </row>
    <row r="2835" spans="54:55" x14ac:dyDescent="0.2">
      <c r="BB2835" s="9" t="s">
        <v>1258</v>
      </c>
      <c r="BC2835" s="1005">
        <v>181</v>
      </c>
    </row>
    <row r="2836" spans="54:55" x14ac:dyDescent="0.2">
      <c r="BB2836" s="9" t="s">
        <v>1258</v>
      </c>
      <c r="BC2836" s="1005">
        <v>182</v>
      </c>
    </row>
    <row r="2837" spans="54:55" x14ac:dyDescent="0.2">
      <c r="BB2837" s="9" t="s">
        <v>1258</v>
      </c>
      <c r="BC2837" s="1005">
        <v>183</v>
      </c>
    </row>
    <row r="2838" spans="54:55" x14ac:dyDescent="0.2">
      <c r="BB2838" s="9" t="s">
        <v>1258</v>
      </c>
      <c r="BC2838" s="1005">
        <v>184</v>
      </c>
    </row>
    <row r="2839" spans="54:55" x14ac:dyDescent="0.2">
      <c r="BB2839" s="9" t="s">
        <v>1258</v>
      </c>
      <c r="BC2839" s="1005">
        <v>185</v>
      </c>
    </row>
    <row r="2840" spans="54:55" x14ac:dyDescent="0.2">
      <c r="BB2840" s="9" t="s">
        <v>1258</v>
      </c>
      <c r="BC2840" s="1005">
        <v>186</v>
      </c>
    </row>
    <row r="2841" spans="54:55" x14ac:dyDescent="0.2">
      <c r="BB2841" s="9" t="s">
        <v>1258</v>
      </c>
      <c r="BC2841" s="1005">
        <v>187</v>
      </c>
    </row>
    <row r="2842" spans="54:55" x14ac:dyDescent="0.2">
      <c r="BB2842" s="9" t="s">
        <v>1258</v>
      </c>
      <c r="BC2842" s="1005">
        <v>188</v>
      </c>
    </row>
    <row r="2843" spans="54:55" x14ac:dyDescent="0.2">
      <c r="BB2843" s="9" t="s">
        <v>1258</v>
      </c>
      <c r="BC2843" s="1005">
        <v>189</v>
      </c>
    </row>
    <row r="2844" spans="54:55" x14ac:dyDescent="0.2">
      <c r="BB2844" s="9" t="s">
        <v>1258</v>
      </c>
      <c r="BC2844" s="1005">
        <v>190</v>
      </c>
    </row>
    <row r="2845" spans="54:55" x14ac:dyDescent="0.2">
      <c r="BB2845" s="9" t="s">
        <v>1258</v>
      </c>
      <c r="BC2845" s="1005">
        <v>191</v>
      </c>
    </row>
    <row r="2846" spans="54:55" x14ac:dyDescent="0.2">
      <c r="BB2846" s="9" t="s">
        <v>1258</v>
      </c>
      <c r="BC2846" s="1005">
        <v>192</v>
      </c>
    </row>
    <row r="2847" spans="54:55" x14ac:dyDescent="0.2">
      <c r="BB2847" s="9" t="s">
        <v>1258</v>
      </c>
      <c r="BC2847" s="1005">
        <v>193</v>
      </c>
    </row>
    <row r="2848" spans="54:55" x14ac:dyDescent="0.2">
      <c r="BB2848" s="9" t="s">
        <v>1258</v>
      </c>
      <c r="BC2848" s="1005">
        <v>194</v>
      </c>
    </row>
    <row r="2849" spans="54:55" x14ac:dyDescent="0.2">
      <c r="BB2849" s="9" t="s">
        <v>1258</v>
      </c>
      <c r="BC2849" s="1005">
        <v>195</v>
      </c>
    </row>
    <row r="2850" spans="54:55" x14ac:dyDescent="0.2">
      <c r="BB2850" s="9" t="s">
        <v>1258</v>
      </c>
      <c r="BC2850" s="1005">
        <v>196</v>
      </c>
    </row>
    <row r="2851" spans="54:55" x14ac:dyDescent="0.2">
      <c r="BB2851" s="9" t="s">
        <v>1258</v>
      </c>
      <c r="BC2851" s="1005">
        <v>197</v>
      </c>
    </row>
    <row r="2852" spans="54:55" x14ac:dyDescent="0.2">
      <c r="BB2852" s="9" t="s">
        <v>1258</v>
      </c>
      <c r="BC2852" s="1005">
        <v>198</v>
      </c>
    </row>
    <row r="2853" spans="54:55" x14ac:dyDescent="0.2">
      <c r="BB2853" s="9" t="s">
        <v>1258</v>
      </c>
      <c r="BC2853" s="1005">
        <v>199</v>
      </c>
    </row>
    <row r="2854" spans="54:55" x14ac:dyDescent="0.2">
      <c r="BB2854" s="9" t="s">
        <v>1258</v>
      </c>
      <c r="BC2854" s="1005">
        <v>200</v>
      </c>
    </row>
    <row r="2855" spans="54:55" x14ac:dyDescent="0.2">
      <c r="BB2855" s="9" t="s">
        <v>1258</v>
      </c>
      <c r="BC2855" s="1005">
        <v>201</v>
      </c>
    </row>
    <row r="2856" spans="54:55" x14ac:dyDescent="0.2">
      <c r="BB2856" s="9" t="s">
        <v>1258</v>
      </c>
      <c r="BC2856" s="1005">
        <v>202</v>
      </c>
    </row>
    <row r="2857" spans="54:55" x14ac:dyDescent="0.2">
      <c r="BB2857" s="9" t="s">
        <v>1258</v>
      </c>
      <c r="BC2857" s="1005">
        <v>203</v>
      </c>
    </row>
    <row r="2858" spans="54:55" x14ac:dyDescent="0.2">
      <c r="BB2858" s="9" t="s">
        <v>1258</v>
      </c>
      <c r="BC2858" s="1005">
        <v>204</v>
      </c>
    </row>
    <row r="2859" spans="54:55" x14ac:dyDescent="0.2">
      <c r="BB2859" s="9" t="s">
        <v>1258</v>
      </c>
      <c r="BC2859" s="1005">
        <v>205</v>
      </c>
    </row>
    <row r="2860" spans="54:55" x14ac:dyDescent="0.2">
      <c r="BB2860" s="9" t="s">
        <v>1258</v>
      </c>
      <c r="BC2860" s="1005">
        <v>206</v>
      </c>
    </row>
    <row r="2861" spans="54:55" x14ac:dyDescent="0.2">
      <c r="BB2861" s="9" t="s">
        <v>1258</v>
      </c>
      <c r="BC2861" s="1005">
        <v>207</v>
      </c>
    </row>
    <row r="2862" spans="54:55" x14ac:dyDescent="0.2">
      <c r="BB2862" s="9" t="s">
        <v>1258</v>
      </c>
      <c r="BC2862" s="1005">
        <v>208</v>
      </c>
    </row>
    <row r="2863" spans="54:55" x14ac:dyDescent="0.2">
      <c r="BB2863" s="9" t="s">
        <v>1258</v>
      </c>
      <c r="BC2863" s="1005">
        <v>209</v>
      </c>
    </row>
    <row r="2864" spans="54:55" x14ac:dyDescent="0.2">
      <c r="BB2864" s="9" t="s">
        <v>1258</v>
      </c>
      <c r="BC2864" s="1005">
        <v>210</v>
      </c>
    </row>
    <row r="2865" spans="54:55" x14ac:dyDescent="0.2">
      <c r="BB2865" s="9" t="s">
        <v>1258</v>
      </c>
      <c r="BC2865" s="1005">
        <v>211</v>
      </c>
    </row>
    <row r="2866" spans="54:55" x14ac:dyDescent="0.2">
      <c r="BB2866" s="9" t="s">
        <v>1258</v>
      </c>
      <c r="BC2866" s="1005">
        <v>212</v>
      </c>
    </row>
    <row r="2867" spans="54:55" x14ac:dyDescent="0.2">
      <c r="BB2867" s="9" t="s">
        <v>1258</v>
      </c>
      <c r="BC2867" s="1005">
        <v>213</v>
      </c>
    </row>
    <row r="2868" spans="54:55" x14ac:dyDescent="0.2">
      <c r="BB2868" s="9" t="s">
        <v>1258</v>
      </c>
      <c r="BC2868" s="1005">
        <v>214</v>
      </c>
    </row>
    <row r="2869" spans="54:55" x14ac:dyDescent="0.2">
      <c r="BB2869" s="9" t="s">
        <v>1258</v>
      </c>
      <c r="BC2869" s="1005">
        <v>215</v>
      </c>
    </row>
    <row r="2870" spans="54:55" x14ac:dyDescent="0.2">
      <c r="BB2870" s="9" t="s">
        <v>1258</v>
      </c>
      <c r="BC2870" s="1005">
        <v>216</v>
      </c>
    </row>
    <row r="2871" spans="54:55" x14ac:dyDescent="0.2">
      <c r="BB2871" s="9" t="s">
        <v>1258</v>
      </c>
      <c r="BC2871" s="1005">
        <v>217</v>
      </c>
    </row>
    <row r="2872" spans="54:55" x14ac:dyDescent="0.2">
      <c r="BB2872" s="9" t="s">
        <v>1258</v>
      </c>
      <c r="BC2872" s="1005">
        <v>218</v>
      </c>
    </row>
    <row r="2873" spans="54:55" x14ac:dyDescent="0.2">
      <c r="BB2873" s="9" t="s">
        <v>1258</v>
      </c>
      <c r="BC2873" s="1005">
        <v>219</v>
      </c>
    </row>
    <row r="2874" spans="54:55" x14ac:dyDescent="0.2">
      <c r="BB2874" s="9" t="s">
        <v>1258</v>
      </c>
      <c r="BC2874" s="1005">
        <v>220</v>
      </c>
    </row>
    <row r="2875" spans="54:55" x14ac:dyDescent="0.2">
      <c r="BB2875" s="9" t="s">
        <v>1258</v>
      </c>
      <c r="BC2875" s="1005">
        <v>221</v>
      </c>
    </row>
    <row r="2876" spans="54:55" x14ac:dyDescent="0.2">
      <c r="BB2876" s="9" t="s">
        <v>1258</v>
      </c>
      <c r="BC2876" s="1005">
        <v>222</v>
      </c>
    </row>
    <row r="2877" spans="54:55" x14ac:dyDescent="0.2">
      <c r="BB2877" s="9" t="s">
        <v>1258</v>
      </c>
      <c r="BC2877" s="1005">
        <v>223</v>
      </c>
    </row>
    <row r="2878" spans="54:55" x14ac:dyDescent="0.2">
      <c r="BB2878" s="9" t="s">
        <v>1258</v>
      </c>
      <c r="BC2878" s="1005">
        <v>224</v>
      </c>
    </row>
    <row r="2879" spans="54:55" x14ac:dyDescent="0.2">
      <c r="BB2879" s="9" t="s">
        <v>1258</v>
      </c>
      <c r="BC2879" s="1005">
        <v>225</v>
      </c>
    </row>
    <row r="2880" spans="54:55" x14ac:dyDescent="0.2">
      <c r="BB2880" s="9" t="s">
        <v>1258</v>
      </c>
      <c r="BC2880" s="1005">
        <v>226</v>
      </c>
    </row>
    <row r="2881" spans="54:55" x14ac:dyDescent="0.2">
      <c r="BB2881" s="9" t="s">
        <v>1258</v>
      </c>
      <c r="BC2881" s="1005">
        <v>227</v>
      </c>
    </row>
    <row r="2882" spans="54:55" x14ac:dyDescent="0.2">
      <c r="BB2882" s="9" t="s">
        <v>1258</v>
      </c>
      <c r="BC2882" s="1005">
        <v>228</v>
      </c>
    </row>
    <row r="2883" spans="54:55" x14ac:dyDescent="0.2">
      <c r="BB2883" s="9" t="s">
        <v>1258</v>
      </c>
      <c r="BC2883" s="1005">
        <v>229</v>
      </c>
    </row>
    <row r="2884" spans="54:55" x14ac:dyDescent="0.2">
      <c r="BB2884" s="9" t="s">
        <v>1258</v>
      </c>
      <c r="BC2884" s="1005">
        <v>230</v>
      </c>
    </row>
    <row r="2885" spans="54:55" x14ac:dyDescent="0.2">
      <c r="BB2885" s="9" t="s">
        <v>1258</v>
      </c>
      <c r="BC2885" s="1005">
        <v>231</v>
      </c>
    </row>
    <row r="2886" spans="54:55" x14ac:dyDescent="0.2">
      <c r="BB2886" s="9" t="s">
        <v>1258</v>
      </c>
      <c r="BC2886" s="1005">
        <v>232</v>
      </c>
    </row>
    <row r="2887" spans="54:55" x14ac:dyDescent="0.2">
      <c r="BB2887" s="9" t="s">
        <v>1258</v>
      </c>
      <c r="BC2887" s="1005">
        <v>233</v>
      </c>
    </row>
    <row r="2888" spans="54:55" x14ac:dyDescent="0.2">
      <c r="BB2888" s="9" t="s">
        <v>1258</v>
      </c>
      <c r="BC2888" s="1005">
        <v>234</v>
      </c>
    </row>
    <row r="2889" spans="54:55" x14ac:dyDescent="0.2">
      <c r="BB2889" s="9" t="s">
        <v>1258</v>
      </c>
      <c r="BC2889" s="1005">
        <v>235</v>
      </c>
    </row>
    <row r="2890" spans="54:55" x14ac:dyDescent="0.2">
      <c r="BB2890" s="9" t="s">
        <v>1258</v>
      </c>
      <c r="BC2890" s="1005">
        <v>236</v>
      </c>
    </row>
    <row r="2891" spans="54:55" x14ac:dyDescent="0.2">
      <c r="BB2891" s="9" t="s">
        <v>1258</v>
      </c>
      <c r="BC2891" s="1005">
        <v>237</v>
      </c>
    </row>
    <row r="2892" spans="54:55" x14ac:dyDescent="0.2">
      <c r="BB2892" s="9" t="s">
        <v>1258</v>
      </c>
      <c r="BC2892" s="1005">
        <v>238</v>
      </c>
    </row>
    <row r="2893" spans="54:55" x14ac:dyDescent="0.2">
      <c r="BB2893" s="9" t="s">
        <v>1258</v>
      </c>
      <c r="BC2893" s="1005">
        <v>239</v>
      </c>
    </row>
    <row r="2894" spans="54:55" x14ac:dyDescent="0.2">
      <c r="BB2894" s="9" t="s">
        <v>1258</v>
      </c>
      <c r="BC2894" s="1005">
        <v>240</v>
      </c>
    </row>
    <row r="2895" spans="54:55" x14ac:dyDescent="0.2">
      <c r="BB2895" s="9" t="s">
        <v>1258</v>
      </c>
      <c r="BC2895" s="1005">
        <v>241</v>
      </c>
    </row>
    <row r="2896" spans="54:55" x14ac:dyDescent="0.2">
      <c r="BB2896" s="9" t="s">
        <v>1258</v>
      </c>
      <c r="BC2896" s="1005">
        <v>242</v>
      </c>
    </row>
    <row r="2897" spans="54:55" x14ac:dyDescent="0.2">
      <c r="BB2897" s="9" t="s">
        <v>1258</v>
      </c>
      <c r="BC2897" s="1005">
        <v>243</v>
      </c>
    </row>
    <row r="2898" spans="54:55" x14ac:dyDescent="0.2">
      <c r="BB2898" s="9" t="s">
        <v>1258</v>
      </c>
      <c r="BC2898" s="1005">
        <v>244</v>
      </c>
    </row>
    <row r="2899" spans="54:55" x14ac:dyDescent="0.2">
      <c r="BB2899" s="9" t="s">
        <v>1258</v>
      </c>
      <c r="BC2899" s="1005">
        <v>245</v>
      </c>
    </row>
    <row r="2900" spans="54:55" x14ac:dyDescent="0.2">
      <c r="BB2900" s="9" t="s">
        <v>1258</v>
      </c>
      <c r="BC2900" s="1005">
        <v>246</v>
      </c>
    </row>
    <row r="2901" spans="54:55" x14ac:dyDescent="0.2">
      <c r="BB2901" s="9" t="s">
        <v>1258</v>
      </c>
      <c r="BC2901" s="1005">
        <v>247</v>
      </c>
    </row>
    <row r="2902" spans="54:55" x14ac:dyDescent="0.2">
      <c r="BB2902" s="9" t="s">
        <v>1258</v>
      </c>
      <c r="BC2902" s="1005">
        <v>248</v>
      </c>
    </row>
    <row r="2903" spans="54:55" x14ac:dyDescent="0.2">
      <c r="BB2903" s="9" t="s">
        <v>1258</v>
      </c>
      <c r="BC2903" s="1005">
        <v>249</v>
      </c>
    </row>
    <row r="2904" spans="54:55" x14ac:dyDescent="0.2">
      <c r="BB2904" s="9" t="s">
        <v>1258</v>
      </c>
      <c r="BC2904" s="1005">
        <v>250</v>
      </c>
    </row>
    <row r="2905" spans="54:55" x14ac:dyDescent="0.2">
      <c r="BB2905" s="9" t="s">
        <v>1258</v>
      </c>
      <c r="BC2905" s="1005">
        <v>251</v>
      </c>
    </row>
    <row r="2906" spans="54:55" x14ac:dyDescent="0.2">
      <c r="BB2906" s="9" t="s">
        <v>1258</v>
      </c>
      <c r="BC2906" s="1005">
        <v>252</v>
      </c>
    </row>
    <row r="2907" spans="54:55" x14ac:dyDescent="0.2">
      <c r="BB2907" s="9" t="s">
        <v>1258</v>
      </c>
      <c r="BC2907" s="1005">
        <v>253</v>
      </c>
    </row>
    <row r="2908" spans="54:55" x14ac:dyDescent="0.2">
      <c r="BB2908" s="9" t="s">
        <v>1258</v>
      </c>
      <c r="BC2908" s="1005">
        <v>254</v>
      </c>
    </row>
    <row r="2909" spans="54:55" x14ac:dyDescent="0.2">
      <c r="BB2909" s="9" t="s">
        <v>1258</v>
      </c>
      <c r="BC2909" s="1005">
        <v>255</v>
      </c>
    </row>
    <row r="2910" spans="54:55" x14ac:dyDescent="0.2">
      <c r="BB2910" s="9" t="s">
        <v>1258</v>
      </c>
      <c r="BC2910" s="1005">
        <v>256</v>
      </c>
    </row>
    <row r="2911" spans="54:55" x14ac:dyDescent="0.2">
      <c r="BB2911" s="9" t="s">
        <v>1258</v>
      </c>
      <c r="BC2911" s="1005">
        <v>257</v>
      </c>
    </row>
    <row r="2912" spans="54:55" x14ac:dyDescent="0.2">
      <c r="BB2912" s="9" t="s">
        <v>1258</v>
      </c>
      <c r="BC2912" s="1005">
        <v>258</v>
      </c>
    </row>
    <row r="2913" spans="54:55" x14ac:dyDescent="0.2">
      <c r="BB2913" s="9" t="s">
        <v>1258</v>
      </c>
      <c r="BC2913" s="1005">
        <v>259</v>
      </c>
    </row>
    <row r="2914" spans="54:55" x14ac:dyDescent="0.2">
      <c r="BB2914" s="9" t="s">
        <v>1258</v>
      </c>
      <c r="BC2914" s="1005">
        <v>260</v>
      </c>
    </row>
    <row r="2915" spans="54:55" x14ac:dyDescent="0.2">
      <c r="BB2915" s="9" t="s">
        <v>1258</v>
      </c>
      <c r="BC2915" s="1005">
        <v>261</v>
      </c>
    </row>
    <row r="2916" spans="54:55" x14ac:dyDescent="0.2">
      <c r="BB2916" s="9" t="s">
        <v>1258</v>
      </c>
      <c r="BC2916" s="1005">
        <v>262</v>
      </c>
    </row>
    <row r="2917" spans="54:55" x14ac:dyDescent="0.2">
      <c r="BB2917" s="9" t="s">
        <v>1258</v>
      </c>
      <c r="BC2917" s="1005">
        <v>263</v>
      </c>
    </row>
    <row r="2918" spans="54:55" x14ac:dyDescent="0.2">
      <c r="BB2918" s="9" t="s">
        <v>1258</v>
      </c>
      <c r="BC2918" s="1005">
        <v>264</v>
      </c>
    </row>
    <row r="2919" spans="54:55" x14ac:dyDescent="0.2">
      <c r="BB2919" s="9" t="s">
        <v>1258</v>
      </c>
      <c r="BC2919" s="1005">
        <v>265</v>
      </c>
    </row>
    <row r="2920" spans="54:55" x14ac:dyDescent="0.2">
      <c r="BB2920" s="9" t="s">
        <v>1258</v>
      </c>
      <c r="BC2920" s="1005">
        <v>266</v>
      </c>
    </row>
    <row r="2921" spans="54:55" x14ac:dyDescent="0.2">
      <c r="BB2921" s="9" t="s">
        <v>1258</v>
      </c>
      <c r="BC2921" s="1005">
        <v>267</v>
      </c>
    </row>
    <row r="2922" spans="54:55" x14ac:dyDescent="0.2">
      <c r="BB2922" s="9" t="s">
        <v>1258</v>
      </c>
      <c r="BC2922" s="1005">
        <v>268</v>
      </c>
    </row>
    <row r="2923" spans="54:55" x14ac:dyDescent="0.2">
      <c r="BB2923" s="9" t="s">
        <v>1258</v>
      </c>
      <c r="BC2923" s="1005">
        <v>269</v>
      </c>
    </row>
    <row r="2924" spans="54:55" x14ac:dyDescent="0.2">
      <c r="BB2924" s="9" t="s">
        <v>1258</v>
      </c>
      <c r="BC2924" s="1005">
        <v>270</v>
      </c>
    </row>
    <row r="2925" spans="54:55" x14ac:dyDescent="0.2">
      <c r="BB2925" s="9" t="s">
        <v>1258</v>
      </c>
      <c r="BC2925" s="1005">
        <v>271</v>
      </c>
    </row>
    <row r="2926" spans="54:55" x14ac:dyDescent="0.2">
      <c r="BB2926" s="9" t="s">
        <v>1258</v>
      </c>
      <c r="BC2926" s="1005">
        <v>272</v>
      </c>
    </row>
    <row r="2927" spans="54:55" x14ac:dyDescent="0.2">
      <c r="BB2927" s="9" t="s">
        <v>1258</v>
      </c>
      <c r="BC2927" s="1005">
        <v>273</v>
      </c>
    </row>
    <row r="2928" spans="54:55" x14ac:dyDescent="0.2">
      <c r="BB2928" s="9" t="s">
        <v>1258</v>
      </c>
      <c r="BC2928" s="1005">
        <v>274</v>
      </c>
    </row>
    <row r="2929" spans="54:55" x14ac:dyDescent="0.2">
      <c r="BB2929" s="9" t="s">
        <v>1258</v>
      </c>
      <c r="BC2929" s="1005">
        <v>275</v>
      </c>
    </row>
    <row r="2930" spans="54:55" x14ac:dyDescent="0.2">
      <c r="BB2930" s="9" t="s">
        <v>1258</v>
      </c>
      <c r="BC2930" s="1005">
        <v>276</v>
      </c>
    </row>
    <row r="2931" spans="54:55" x14ac:dyDescent="0.2">
      <c r="BB2931" s="9" t="s">
        <v>1258</v>
      </c>
      <c r="BC2931" s="1005">
        <v>277</v>
      </c>
    </row>
    <row r="2932" spans="54:55" x14ac:dyDescent="0.2">
      <c r="BB2932" s="9" t="s">
        <v>1258</v>
      </c>
      <c r="BC2932" s="1005">
        <v>278</v>
      </c>
    </row>
    <row r="2933" spans="54:55" x14ac:dyDescent="0.2">
      <c r="BB2933" s="9" t="s">
        <v>1258</v>
      </c>
      <c r="BC2933" s="1005">
        <v>279</v>
      </c>
    </row>
    <row r="2934" spans="54:55" x14ac:dyDescent="0.2">
      <c r="BB2934" s="9" t="s">
        <v>1258</v>
      </c>
      <c r="BC2934" s="1005">
        <v>280</v>
      </c>
    </row>
    <row r="2935" spans="54:55" x14ac:dyDescent="0.2">
      <c r="BB2935" s="9" t="s">
        <v>1258</v>
      </c>
      <c r="BC2935" s="1005">
        <v>281</v>
      </c>
    </row>
    <row r="2936" spans="54:55" x14ac:dyDescent="0.2">
      <c r="BB2936" s="9" t="s">
        <v>1258</v>
      </c>
      <c r="BC2936" s="1005">
        <v>282</v>
      </c>
    </row>
    <row r="2937" spans="54:55" x14ac:dyDescent="0.2">
      <c r="BB2937" s="9" t="s">
        <v>1258</v>
      </c>
      <c r="BC2937" s="1005">
        <v>283</v>
      </c>
    </row>
    <row r="2938" spans="54:55" x14ac:dyDescent="0.2">
      <c r="BB2938" s="9" t="s">
        <v>1258</v>
      </c>
      <c r="BC2938" s="1005">
        <v>284</v>
      </c>
    </row>
    <row r="2939" spans="54:55" x14ac:dyDescent="0.2">
      <c r="BB2939" s="9" t="s">
        <v>1258</v>
      </c>
      <c r="BC2939" s="1005">
        <v>285</v>
      </c>
    </row>
    <row r="2940" spans="54:55" x14ac:dyDescent="0.2">
      <c r="BB2940" s="9" t="s">
        <v>1258</v>
      </c>
      <c r="BC2940" s="1005">
        <v>286</v>
      </c>
    </row>
    <row r="2941" spans="54:55" x14ac:dyDescent="0.2">
      <c r="BB2941" s="9" t="s">
        <v>1258</v>
      </c>
      <c r="BC2941" s="1005">
        <v>287</v>
      </c>
    </row>
    <row r="2942" spans="54:55" x14ac:dyDescent="0.2">
      <c r="BB2942" s="9" t="s">
        <v>1258</v>
      </c>
      <c r="BC2942" s="1005">
        <v>288</v>
      </c>
    </row>
    <row r="2943" spans="54:55" x14ac:dyDescent="0.2">
      <c r="BB2943" s="9" t="s">
        <v>1258</v>
      </c>
      <c r="BC2943" s="1005">
        <v>289</v>
      </c>
    </row>
    <row r="2944" spans="54:55" x14ac:dyDescent="0.2">
      <c r="BB2944" s="9" t="s">
        <v>1258</v>
      </c>
      <c r="BC2944" s="1005">
        <v>290</v>
      </c>
    </row>
    <row r="2945" spans="54:55" x14ac:dyDescent="0.2">
      <c r="BB2945" s="9" t="s">
        <v>1258</v>
      </c>
      <c r="BC2945" s="1005">
        <v>291</v>
      </c>
    </row>
    <row r="2946" spans="54:55" x14ac:dyDescent="0.2">
      <c r="BB2946" s="9" t="s">
        <v>1258</v>
      </c>
      <c r="BC2946" s="1005">
        <v>292</v>
      </c>
    </row>
    <row r="2947" spans="54:55" x14ac:dyDescent="0.2">
      <c r="BB2947" s="9" t="s">
        <v>1258</v>
      </c>
      <c r="BC2947" s="1005">
        <v>293</v>
      </c>
    </row>
    <row r="2948" spans="54:55" x14ac:dyDescent="0.2">
      <c r="BB2948" s="9" t="s">
        <v>1258</v>
      </c>
      <c r="BC2948" s="1005">
        <v>294</v>
      </c>
    </row>
    <row r="2949" spans="54:55" x14ac:dyDescent="0.2">
      <c r="BB2949" s="9" t="s">
        <v>1258</v>
      </c>
      <c r="BC2949" s="1005">
        <v>295</v>
      </c>
    </row>
    <row r="2950" spans="54:55" x14ac:dyDescent="0.2">
      <c r="BB2950" s="9" t="s">
        <v>1258</v>
      </c>
      <c r="BC2950" s="1005">
        <v>296</v>
      </c>
    </row>
    <row r="2951" spans="54:55" x14ac:dyDescent="0.2">
      <c r="BB2951" s="9" t="s">
        <v>1258</v>
      </c>
      <c r="BC2951" s="1005">
        <v>297</v>
      </c>
    </row>
    <row r="2952" spans="54:55" x14ac:dyDescent="0.2">
      <c r="BB2952" s="9" t="s">
        <v>1258</v>
      </c>
      <c r="BC2952" s="1005">
        <v>298</v>
      </c>
    </row>
    <row r="2953" spans="54:55" x14ac:dyDescent="0.2">
      <c r="BB2953" s="9" t="s">
        <v>1258</v>
      </c>
      <c r="BC2953" s="1005">
        <v>299</v>
      </c>
    </row>
    <row r="2954" spans="54:55" x14ac:dyDescent="0.2">
      <c r="BB2954" s="9" t="s">
        <v>1258</v>
      </c>
      <c r="BC2954" s="1005">
        <v>300</v>
      </c>
    </row>
    <row r="2955" spans="54:55" x14ac:dyDescent="0.2">
      <c r="BB2955" s="9" t="s">
        <v>1258</v>
      </c>
      <c r="BC2955" s="1005">
        <v>301</v>
      </c>
    </row>
    <row r="2956" spans="54:55" x14ac:dyDescent="0.2">
      <c r="BB2956" s="9" t="s">
        <v>1258</v>
      </c>
      <c r="BC2956" s="1005">
        <v>302</v>
      </c>
    </row>
    <row r="2957" spans="54:55" x14ac:dyDescent="0.2">
      <c r="BB2957" s="9" t="s">
        <v>1258</v>
      </c>
      <c r="BC2957" s="1005">
        <v>303</v>
      </c>
    </row>
    <row r="2958" spans="54:55" x14ac:dyDescent="0.2">
      <c r="BB2958" s="9" t="s">
        <v>1258</v>
      </c>
      <c r="BC2958" s="1005">
        <v>304</v>
      </c>
    </row>
    <row r="2959" spans="54:55" x14ac:dyDescent="0.2">
      <c r="BB2959" s="9" t="s">
        <v>1258</v>
      </c>
      <c r="BC2959" s="1005">
        <v>305</v>
      </c>
    </row>
    <row r="2960" spans="54:55" x14ac:dyDescent="0.2">
      <c r="BB2960" s="9" t="s">
        <v>1258</v>
      </c>
      <c r="BC2960" s="1005">
        <v>306</v>
      </c>
    </row>
    <row r="2961" spans="54:55" x14ac:dyDescent="0.2">
      <c r="BB2961" s="9" t="s">
        <v>1258</v>
      </c>
      <c r="BC2961" s="1005">
        <v>307</v>
      </c>
    </row>
    <row r="2962" spans="54:55" x14ac:dyDescent="0.2">
      <c r="BB2962" s="9" t="s">
        <v>1258</v>
      </c>
      <c r="BC2962" s="1005">
        <v>308</v>
      </c>
    </row>
    <row r="2963" spans="54:55" x14ac:dyDescent="0.2">
      <c r="BB2963" s="9" t="s">
        <v>1258</v>
      </c>
      <c r="BC2963" s="1005">
        <v>309</v>
      </c>
    </row>
    <row r="2964" spans="54:55" x14ac:dyDescent="0.2">
      <c r="BB2964" s="9" t="s">
        <v>1258</v>
      </c>
      <c r="BC2964" s="1005">
        <v>310</v>
      </c>
    </row>
    <row r="2965" spans="54:55" x14ac:dyDescent="0.2">
      <c r="BB2965" s="9" t="s">
        <v>1258</v>
      </c>
      <c r="BC2965" s="1005">
        <v>311</v>
      </c>
    </row>
    <row r="2966" spans="54:55" x14ac:dyDescent="0.2">
      <c r="BB2966" s="9" t="s">
        <v>1258</v>
      </c>
      <c r="BC2966" s="1005">
        <v>312</v>
      </c>
    </row>
    <row r="2967" spans="54:55" x14ac:dyDescent="0.2">
      <c r="BB2967" s="9" t="s">
        <v>1258</v>
      </c>
      <c r="BC2967" s="1005">
        <v>313</v>
      </c>
    </row>
    <row r="2968" spans="54:55" x14ac:dyDescent="0.2">
      <c r="BB2968" s="9" t="s">
        <v>1258</v>
      </c>
      <c r="BC2968" s="1005">
        <v>314</v>
      </c>
    </row>
    <row r="2969" spans="54:55" x14ac:dyDescent="0.2">
      <c r="BB2969" s="9" t="s">
        <v>1258</v>
      </c>
      <c r="BC2969" s="1005">
        <v>315</v>
      </c>
    </row>
    <row r="2970" spans="54:55" x14ac:dyDescent="0.2">
      <c r="BB2970" s="9" t="s">
        <v>1258</v>
      </c>
      <c r="BC2970" s="1005">
        <v>316</v>
      </c>
    </row>
    <row r="2971" spans="54:55" x14ac:dyDescent="0.2">
      <c r="BB2971" s="9" t="s">
        <v>1258</v>
      </c>
      <c r="BC2971" s="1005">
        <v>317</v>
      </c>
    </row>
    <row r="2972" spans="54:55" x14ac:dyDescent="0.2">
      <c r="BB2972" s="9" t="s">
        <v>1258</v>
      </c>
      <c r="BC2972" s="1005">
        <v>318</v>
      </c>
    </row>
    <row r="2973" spans="54:55" x14ac:dyDescent="0.2">
      <c r="BB2973" s="9" t="s">
        <v>1258</v>
      </c>
      <c r="BC2973" s="1005">
        <v>319</v>
      </c>
    </row>
    <row r="2974" spans="54:55" x14ac:dyDescent="0.2">
      <c r="BB2974" s="9" t="s">
        <v>1258</v>
      </c>
      <c r="BC2974" s="1005">
        <v>320</v>
      </c>
    </row>
    <row r="2975" spans="54:55" x14ac:dyDescent="0.2">
      <c r="BB2975" s="9" t="s">
        <v>1258</v>
      </c>
      <c r="BC2975" s="1005">
        <v>321</v>
      </c>
    </row>
    <row r="2976" spans="54:55" x14ac:dyDescent="0.2">
      <c r="BB2976" s="9" t="s">
        <v>1258</v>
      </c>
      <c r="BC2976" s="1005">
        <v>322</v>
      </c>
    </row>
    <row r="2977" spans="54:55" x14ac:dyDescent="0.2">
      <c r="BB2977" s="9" t="s">
        <v>1258</v>
      </c>
      <c r="BC2977" s="1005">
        <v>323</v>
      </c>
    </row>
    <row r="2978" spans="54:55" x14ac:dyDescent="0.2">
      <c r="BB2978" s="9" t="s">
        <v>1258</v>
      </c>
      <c r="BC2978" s="1005">
        <v>324</v>
      </c>
    </row>
    <row r="2979" spans="54:55" x14ac:dyDescent="0.2">
      <c r="BB2979" s="9" t="s">
        <v>1258</v>
      </c>
      <c r="BC2979" s="1005">
        <v>325</v>
      </c>
    </row>
    <row r="2980" spans="54:55" x14ac:dyDescent="0.2">
      <c r="BB2980" s="9" t="s">
        <v>1258</v>
      </c>
      <c r="BC2980" s="1005">
        <v>326</v>
      </c>
    </row>
    <row r="2981" spans="54:55" x14ac:dyDescent="0.2">
      <c r="BB2981" s="9" t="s">
        <v>1258</v>
      </c>
      <c r="BC2981" s="1005">
        <v>327</v>
      </c>
    </row>
    <row r="2982" spans="54:55" x14ac:dyDescent="0.2">
      <c r="BB2982" s="9" t="s">
        <v>1258</v>
      </c>
      <c r="BC2982" s="1005">
        <v>328</v>
      </c>
    </row>
    <row r="2983" spans="54:55" x14ac:dyDescent="0.2">
      <c r="BB2983" s="9" t="s">
        <v>1258</v>
      </c>
      <c r="BC2983" s="1005">
        <v>329</v>
      </c>
    </row>
    <row r="2984" spans="54:55" x14ac:dyDescent="0.2">
      <c r="BB2984" s="9" t="s">
        <v>1258</v>
      </c>
      <c r="BC2984" s="1005">
        <v>330</v>
      </c>
    </row>
    <row r="2985" spans="54:55" x14ac:dyDescent="0.2">
      <c r="BB2985" s="9" t="s">
        <v>1258</v>
      </c>
      <c r="BC2985" s="1005">
        <v>331</v>
      </c>
    </row>
    <row r="2986" spans="54:55" x14ac:dyDescent="0.2">
      <c r="BB2986" s="9" t="s">
        <v>1258</v>
      </c>
      <c r="BC2986" s="1005">
        <v>332</v>
      </c>
    </row>
    <row r="2987" spans="54:55" x14ac:dyDescent="0.2">
      <c r="BB2987" s="9" t="s">
        <v>1258</v>
      </c>
      <c r="BC2987" s="1005">
        <v>333</v>
      </c>
    </row>
    <row r="2988" spans="54:55" x14ac:dyDescent="0.2">
      <c r="BB2988" s="9" t="s">
        <v>1258</v>
      </c>
      <c r="BC2988" s="1005">
        <v>334</v>
      </c>
    </row>
    <row r="2989" spans="54:55" x14ac:dyDescent="0.2">
      <c r="BB2989" s="9" t="s">
        <v>1258</v>
      </c>
      <c r="BC2989" s="1005">
        <v>335</v>
      </c>
    </row>
    <row r="2990" spans="54:55" x14ac:dyDescent="0.2">
      <c r="BB2990" s="9" t="s">
        <v>1258</v>
      </c>
      <c r="BC2990" s="1005">
        <v>336</v>
      </c>
    </row>
    <row r="2991" spans="54:55" x14ac:dyDescent="0.2">
      <c r="BB2991" s="9" t="s">
        <v>1258</v>
      </c>
      <c r="BC2991" s="1005">
        <v>337</v>
      </c>
    </row>
    <row r="2992" spans="54:55" x14ac:dyDescent="0.2">
      <c r="BB2992" s="9" t="s">
        <v>1258</v>
      </c>
      <c r="BC2992" s="1005">
        <v>338</v>
      </c>
    </row>
    <row r="2993" spans="54:55" x14ac:dyDescent="0.2">
      <c r="BB2993" s="9" t="s">
        <v>1258</v>
      </c>
      <c r="BC2993" s="1005">
        <v>339</v>
      </c>
    </row>
    <row r="2994" spans="54:55" x14ac:dyDescent="0.2">
      <c r="BB2994" s="9" t="s">
        <v>1258</v>
      </c>
      <c r="BC2994" s="1005">
        <v>340</v>
      </c>
    </row>
    <row r="2995" spans="54:55" x14ac:dyDescent="0.2">
      <c r="BB2995" s="9" t="s">
        <v>1258</v>
      </c>
      <c r="BC2995" s="1005">
        <v>341</v>
      </c>
    </row>
    <row r="2996" spans="54:55" x14ac:dyDescent="0.2">
      <c r="BB2996" s="9" t="s">
        <v>1258</v>
      </c>
      <c r="BC2996" s="1005">
        <v>342</v>
      </c>
    </row>
    <row r="2997" spans="54:55" x14ac:dyDescent="0.2">
      <c r="BB2997" s="9" t="s">
        <v>1258</v>
      </c>
      <c r="BC2997" s="1005">
        <v>343</v>
      </c>
    </row>
    <row r="2998" spans="54:55" x14ac:dyDescent="0.2">
      <c r="BB2998" s="9" t="s">
        <v>1258</v>
      </c>
      <c r="BC2998" s="1005">
        <v>344</v>
      </c>
    </row>
    <row r="2999" spans="54:55" x14ac:dyDescent="0.2">
      <c r="BB2999" s="9" t="s">
        <v>1258</v>
      </c>
      <c r="BC2999" s="1005">
        <v>345</v>
      </c>
    </row>
    <row r="3000" spans="54:55" x14ac:dyDescent="0.2">
      <c r="BB3000" s="9" t="s">
        <v>1258</v>
      </c>
      <c r="BC3000" s="1005">
        <v>346</v>
      </c>
    </row>
    <row r="3001" spans="54:55" x14ac:dyDescent="0.2">
      <c r="BB3001" s="9" t="s">
        <v>1258</v>
      </c>
      <c r="BC3001" s="1005">
        <v>347</v>
      </c>
    </row>
    <row r="3002" spans="54:55" x14ac:dyDescent="0.2">
      <c r="BB3002" s="9" t="s">
        <v>1258</v>
      </c>
      <c r="BC3002" s="1005">
        <v>348</v>
      </c>
    </row>
    <row r="3003" spans="54:55" x14ac:dyDescent="0.2">
      <c r="BB3003" s="9" t="s">
        <v>1258</v>
      </c>
      <c r="BC3003" s="1005">
        <v>349</v>
      </c>
    </row>
    <row r="3004" spans="54:55" x14ac:dyDescent="0.2">
      <c r="BB3004" s="9" t="s">
        <v>1258</v>
      </c>
      <c r="BC3004" s="1005">
        <v>350</v>
      </c>
    </row>
    <row r="3005" spans="54:55" x14ac:dyDescent="0.2">
      <c r="BB3005" s="9" t="s">
        <v>1258</v>
      </c>
      <c r="BC3005" s="1005">
        <v>351</v>
      </c>
    </row>
    <row r="3006" spans="54:55" x14ac:dyDescent="0.2">
      <c r="BB3006" s="9" t="s">
        <v>1258</v>
      </c>
      <c r="BC3006" s="1005">
        <v>352</v>
      </c>
    </row>
    <row r="3007" spans="54:55" x14ac:dyDescent="0.2">
      <c r="BB3007" s="9" t="s">
        <v>1258</v>
      </c>
      <c r="BC3007" s="1005">
        <v>353</v>
      </c>
    </row>
    <row r="3008" spans="54:55" x14ac:dyDescent="0.2">
      <c r="BB3008" s="9" t="s">
        <v>1258</v>
      </c>
      <c r="BC3008" s="1005">
        <v>354</v>
      </c>
    </row>
    <row r="3009" spans="54:55" x14ac:dyDescent="0.2">
      <c r="BB3009" s="9" t="s">
        <v>1258</v>
      </c>
      <c r="BC3009" s="1005">
        <v>355</v>
      </c>
    </row>
    <row r="3010" spans="54:55" x14ac:dyDescent="0.2">
      <c r="BB3010" s="9" t="s">
        <v>1258</v>
      </c>
      <c r="BC3010" s="1005">
        <v>356</v>
      </c>
    </row>
    <row r="3011" spans="54:55" x14ac:dyDescent="0.2">
      <c r="BB3011" s="9" t="s">
        <v>1258</v>
      </c>
      <c r="BC3011" s="1005">
        <v>357</v>
      </c>
    </row>
    <row r="3012" spans="54:55" x14ac:dyDescent="0.2">
      <c r="BB3012" s="9" t="s">
        <v>1258</v>
      </c>
      <c r="BC3012" s="1005">
        <v>358</v>
      </c>
    </row>
    <row r="3013" spans="54:55" x14ac:dyDescent="0.2">
      <c r="BB3013" s="9" t="s">
        <v>1258</v>
      </c>
      <c r="BC3013" s="1005">
        <v>359</v>
      </c>
    </row>
    <row r="3014" spans="54:55" x14ac:dyDescent="0.2">
      <c r="BB3014" s="9" t="s">
        <v>1258</v>
      </c>
      <c r="BC3014" s="1005">
        <v>360</v>
      </c>
    </row>
    <row r="3015" spans="54:55" x14ac:dyDescent="0.2">
      <c r="BB3015" s="9" t="s">
        <v>1258</v>
      </c>
      <c r="BC3015" s="1005">
        <v>361</v>
      </c>
    </row>
    <row r="3016" spans="54:55" x14ac:dyDescent="0.2">
      <c r="BB3016" s="9" t="s">
        <v>1258</v>
      </c>
      <c r="BC3016" s="1005">
        <v>362</v>
      </c>
    </row>
    <row r="3017" spans="54:55" x14ac:dyDescent="0.2">
      <c r="BB3017" s="9" t="s">
        <v>1258</v>
      </c>
      <c r="BC3017" s="1005">
        <v>363</v>
      </c>
    </row>
    <row r="3018" spans="54:55" x14ac:dyDescent="0.2">
      <c r="BB3018" s="9" t="s">
        <v>1258</v>
      </c>
      <c r="BC3018" s="1005">
        <v>364</v>
      </c>
    </row>
    <row r="3019" spans="54:55" x14ac:dyDescent="0.2">
      <c r="BB3019" s="9" t="s">
        <v>1258</v>
      </c>
      <c r="BC3019" s="1005">
        <v>365</v>
      </c>
    </row>
    <row r="3020" spans="54:55" x14ac:dyDescent="0.2">
      <c r="BB3020" s="9" t="s">
        <v>1258</v>
      </c>
      <c r="BC3020" s="1005">
        <v>366</v>
      </c>
    </row>
    <row r="3021" spans="54:55" x14ac:dyDescent="0.2">
      <c r="BB3021" s="9" t="s">
        <v>1258</v>
      </c>
      <c r="BC3021" s="1005">
        <v>367</v>
      </c>
    </row>
    <row r="3022" spans="54:55" x14ac:dyDescent="0.2">
      <c r="BB3022" s="9" t="s">
        <v>1258</v>
      </c>
      <c r="BC3022" s="1005">
        <v>368</v>
      </c>
    </row>
    <row r="3023" spans="54:55" x14ac:dyDescent="0.2">
      <c r="BB3023" s="9" t="s">
        <v>1258</v>
      </c>
      <c r="BC3023" s="1005">
        <v>369</v>
      </c>
    </row>
    <row r="3024" spans="54:55" x14ac:dyDescent="0.2">
      <c r="BB3024" s="9" t="s">
        <v>1258</v>
      </c>
      <c r="BC3024" s="1005">
        <v>370</v>
      </c>
    </row>
    <row r="3025" spans="54:55" x14ac:dyDescent="0.2">
      <c r="BB3025" s="9" t="s">
        <v>1258</v>
      </c>
      <c r="BC3025" s="1005">
        <v>371</v>
      </c>
    </row>
    <row r="3026" spans="54:55" x14ac:dyDescent="0.2">
      <c r="BB3026" s="9" t="s">
        <v>1258</v>
      </c>
      <c r="BC3026" s="1005">
        <v>372</v>
      </c>
    </row>
    <row r="3027" spans="54:55" x14ac:dyDescent="0.2">
      <c r="BB3027" s="9" t="s">
        <v>1258</v>
      </c>
      <c r="BC3027" s="1005">
        <v>373</v>
      </c>
    </row>
    <row r="3028" spans="54:55" x14ac:dyDescent="0.2">
      <c r="BB3028" s="9" t="s">
        <v>1258</v>
      </c>
      <c r="BC3028" s="1005">
        <v>374</v>
      </c>
    </row>
    <row r="3029" spans="54:55" x14ac:dyDescent="0.2">
      <c r="BB3029" s="9" t="s">
        <v>1258</v>
      </c>
      <c r="BC3029" s="1005">
        <v>375</v>
      </c>
    </row>
    <row r="3030" spans="54:55" x14ac:dyDescent="0.2">
      <c r="BB3030" s="9" t="s">
        <v>1258</v>
      </c>
      <c r="BC3030" s="1005">
        <v>376</v>
      </c>
    </row>
    <row r="3031" spans="54:55" x14ac:dyDescent="0.2">
      <c r="BB3031" s="9" t="s">
        <v>1258</v>
      </c>
      <c r="BC3031" s="1005">
        <v>377</v>
      </c>
    </row>
    <row r="3032" spans="54:55" x14ac:dyDescent="0.2">
      <c r="BB3032" s="9" t="s">
        <v>1258</v>
      </c>
      <c r="BC3032" s="1005">
        <v>378</v>
      </c>
    </row>
    <row r="3033" spans="54:55" x14ac:dyDescent="0.2">
      <c r="BB3033" s="9" t="s">
        <v>1258</v>
      </c>
      <c r="BC3033" s="1005">
        <v>379</v>
      </c>
    </row>
    <row r="3034" spans="54:55" x14ac:dyDescent="0.2">
      <c r="BB3034" s="9" t="s">
        <v>1258</v>
      </c>
      <c r="BC3034" s="1005">
        <v>380</v>
      </c>
    </row>
    <row r="3035" spans="54:55" x14ac:dyDescent="0.2">
      <c r="BB3035" s="9" t="s">
        <v>1258</v>
      </c>
      <c r="BC3035" s="1005">
        <v>381</v>
      </c>
    </row>
    <row r="3036" spans="54:55" x14ac:dyDescent="0.2">
      <c r="BB3036" s="9" t="s">
        <v>1258</v>
      </c>
      <c r="BC3036" s="1005">
        <v>382</v>
      </c>
    </row>
    <row r="3037" spans="54:55" x14ac:dyDescent="0.2">
      <c r="BB3037" s="9" t="s">
        <v>1258</v>
      </c>
      <c r="BC3037" s="1005">
        <v>383</v>
      </c>
    </row>
    <row r="3038" spans="54:55" x14ac:dyDescent="0.2">
      <c r="BB3038" s="9" t="s">
        <v>1258</v>
      </c>
      <c r="BC3038" s="1005">
        <v>384</v>
      </c>
    </row>
    <row r="3039" spans="54:55" x14ac:dyDescent="0.2">
      <c r="BB3039" s="9" t="s">
        <v>1258</v>
      </c>
      <c r="BC3039" s="1005">
        <v>385</v>
      </c>
    </row>
    <row r="3040" spans="54:55" x14ac:dyDescent="0.2">
      <c r="BB3040" s="9" t="s">
        <v>1258</v>
      </c>
      <c r="BC3040" s="1005">
        <v>386</v>
      </c>
    </row>
    <row r="3041" spans="54:55" x14ac:dyDescent="0.2">
      <c r="BB3041" s="9" t="s">
        <v>1258</v>
      </c>
      <c r="BC3041" s="1005">
        <v>387</v>
      </c>
    </row>
    <row r="3042" spans="54:55" x14ac:dyDescent="0.2">
      <c r="BB3042" s="9" t="s">
        <v>1258</v>
      </c>
      <c r="BC3042" s="1005">
        <v>388</v>
      </c>
    </row>
    <row r="3043" spans="54:55" x14ac:dyDescent="0.2">
      <c r="BB3043" s="9" t="s">
        <v>1258</v>
      </c>
      <c r="BC3043" s="1005">
        <v>389</v>
      </c>
    </row>
    <row r="3044" spans="54:55" x14ac:dyDescent="0.2">
      <c r="BB3044" s="9" t="s">
        <v>1258</v>
      </c>
      <c r="BC3044" s="1005">
        <v>390</v>
      </c>
    </row>
    <row r="3045" spans="54:55" x14ac:dyDescent="0.2">
      <c r="BB3045" s="9" t="s">
        <v>1258</v>
      </c>
      <c r="BC3045" s="1005">
        <v>391</v>
      </c>
    </row>
    <row r="3046" spans="54:55" x14ac:dyDescent="0.2">
      <c r="BB3046" s="9" t="s">
        <v>1258</v>
      </c>
      <c r="BC3046" s="1005">
        <v>392</v>
      </c>
    </row>
    <row r="3047" spans="54:55" x14ac:dyDescent="0.2">
      <c r="BB3047" s="9" t="s">
        <v>1258</v>
      </c>
      <c r="BC3047" s="1005">
        <v>393</v>
      </c>
    </row>
    <row r="3048" spans="54:55" x14ac:dyDescent="0.2">
      <c r="BB3048" s="9" t="s">
        <v>1258</v>
      </c>
      <c r="BC3048" s="1005">
        <v>394</v>
      </c>
    </row>
    <row r="3049" spans="54:55" x14ac:dyDescent="0.2">
      <c r="BB3049" s="9" t="s">
        <v>1258</v>
      </c>
      <c r="BC3049" s="1005">
        <v>395</v>
      </c>
    </row>
    <row r="3050" spans="54:55" x14ac:dyDescent="0.2">
      <c r="BB3050" s="9" t="s">
        <v>1258</v>
      </c>
      <c r="BC3050" s="1005">
        <v>396</v>
      </c>
    </row>
    <row r="3051" spans="54:55" x14ac:dyDescent="0.2">
      <c r="BB3051" s="9" t="s">
        <v>1258</v>
      </c>
      <c r="BC3051" s="1005">
        <v>397</v>
      </c>
    </row>
    <row r="3052" spans="54:55" x14ac:dyDescent="0.2">
      <c r="BB3052" s="9" t="s">
        <v>1258</v>
      </c>
      <c r="BC3052" s="1005">
        <v>398</v>
      </c>
    </row>
    <row r="3053" spans="54:55" x14ac:dyDescent="0.2">
      <c r="BB3053" s="9" t="s">
        <v>1258</v>
      </c>
      <c r="BC3053" s="1005">
        <v>399</v>
      </c>
    </row>
    <row r="3054" spans="54:55" x14ac:dyDescent="0.2">
      <c r="BB3054" s="9" t="s">
        <v>1258</v>
      </c>
      <c r="BC3054" s="1005">
        <v>400</v>
      </c>
    </row>
    <row r="3055" spans="54:55" x14ac:dyDescent="0.2">
      <c r="BB3055" s="9" t="s">
        <v>1261</v>
      </c>
      <c r="BC3055" s="1005">
        <v>250</v>
      </c>
    </row>
    <row r="3056" spans="54:55" x14ac:dyDescent="0.2">
      <c r="BB3056" s="9" t="s">
        <v>1261</v>
      </c>
      <c r="BC3056" s="1005">
        <v>251</v>
      </c>
    </row>
    <row r="3057" spans="54:55" x14ac:dyDescent="0.2">
      <c r="BB3057" s="9" t="s">
        <v>1261</v>
      </c>
      <c r="BC3057" s="1005">
        <v>252</v>
      </c>
    </row>
    <row r="3058" spans="54:55" x14ac:dyDescent="0.2">
      <c r="BB3058" s="9" t="s">
        <v>1261</v>
      </c>
      <c r="BC3058" s="1005">
        <v>253</v>
      </c>
    </row>
    <row r="3059" spans="54:55" x14ac:dyDescent="0.2">
      <c r="BB3059" s="9" t="s">
        <v>1261</v>
      </c>
      <c r="BC3059" s="1005">
        <v>254</v>
      </c>
    </row>
    <row r="3060" spans="54:55" x14ac:dyDescent="0.2">
      <c r="BB3060" s="9" t="s">
        <v>1261</v>
      </c>
      <c r="BC3060" s="1005">
        <v>255</v>
      </c>
    </row>
    <row r="3061" spans="54:55" x14ac:dyDescent="0.2">
      <c r="BB3061" s="9" t="s">
        <v>1261</v>
      </c>
      <c r="BC3061" s="1005">
        <v>256</v>
      </c>
    </row>
    <row r="3062" spans="54:55" x14ac:dyDescent="0.2">
      <c r="BB3062" s="9" t="s">
        <v>1261</v>
      </c>
      <c r="BC3062" s="1005">
        <v>257</v>
      </c>
    </row>
    <row r="3063" spans="54:55" x14ac:dyDescent="0.2">
      <c r="BB3063" s="9" t="s">
        <v>1261</v>
      </c>
      <c r="BC3063" s="1005">
        <v>258</v>
      </c>
    </row>
    <row r="3064" spans="54:55" x14ac:dyDescent="0.2">
      <c r="BB3064" s="9" t="s">
        <v>1261</v>
      </c>
      <c r="BC3064" s="1005">
        <v>259</v>
      </c>
    </row>
    <row r="3065" spans="54:55" x14ac:dyDescent="0.2">
      <c r="BB3065" s="9" t="s">
        <v>1261</v>
      </c>
      <c r="BC3065" s="1005">
        <v>260</v>
      </c>
    </row>
    <row r="3066" spans="54:55" x14ac:dyDescent="0.2">
      <c r="BB3066" s="9" t="s">
        <v>1261</v>
      </c>
      <c r="BC3066" s="1005">
        <v>261</v>
      </c>
    </row>
    <row r="3067" spans="54:55" x14ac:dyDescent="0.2">
      <c r="BB3067" s="9" t="s">
        <v>1261</v>
      </c>
      <c r="BC3067" s="1005">
        <v>262</v>
      </c>
    </row>
    <row r="3068" spans="54:55" x14ac:dyDescent="0.2">
      <c r="BB3068" s="9" t="s">
        <v>1261</v>
      </c>
      <c r="BC3068" s="1005">
        <v>263</v>
      </c>
    </row>
    <row r="3069" spans="54:55" x14ac:dyDescent="0.2">
      <c r="BB3069" s="9" t="s">
        <v>1261</v>
      </c>
      <c r="BC3069" s="1005">
        <v>264</v>
      </c>
    </row>
    <row r="3070" spans="54:55" x14ac:dyDescent="0.2">
      <c r="BB3070" s="9" t="s">
        <v>1261</v>
      </c>
      <c r="BC3070" s="1005">
        <v>265</v>
      </c>
    </row>
    <row r="3071" spans="54:55" x14ac:dyDescent="0.2">
      <c r="BB3071" s="9" t="s">
        <v>1261</v>
      </c>
      <c r="BC3071" s="1005">
        <v>266</v>
      </c>
    </row>
    <row r="3072" spans="54:55" x14ac:dyDescent="0.2">
      <c r="BB3072" s="9" t="s">
        <v>1261</v>
      </c>
      <c r="BC3072" s="1005">
        <v>267</v>
      </c>
    </row>
    <row r="3073" spans="54:55" x14ac:dyDescent="0.2">
      <c r="BB3073" s="9" t="s">
        <v>1261</v>
      </c>
      <c r="BC3073" s="1005">
        <v>268</v>
      </c>
    </row>
    <row r="3074" spans="54:55" x14ac:dyDescent="0.2">
      <c r="BB3074" s="9" t="s">
        <v>1261</v>
      </c>
      <c r="BC3074" s="1005">
        <v>269</v>
      </c>
    </row>
    <row r="3075" spans="54:55" x14ac:dyDescent="0.2">
      <c r="BB3075" s="9" t="s">
        <v>1261</v>
      </c>
      <c r="BC3075" s="1005">
        <v>270</v>
      </c>
    </row>
    <row r="3076" spans="54:55" x14ac:dyDescent="0.2">
      <c r="BB3076" s="9" t="s">
        <v>1261</v>
      </c>
      <c r="BC3076" s="1005">
        <v>271</v>
      </c>
    </row>
    <row r="3077" spans="54:55" x14ac:dyDescent="0.2">
      <c r="BB3077" s="9" t="s">
        <v>1261</v>
      </c>
      <c r="BC3077" s="1005">
        <v>272</v>
      </c>
    </row>
    <row r="3078" spans="54:55" x14ac:dyDescent="0.2">
      <c r="BB3078" s="9" t="s">
        <v>1261</v>
      </c>
      <c r="BC3078" s="1005">
        <v>273</v>
      </c>
    </row>
    <row r="3079" spans="54:55" x14ac:dyDescent="0.2">
      <c r="BB3079" s="9" t="s">
        <v>1261</v>
      </c>
      <c r="BC3079" s="1005">
        <v>274</v>
      </c>
    </row>
    <row r="3080" spans="54:55" x14ac:dyDescent="0.2">
      <c r="BB3080" s="9" t="s">
        <v>1261</v>
      </c>
      <c r="BC3080" s="1005">
        <v>275</v>
      </c>
    </row>
    <row r="3081" spans="54:55" x14ac:dyDescent="0.2">
      <c r="BB3081" s="9" t="s">
        <v>1261</v>
      </c>
      <c r="BC3081" s="1005">
        <v>276</v>
      </c>
    </row>
    <row r="3082" spans="54:55" x14ac:dyDescent="0.2">
      <c r="BB3082" s="9" t="s">
        <v>1261</v>
      </c>
      <c r="BC3082" s="1005">
        <v>277</v>
      </c>
    </row>
    <row r="3083" spans="54:55" x14ac:dyDescent="0.2">
      <c r="BB3083" s="9" t="s">
        <v>1261</v>
      </c>
      <c r="BC3083" s="1005">
        <v>278</v>
      </c>
    </row>
    <row r="3084" spans="54:55" x14ac:dyDescent="0.2">
      <c r="BB3084" s="9" t="s">
        <v>1261</v>
      </c>
      <c r="BC3084" s="1005">
        <v>279</v>
      </c>
    </row>
    <row r="3085" spans="54:55" x14ac:dyDescent="0.2">
      <c r="BB3085" s="9" t="s">
        <v>1261</v>
      </c>
      <c r="BC3085" s="1005">
        <v>280</v>
      </c>
    </row>
    <row r="3086" spans="54:55" x14ac:dyDescent="0.2">
      <c r="BB3086" s="9" t="s">
        <v>1261</v>
      </c>
      <c r="BC3086" s="1005">
        <v>281</v>
      </c>
    </row>
    <row r="3087" spans="54:55" x14ac:dyDescent="0.2">
      <c r="BB3087" s="9" t="s">
        <v>1261</v>
      </c>
      <c r="BC3087" s="1005">
        <v>282</v>
      </c>
    </row>
    <row r="3088" spans="54:55" x14ac:dyDescent="0.2">
      <c r="BB3088" s="9" t="s">
        <v>1261</v>
      </c>
      <c r="BC3088" s="1005">
        <v>283</v>
      </c>
    </row>
    <row r="3089" spans="54:55" x14ac:dyDescent="0.2">
      <c r="BB3089" s="9" t="s">
        <v>1261</v>
      </c>
      <c r="BC3089" s="1005">
        <v>284</v>
      </c>
    </row>
    <row r="3090" spans="54:55" x14ac:dyDescent="0.2">
      <c r="BB3090" s="9" t="s">
        <v>1261</v>
      </c>
      <c r="BC3090" s="1005">
        <v>285</v>
      </c>
    </row>
    <row r="3091" spans="54:55" x14ac:dyDescent="0.2">
      <c r="BB3091" s="9" t="s">
        <v>1261</v>
      </c>
      <c r="BC3091" s="1005">
        <v>286</v>
      </c>
    </row>
    <row r="3092" spans="54:55" x14ac:dyDescent="0.2">
      <c r="BB3092" s="9" t="s">
        <v>1261</v>
      </c>
      <c r="BC3092" s="1005">
        <v>287</v>
      </c>
    </row>
    <row r="3093" spans="54:55" x14ac:dyDescent="0.2">
      <c r="BB3093" s="9" t="s">
        <v>1261</v>
      </c>
      <c r="BC3093" s="1005">
        <v>288</v>
      </c>
    </row>
    <row r="3094" spans="54:55" x14ac:dyDescent="0.2">
      <c r="BB3094" s="9" t="s">
        <v>1261</v>
      </c>
      <c r="BC3094" s="1005">
        <v>289</v>
      </c>
    </row>
    <row r="3095" spans="54:55" x14ac:dyDescent="0.2">
      <c r="BB3095" s="9" t="s">
        <v>1261</v>
      </c>
      <c r="BC3095" s="1005">
        <v>290</v>
      </c>
    </row>
    <row r="3096" spans="54:55" x14ac:dyDescent="0.2">
      <c r="BB3096" s="9" t="s">
        <v>1261</v>
      </c>
      <c r="BC3096" s="1005">
        <v>291</v>
      </c>
    </row>
    <row r="3097" spans="54:55" x14ac:dyDescent="0.2">
      <c r="BB3097" s="9" t="s">
        <v>1261</v>
      </c>
      <c r="BC3097" s="1005">
        <v>292</v>
      </c>
    </row>
    <row r="3098" spans="54:55" x14ac:dyDescent="0.2">
      <c r="BB3098" s="9" t="s">
        <v>1261</v>
      </c>
      <c r="BC3098" s="1005">
        <v>293</v>
      </c>
    </row>
    <row r="3099" spans="54:55" x14ac:dyDescent="0.2">
      <c r="BB3099" s="9" t="s">
        <v>1261</v>
      </c>
      <c r="BC3099" s="1005">
        <v>294</v>
      </c>
    </row>
    <row r="3100" spans="54:55" x14ac:dyDescent="0.2">
      <c r="BB3100" s="9" t="s">
        <v>1261</v>
      </c>
      <c r="BC3100" s="1005">
        <v>295</v>
      </c>
    </row>
    <row r="3101" spans="54:55" x14ac:dyDescent="0.2">
      <c r="BB3101" s="9" t="s">
        <v>1261</v>
      </c>
      <c r="BC3101" s="1005">
        <v>296</v>
      </c>
    </row>
    <row r="3102" spans="54:55" x14ac:dyDescent="0.2">
      <c r="BB3102" s="9" t="s">
        <v>1261</v>
      </c>
      <c r="BC3102" s="1005">
        <v>297</v>
      </c>
    </row>
    <row r="3103" spans="54:55" x14ac:dyDescent="0.2">
      <c r="BB3103" s="9" t="s">
        <v>1261</v>
      </c>
      <c r="BC3103" s="1005">
        <v>298</v>
      </c>
    </row>
    <row r="3104" spans="54:55" x14ac:dyDescent="0.2">
      <c r="BB3104" s="9" t="s">
        <v>1261</v>
      </c>
      <c r="BC3104" s="1005">
        <v>299</v>
      </c>
    </row>
    <row r="3105" spans="54:55" x14ac:dyDescent="0.2">
      <c r="BB3105" s="9" t="s">
        <v>1261</v>
      </c>
      <c r="BC3105" s="1005">
        <v>300</v>
      </c>
    </row>
    <row r="3106" spans="54:55" x14ac:dyDescent="0.2">
      <c r="BB3106" s="9" t="s">
        <v>1261</v>
      </c>
      <c r="BC3106" s="1005">
        <v>301</v>
      </c>
    </row>
    <row r="3107" spans="54:55" x14ac:dyDescent="0.2">
      <c r="BB3107" s="9" t="s">
        <v>1261</v>
      </c>
      <c r="BC3107" s="1005">
        <v>302</v>
      </c>
    </row>
    <row r="3108" spans="54:55" x14ac:dyDescent="0.2">
      <c r="BB3108" s="9" t="s">
        <v>1261</v>
      </c>
      <c r="BC3108" s="1005">
        <v>303</v>
      </c>
    </row>
    <row r="3109" spans="54:55" x14ac:dyDescent="0.2">
      <c r="BB3109" s="9" t="s">
        <v>1261</v>
      </c>
      <c r="BC3109" s="1005">
        <v>304</v>
      </c>
    </row>
    <row r="3110" spans="54:55" x14ac:dyDescent="0.2">
      <c r="BB3110" s="9" t="s">
        <v>1261</v>
      </c>
      <c r="BC3110" s="1005">
        <v>305</v>
      </c>
    </row>
    <row r="3111" spans="54:55" x14ac:dyDescent="0.2">
      <c r="BB3111" s="9" t="s">
        <v>1261</v>
      </c>
      <c r="BC3111" s="1005">
        <v>306</v>
      </c>
    </row>
    <row r="3112" spans="54:55" x14ac:dyDescent="0.2">
      <c r="BB3112" s="9" t="s">
        <v>1261</v>
      </c>
      <c r="BC3112" s="1005">
        <v>307</v>
      </c>
    </row>
    <row r="3113" spans="54:55" x14ac:dyDescent="0.2">
      <c r="BB3113" s="9" t="s">
        <v>1261</v>
      </c>
      <c r="BC3113" s="1005">
        <v>308</v>
      </c>
    </row>
    <row r="3114" spans="54:55" x14ac:dyDescent="0.2">
      <c r="BB3114" s="9" t="s">
        <v>1261</v>
      </c>
      <c r="BC3114" s="1005">
        <v>309</v>
      </c>
    </row>
    <row r="3115" spans="54:55" x14ac:dyDescent="0.2">
      <c r="BB3115" s="9" t="s">
        <v>1261</v>
      </c>
      <c r="BC3115" s="1005">
        <v>310</v>
      </c>
    </row>
    <row r="3116" spans="54:55" x14ac:dyDescent="0.2">
      <c r="BB3116" s="9" t="s">
        <v>1261</v>
      </c>
      <c r="BC3116" s="1005">
        <v>311</v>
      </c>
    </row>
    <row r="3117" spans="54:55" x14ac:dyDescent="0.2">
      <c r="BB3117" s="9" t="s">
        <v>1261</v>
      </c>
      <c r="BC3117" s="1005">
        <v>312</v>
      </c>
    </row>
    <row r="3118" spans="54:55" x14ac:dyDescent="0.2">
      <c r="BB3118" s="9" t="s">
        <v>1261</v>
      </c>
      <c r="BC3118" s="1005">
        <v>313</v>
      </c>
    </row>
    <row r="3119" spans="54:55" x14ac:dyDescent="0.2">
      <c r="BB3119" s="9" t="s">
        <v>1261</v>
      </c>
      <c r="BC3119" s="1005">
        <v>314</v>
      </c>
    </row>
    <row r="3120" spans="54:55" x14ac:dyDescent="0.2">
      <c r="BB3120" s="9" t="s">
        <v>1261</v>
      </c>
      <c r="BC3120" s="1005">
        <v>315</v>
      </c>
    </row>
    <row r="3121" spans="54:55" x14ac:dyDescent="0.2">
      <c r="BB3121" s="9" t="s">
        <v>1261</v>
      </c>
      <c r="BC3121" s="1005">
        <v>316</v>
      </c>
    </row>
    <row r="3122" spans="54:55" x14ac:dyDescent="0.2">
      <c r="BB3122" s="9" t="s">
        <v>1261</v>
      </c>
      <c r="BC3122" s="1005">
        <v>317</v>
      </c>
    </row>
    <row r="3123" spans="54:55" x14ac:dyDescent="0.2">
      <c r="BB3123" s="9" t="s">
        <v>1261</v>
      </c>
      <c r="BC3123" s="1005">
        <v>318</v>
      </c>
    </row>
    <row r="3124" spans="54:55" x14ac:dyDescent="0.2">
      <c r="BB3124" s="9" t="s">
        <v>1261</v>
      </c>
      <c r="BC3124" s="1005">
        <v>319</v>
      </c>
    </row>
    <row r="3125" spans="54:55" x14ac:dyDescent="0.2">
      <c r="BB3125" s="9" t="s">
        <v>1261</v>
      </c>
      <c r="BC3125" s="1005">
        <v>320</v>
      </c>
    </row>
    <row r="3126" spans="54:55" x14ac:dyDescent="0.2">
      <c r="BB3126" s="9" t="s">
        <v>1261</v>
      </c>
      <c r="BC3126" s="1005">
        <v>321</v>
      </c>
    </row>
    <row r="3127" spans="54:55" x14ac:dyDescent="0.2">
      <c r="BB3127" s="9" t="s">
        <v>1261</v>
      </c>
      <c r="BC3127" s="1005">
        <v>322</v>
      </c>
    </row>
    <row r="3128" spans="54:55" x14ac:dyDescent="0.2">
      <c r="BB3128" s="9" t="s">
        <v>1261</v>
      </c>
      <c r="BC3128" s="1005">
        <v>323</v>
      </c>
    </row>
    <row r="3129" spans="54:55" x14ac:dyDescent="0.2">
      <c r="BB3129" s="9" t="s">
        <v>1261</v>
      </c>
      <c r="BC3129" s="1005">
        <v>324</v>
      </c>
    </row>
    <row r="3130" spans="54:55" x14ac:dyDescent="0.2">
      <c r="BB3130" s="9" t="s">
        <v>1261</v>
      </c>
      <c r="BC3130" s="1005">
        <v>325</v>
      </c>
    </row>
    <row r="3131" spans="54:55" x14ac:dyDescent="0.2">
      <c r="BB3131" s="9" t="s">
        <v>1261</v>
      </c>
      <c r="BC3131" s="1005">
        <v>326</v>
      </c>
    </row>
    <row r="3132" spans="54:55" x14ac:dyDescent="0.2">
      <c r="BB3132" s="9" t="s">
        <v>1261</v>
      </c>
      <c r="BC3132" s="1005">
        <v>327</v>
      </c>
    </row>
    <row r="3133" spans="54:55" x14ac:dyDescent="0.2">
      <c r="BB3133" s="9" t="s">
        <v>1261</v>
      </c>
      <c r="BC3133" s="1005">
        <v>328</v>
      </c>
    </row>
    <row r="3134" spans="54:55" x14ac:dyDescent="0.2">
      <c r="BB3134" s="9" t="s">
        <v>1261</v>
      </c>
      <c r="BC3134" s="1005">
        <v>329</v>
      </c>
    </row>
    <row r="3135" spans="54:55" x14ac:dyDescent="0.2">
      <c r="BB3135" s="9" t="s">
        <v>1261</v>
      </c>
      <c r="BC3135" s="1005">
        <v>330</v>
      </c>
    </row>
    <row r="3136" spans="54:55" x14ac:dyDescent="0.2">
      <c r="BB3136" s="9" t="s">
        <v>1261</v>
      </c>
      <c r="BC3136" s="1005">
        <v>331</v>
      </c>
    </row>
    <row r="3137" spans="54:55" x14ac:dyDescent="0.2">
      <c r="BB3137" s="9" t="s">
        <v>1261</v>
      </c>
      <c r="BC3137" s="1005">
        <v>332</v>
      </c>
    </row>
    <row r="3138" spans="54:55" x14ac:dyDescent="0.2">
      <c r="BB3138" s="9" t="s">
        <v>1261</v>
      </c>
      <c r="BC3138" s="1005">
        <v>333</v>
      </c>
    </row>
    <row r="3139" spans="54:55" x14ac:dyDescent="0.2">
      <c r="BB3139" s="9" t="s">
        <v>1261</v>
      </c>
      <c r="BC3139" s="1005">
        <v>334</v>
      </c>
    </row>
    <row r="3140" spans="54:55" x14ac:dyDescent="0.2">
      <c r="BB3140" s="9" t="s">
        <v>1261</v>
      </c>
      <c r="BC3140" s="1005">
        <v>335</v>
      </c>
    </row>
    <row r="3141" spans="54:55" x14ac:dyDescent="0.2">
      <c r="BB3141" s="9" t="s">
        <v>1261</v>
      </c>
      <c r="BC3141" s="1005">
        <v>336</v>
      </c>
    </row>
    <row r="3142" spans="54:55" x14ac:dyDescent="0.2">
      <c r="BB3142" s="9" t="s">
        <v>1261</v>
      </c>
      <c r="BC3142" s="1005">
        <v>337</v>
      </c>
    </row>
    <row r="3143" spans="54:55" x14ac:dyDescent="0.2">
      <c r="BB3143" s="9" t="s">
        <v>1261</v>
      </c>
      <c r="BC3143" s="1005">
        <v>338</v>
      </c>
    </row>
    <row r="3144" spans="54:55" x14ac:dyDescent="0.2">
      <c r="BB3144" s="9" t="s">
        <v>1261</v>
      </c>
      <c r="BC3144" s="1005">
        <v>339</v>
      </c>
    </row>
    <row r="3145" spans="54:55" x14ac:dyDescent="0.2">
      <c r="BB3145" s="9" t="s">
        <v>1261</v>
      </c>
      <c r="BC3145" s="1005">
        <v>340</v>
      </c>
    </row>
    <row r="3146" spans="54:55" x14ac:dyDescent="0.2">
      <c r="BB3146" s="9" t="s">
        <v>1261</v>
      </c>
      <c r="BC3146" s="1005">
        <v>341</v>
      </c>
    </row>
    <row r="3147" spans="54:55" x14ac:dyDescent="0.2">
      <c r="BB3147" s="9" t="s">
        <v>1261</v>
      </c>
      <c r="BC3147" s="1005">
        <v>342</v>
      </c>
    </row>
    <row r="3148" spans="54:55" x14ac:dyDescent="0.2">
      <c r="BB3148" s="9" t="s">
        <v>1261</v>
      </c>
      <c r="BC3148" s="1005">
        <v>343</v>
      </c>
    </row>
    <row r="3149" spans="54:55" x14ac:dyDescent="0.2">
      <c r="BB3149" s="9" t="s">
        <v>1261</v>
      </c>
      <c r="BC3149" s="1005">
        <v>344</v>
      </c>
    </row>
    <row r="3150" spans="54:55" x14ac:dyDescent="0.2">
      <c r="BB3150" s="9" t="s">
        <v>1261</v>
      </c>
      <c r="BC3150" s="1005">
        <v>345</v>
      </c>
    </row>
    <row r="3151" spans="54:55" x14ac:dyDescent="0.2">
      <c r="BB3151" s="9" t="s">
        <v>1261</v>
      </c>
      <c r="BC3151" s="1005">
        <v>346</v>
      </c>
    </row>
    <row r="3152" spans="54:55" x14ac:dyDescent="0.2">
      <c r="BB3152" s="9" t="s">
        <v>1261</v>
      </c>
      <c r="BC3152" s="1005">
        <v>347</v>
      </c>
    </row>
    <row r="3153" spans="54:55" x14ac:dyDescent="0.2">
      <c r="BB3153" s="9" t="s">
        <v>1261</v>
      </c>
      <c r="BC3153" s="1005">
        <v>348</v>
      </c>
    </row>
    <row r="3154" spans="54:55" x14ac:dyDescent="0.2">
      <c r="BB3154" s="9" t="s">
        <v>1261</v>
      </c>
      <c r="BC3154" s="1005">
        <v>349</v>
      </c>
    </row>
    <row r="3155" spans="54:55" x14ac:dyDescent="0.2">
      <c r="BB3155" s="9" t="s">
        <v>1261</v>
      </c>
      <c r="BC3155" s="1005">
        <v>350</v>
      </c>
    </row>
    <row r="3156" spans="54:55" x14ac:dyDescent="0.2">
      <c r="BB3156" s="9" t="s">
        <v>1261</v>
      </c>
      <c r="BC3156" s="1005">
        <v>351</v>
      </c>
    </row>
    <row r="3157" spans="54:55" x14ac:dyDescent="0.2">
      <c r="BB3157" s="9" t="s">
        <v>1261</v>
      </c>
      <c r="BC3157" s="1005">
        <v>352</v>
      </c>
    </row>
    <row r="3158" spans="54:55" x14ac:dyDescent="0.2">
      <c r="BB3158" s="9" t="s">
        <v>1261</v>
      </c>
      <c r="BC3158" s="1005">
        <v>353</v>
      </c>
    </row>
    <row r="3159" spans="54:55" x14ac:dyDescent="0.2">
      <c r="BB3159" s="9" t="s">
        <v>1261</v>
      </c>
      <c r="BC3159" s="1005">
        <v>354</v>
      </c>
    </row>
    <row r="3160" spans="54:55" x14ac:dyDescent="0.2">
      <c r="BB3160" s="9" t="s">
        <v>1261</v>
      </c>
      <c r="BC3160" s="1005">
        <v>355</v>
      </c>
    </row>
    <row r="3161" spans="54:55" x14ac:dyDescent="0.2">
      <c r="BB3161" s="9" t="s">
        <v>1261</v>
      </c>
      <c r="BC3161" s="1005">
        <v>356</v>
      </c>
    </row>
    <row r="3162" spans="54:55" x14ac:dyDescent="0.2">
      <c r="BB3162" s="9" t="s">
        <v>1261</v>
      </c>
      <c r="BC3162" s="1005">
        <v>357</v>
      </c>
    </row>
    <row r="3163" spans="54:55" x14ac:dyDescent="0.2">
      <c r="BB3163" s="9" t="s">
        <v>1261</v>
      </c>
      <c r="BC3163" s="1005">
        <v>358</v>
      </c>
    </row>
    <row r="3164" spans="54:55" x14ac:dyDescent="0.2">
      <c r="BB3164" s="9" t="s">
        <v>1261</v>
      </c>
      <c r="BC3164" s="1005">
        <v>359</v>
      </c>
    </row>
    <row r="3165" spans="54:55" x14ac:dyDescent="0.2">
      <c r="BB3165" s="9" t="s">
        <v>1261</v>
      </c>
      <c r="BC3165" s="1005">
        <v>360</v>
      </c>
    </row>
    <row r="3166" spans="54:55" x14ac:dyDescent="0.2">
      <c r="BB3166" s="9" t="s">
        <v>1261</v>
      </c>
      <c r="BC3166" s="1005">
        <v>361</v>
      </c>
    </row>
    <row r="3167" spans="54:55" x14ac:dyDescent="0.2">
      <c r="BB3167" s="9" t="s">
        <v>1261</v>
      </c>
      <c r="BC3167" s="1005">
        <v>362</v>
      </c>
    </row>
    <row r="3168" spans="54:55" x14ac:dyDescent="0.2">
      <c r="BB3168" s="9" t="s">
        <v>1261</v>
      </c>
      <c r="BC3168" s="1005">
        <v>363</v>
      </c>
    </row>
    <row r="3169" spans="54:55" x14ac:dyDescent="0.2">
      <c r="BB3169" s="9" t="s">
        <v>1261</v>
      </c>
      <c r="BC3169" s="1005">
        <v>364</v>
      </c>
    </row>
    <row r="3170" spans="54:55" x14ac:dyDescent="0.2">
      <c r="BB3170" s="9" t="s">
        <v>1261</v>
      </c>
      <c r="BC3170" s="1005">
        <v>365</v>
      </c>
    </row>
    <row r="3171" spans="54:55" x14ac:dyDescent="0.2">
      <c r="BB3171" s="9" t="s">
        <v>1261</v>
      </c>
      <c r="BC3171" s="1005">
        <v>366</v>
      </c>
    </row>
    <row r="3172" spans="54:55" x14ac:dyDescent="0.2">
      <c r="BB3172" s="9" t="s">
        <v>1261</v>
      </c>
      <c r="BC3172" s="1005">
        <v>367</v>
      </c>
    </row>
    <row r="3173" spans="54:55" x14ac:dyDescent="0.2">
      <c r="BB3173" s="9" t="s">
        <v>1261</v>
      </c>
      <c r="BC3173" s="1005">
        <v>368</v>
      </c>
    </row>
    <row r="3174" spans="54:55" x14ac:dyDescent="0.2">
      <c r="BB3174" s="9" t="s">
        <v>1261</v>
      </c>
      <c r="BC3174" s="1005">
        <v>369</v>
      </c>
    </row>
    <row r="3175" spans="54:55" x14ac:dyDescent="0.2">
      <c r="BB3175" s="9" t="s">
        <v>1261</v>
      </c>
      <c r="BC3175" s="1005">
        <v>370</v>
      </c>
    </row>
    <row r="3176" spans="54:55" x14ac:dyDescent="0.2">
      <c r="BB3176" s="9" t="s">
        <v>1261</v>
      </c>
      <c r="BC3176" s="1005">
        <v>371</v>
      </c>
    </row>
    <row r="3177" spans="54:55" x14ac:dyDescent="0.2">
      <c r="BB3177" s="9" t="s">
        <v>1261</v>
      </c>
      <c r="BC3177" s="1005">
        <v>372</v>
      </c>
    </row>
    <row r="3178" spans="54:55" x14ac:dyDescent="0.2">
      <c r="BB3178" s="9" t="s">
        <v>1261</v>
      </c>
      <c r="BC3178" s="1005">
        <v>373</v>
      </c>
    </row>
    <row r="3179" spans="54:55" x14ac:dyDescent="0.2">
      <c r="BB3179" s="9" t="s">
        <v>1261</v>
      </c>
      <c r="BC3179" s="1005">
        <v>374</v>
      </c>
    </row>
    <row r="3180" spans="54:55" x14ac:dyDescent="0.2">
      <c r="BB3180" s="9" t="s">
        <v>1261</v>
      </c>
      <c r="BC3180" s="1005">
        <v>375</v>
      </c>
    </row>
    <row r="3181" spans="54:55" x14ac:dyDescent="0.2">
      <c r="BB3181" s="9" t="s">
        <v>1261</v>
      </c>
      <c r="BC3181" s="1005">
        <v>376</v>
      </c>
    </row>
    <row r="3182" spans="54:55" x14ac:dyDescent="0.2">
      <c r="BB3182" s="9" t="s">
        <v>1261</v>
      </c>
      <c r="BC3182" s="1005">
        <v>377</v>
      </c>
    </row>
    <row r="3183" spans="54:55" x14ac:dyDescent="0.2">
      <c r="BB3183" s="9" t="s">
        <v>1261</v>
      </c>
      <c r="BC3183" s="1005">
        <v>378</v>
      </c>
    </row>
    <row r="3184" spans="54:55" x14ac:dyDescent="0.2">
      <c r="BB3184" s="9" t="s">
        <v>1261</v>
      </c>
      <c r="BC3184" s="1005">
        <v>379</v>
      </c>
    </row>
    <row r="3185" spans="54:55" x14ac:dyDescent="0.2">
      <c r="BB3185" s="9" t="s">
        <v>1261</v>
      </c>
      <c r="BC3185" s="1005">
        <v>380</v>
      </c>
    </row>
    <row r="3186" spans="54:55" x14ac:dyDescent="0.2">
      <c r="BB3186" s="9" t="s">
        <v>1261</v>
      </c>
      <c r="BC3186" s="1005">
        <v>381</v>
      </c>
    </row>
    <row r="3187" spans="54:55" x14ac:dyDescent="0.2">
      <c r="BB3187" s="9" t="s">
        <v>1261</v>
      </c>
      <c r="BC3187" s="1005">
        <v>382</v>
      </c>
    </row>
    <row r="3188" spans="54:55" x14ac:dyDescent="0.2">
      <c r="BB3188" s="9" t="s">
        <v>1261</v>
      </c>
      <c r="BC3188" s="1005">
        <v>383</v>
      </c>
    </row>
    <row r="3189" spans="54:55" x14ac:dyDescent="0.2">
      <c r="BB3189" s="9" t="s">
        <v>1261</v>
      </c>
      <c r="BC3189" s="1005">
        <v>384</v>
      </c>
    </row>
    <row r="3190" spans="54:55" x14ac:dyDescent="0.2">
      <c r="BB3190" s="9" t="s">
        <v>1261</v>
      </c>
      <c r="BC3190" s="1005">
        <v>385</v>
      </c>
    </row>
    <row r="3191" spans="54:55" x14ac:dyDescent="0.2">
      <c r="BB3191" s="9" t="s">
        <v>1261</v>
      </c>
      <c r="BC3191" s="1005">
        <v>386</v>
      </c>
    </row>
    <row r="3192" spans="54:55" x14ac:dyDescent="0.2">
      <c r="BB3192" s="9" t="s">
        <v>1261</v>
      </c>
      <c r="BC3192" s="1005">
        <v>387</v>
      </c>
    </row>
    <row r="3193" spans="54:55" x14ac:dyDescent="0.2">
      <c r="BB3193" s="9" t="s">
        <v>1261</v>
      </c>
      <c r="BC3193" s="1005">
        <v>388</v>
      </c>
    </row>
    <row r="3194" spans="54:55" x14ac:dyDescent="0.2">
      <c r="BB3194" s="9" t="s">
        <v>1261</v>
      </c>
      <c r="BC3194" s="1005">
        <v>389</v>
      </c>
    </row>
    <row r="3195" spans="54:55" x14ac:dyDescent="0.2">
      <c r="BB3195" s="9" t="s">
        <v>1261</v>
      </c>
      <c r="BC3195" s="1005">
        <v>390</v>
      </c>
    </row>
    <row r="3196" spans="54:55" x14ac:dyDescent="0.2">
      <c r="BB3196" s="9" t="s">
        <v>1261</v>
      </c>
      <c r="BC3196" s="1005">
        <v>391</v>
      </c>
    </row>
    <row r="3197" spans="54:55" x14ac:dyDescent="0.2">
      <c r="BB3197" s="9" t="s">
        <v>1261</v>
      </c>
      <c r="BC3197" s="1005">
        <v>392</v>
      </c>
    </row>
    <row r="3198" spans="54:55" x14ac:dyDescent="0.2">
      <c r="BB3198" s="9" t="s">
        <v>1261</v>
      </c>
      <c r="BC3198" s="1005">
        <v>393</v>
      </c>
    </row>
    <row r="3199" spans="54:55" x14ac:dyDescent="0.2">
      <c r="BB3199" s="9" t="s">
        <v>1261</v>
      </c>
      <c r="BC3199" s="1005">
        <v>394</v>
      </c>
    </row>
    <row r="3200" spans="54:55" x14ac:dyDescent="0.2">
      <c r="BB3200" s="9" t="s">
        <v>1261</v>
      </c>
      <c r="BC3200" s="1005">
        <v>395</v>
      </c>
    </row>
    <row r="3201" spans="54:55" x14ac:dyDescent="0.2">
      <c r="BB3201" s="9" t="s">
        <v>1261</v>
      </c>
      <c r="BC3201" s="1005">
        <v>396</v>
      </c>
    </row>
    <row r="3202" spans="54:55" x14ac:dyDescent="0.2">
      <c r="BB3202" s="9" t="s">
        <v>1261</v>
      </c>
      <c r="BC3202" s="1005">
        <v>397</v>
      </c>
    </row>
    <row r="3203" spans="54:55" x14ac:dyDescent="0.2">
      <c r="BB3203" s="9" t="s">
        <v>1261</v>
      </c>
      <c r="BC3203" s="1005">
        <v>398</v>
      </c>
    </row>
    <row r="3204" spans="54:55" x14ac:dyDescent="0.2">
      <c r="BB3204" s="9" t="s">
        <v>1261</v>
      </c>
      <c r="BC3204" s="1005">
        <v>399</v>
      </c>
    </row>
    <row r="3205" spans="54:55" x14ac:dyDescent="0.2">
      <c r="BB3205" s="9" t="s">
        <v>1261</v>
      </c>
      <c r="BC3205" s="1005">
        <v>400</v>
      </c>
    </row>
    <row r="3206" spans="54:55" x14ac:dyDescent="0.2">
      <c r="BB3206" s="9" t="s">
        <v>1261</v>
      </c>
      <c r="BC3206" s="1005">
        <v>401</v>
      </c>
    </row>
    <row r="3207" spans="54:55" x14ac:dyDescent="0.2">
      <c r="BB3207" s="9" t="s">
        <v>1261</v>
      </c>
      <c r="BC3207" s="1005">
        <v>402</v>
      </c>
    </row>
    <row r="3208" spans="54:55" x14ac:dyDescent="0.2">
      <c r="BB3208" s="9" t="s">
        <v>1261</v>
      </c>
      <c r="BC3208" s="1005">
        <v>403</v>
      </c>
    </row>
    <row r="3209" spans="54:55" x14ac:dyDescent="0.2">
      <c r="BB3209" s="9" t="s">
        <v>1261</v>
      </c>
      <c r="BC3209" s="1005">
        <v>404</v>
      </c>
    </row>
    <row r="3210" spans="54:55" x14ac:dyDescent="0.2">
      <c r="BB3210" s="9" t="s">
        <v>1261</v>
      </c>
      <c r="BC3210" s="1005">
        <v>405</v>
      </c>
    </row>
    <row r="3211" spans="54:55" x14ac:dyDescent="0.2">
      <c r="BB3211" s="9" t="s">
        <v>1261</v>
      </c>
      <c r="BC3211" s="1005">
        <v>406</v>
      </c>
    </row>
    <row r="3212" spans="54:55" x14ac:dyDescent="0.2">
      <c r="BB3212" s="9" t="s">
        <v>1261</v>
      </c>
      <c r="BC3212" s="1005">
        <v>407</v>
      </c>
    </row>
    <row r="3213" spans="54:55" x14ac:dyDescent="0.2">
      <c r="BB3213" s="9" t="s">
        <v>1261</v>
      </c>
      <c r="BC3213" s="1005">
        <v>408</v>
      </c>
    </row>
    <row r="3214" spans="54:55" x14ac:dyDescent="0.2">
      <c r="BB3214" s="9" t="s">
        <v>1261</v>
      </c>
      <c r="BC3214" s="1005">
        <v>409</v>
      </c>
    </row>
    <row r="3215" spans="54:55" x14ac:dyDescent="0.2">
      <c r="BB3215" s="9" t="s">
        <v>1261</v>
      </c>
      <c r="BC3215" s="1005">
        <v>410</v>
      </c>
    </row>
    <row r="3216" spans="54:55" x14ac:dyDescent="0.2">
      <c r="BB3216" s="9" t="s">
        <v>1261</v>
      </c>
      <c r="BC3216" s="1005">
        <v>411</v>
      </c>
    </row>
    <row r="3217" spans="54:55" x14ac:dyDescent="0.2">
      <c r="BB3217" s="9" t="s">
        <v>1261</v>
      </c>
      <c r="BC3217" s="1005">
        <v>412</v>
      </c>
    </row>
    <row r="3218" spans="54:55" x14ac:dyDescent="0.2">
      <c r="BB3218" s="9" t="s">
        <v>1261</v>
      </c>
      <c r="BC3218" s="1005">
        <v>413</v>
      </c>
    </row>
    <row r="3219" spans="54:55" x14ac:dyDescent="0.2">
      <c r="BB3219" s="9" t="s">
        <v>1261</v>
      </c>
      <c r="BC3219" s="1005">
        <v>414</v>
      </c>
    </row>
    <row r="3220" spans="54:55" x14ac:dyDescent="0.2">
      <c r="BB3220" s="9" t="s">
        <v>1261</v>
      </c>
      <c r="BC3220" s="1005">
        <v>415</v>
      </c>
    </row>
    <row r="3221" spans="54:55" x14ac:dyDescent="0.2">
      <c r="BB3221" s="9" t="s">
        <v>1261</v>
      </c>
      <c r="BC3221" s="1005">
        <v>416</v>
      </c>
    </row>
    <row r="3222" spans="54:55" x14ac:dyDescent="0.2">
      <c r="BB3222" s="9" t="s">
        <v>1261</v>
      </c>
      <c r="BC3222" s="1005">
        <v>417</v>
      </c>
    </row>
    <row r="3223" spans="54:55" x14ac:dyDescent="0.2">
      <c r="BB3223" s="9" t="s">
        <v>1261</v>
      </c>
      <c r="BC3223" s="1005">
        <v>418</v>
      </c>
    </row>
    <row r="3224" spans="54:55" x14ac:dyDescent="0.2">
      <c r="BB3224" s="9" t="s">
        <v>1261</v>
      </c>
      <c r="BC3224" s="1005">
        <v>419</v>
      </c>
    </row>
    <row r="3225" spans="54:55" x14ac:dyDescent="0.2">
      <c r="BB3225" s="9" t="s">
        <v>1261</v>
      </c>
      <c r="BC3225" s="1005">
        <v>420</v>
      </c>
    </row>
    <row r="3226" spans="54:55" x14ac:dyDescent="0.2">
      <c r="BB3226" s="9" t="s">
        <v>1261</v>
      </c>
      <c r="BC3226" s="1005">
        <v>421</v>
      </c>
    </row>
    <row r="3227" spans="54:55" x14ac:dyDescent="0.2">
      <c r="BB3227" s="9" t="s">
        <v>1261</v>
      </c>
      <c r="BC3227" s="1005">
        <v>422</v>
      </c>
    </row>
    <row r="3228" spans="54:55" x14ac:dyDescent="0.2">
      <c r="BB3228" s="9" t="s">
        <v>1261</v>
      </c>
      <c r="BC3228" s="1005">
        <v>423</v>
      </c>
    </row>
    <row r="3229" spans="54:55" x14ac:dyDescent="0.2">
      <c r="BB3229" s="9" t="s">
        <v>1261</v>
      </c>
      <c r="BC3229" s="1005">
        <v>424</v>
      </c>
    </row>
    <row r="3230" spans="54:55" x14ac:dyDescent="0.2">
      <c r="BB3230" s="9" t="s">
        <v>1261</v>
      </c>
      <c r="BC3230" s="1005">
        <v>425</v>
      </c>
    </row>
    <row r="3231" spans="54:55" x14ac:dyDescent="0.2">
      <c r="BB3231" s="9" t="s">
        <v>1261</v>
      </c>
      <c r="BC3231" s="1005">
        <v>426</v>
      </c>
    </row>
    <row r="3232" spans="54:55" x14ac:dyDescent="0.2">
      <c r="BB3232" s="9" t="s">
        <v>1261</v>
      </c>
      <c r="BC3232" s="1005">
        <v>427</v>
      </c>
    </row>
    <row r="3233" spans="54:55" x14ac:dyDescent="0.2">
      <c r="BB3233" s="9" t="s">
        <v>1261</v>
      </c>
      <c r="BC3233" s="1005">
        <v>428</v>
      </c>
    </row>
    <row r="3234" spans="54:55" x14ac:dyDescent="0.2">
      <c r="BB3234" s="9" t="s">
        <v>1261</v>
      </c>
      <c r="BC3234" s="1005">
        <v>429</v>
      </c>
    </row>
    <row r="3235" spans="54:55" x14ac:dyDescent="0.2">
      <c r="BB3235" s="9" t="s">
        <v>1261</v>
      </c>
      <c r="BC3235" s="1005">
        <v>430</v>
      </c>
    </row>
    <row r="3236" spans="54:55" x14ac:dyDescent="0.2">
      <c r="BB3236" s="9" t="s">
        <v>1261</v>
      </c>
      <c r="BC3236" s="1005">
        <v>431</v>
      </c>
    </row>
    <row r="3237" spans="54:55" x14ac:dyDescent="0.2">
      <c r="BB3237" s="9" t="s">
        <v>1261</v>
      </c>
      <c r="BC3237" s="1005">
        <v>432</v>
      </c>
    </row>
    <row r="3238" spans="54:55" x14ac:dyDescent="0.2">
      <c r="BB3238" s="9" t="s">
        <v>1261</v>
      </c>
      <c r="BC3238" s="1005">
        <v>433</v>
      </c>
    </row>
    <row r="3239" spans="54:55" x14ac:dyDescent="0.2">
      <c r="BB3239" s="9" t="s">
        <v>1261</v>
      </c>
      <c r="BC3239" s="1005">
        <v>434</v>
      </c>
    </row>
    <row r="3240" spans="54:55" x14ac:dyDescent="0.2">
      <c r="BB3240" s="9" t="s">
        <v>1261</v>
      </c>
      <c r="BC3240" s="1005">
        <v>435</v>
      </c>
    </row>
    <row r="3241" spans="54:55" x14ac:dyDescent="0.2">
      <c r="BB3241" s="9" t="s">
        <v>1261</v>
      </c>
      <c r="BC3241" s="1005">
        <v>436</v>
      </c>
    </row>
    <row r="3242" spans="54:55" x14ac:dyDescent="0.2">
      <c r="BB3242" s="9" t="s">
        <v>1261</v>
      </c>
      <c r="BC3242" s="1005">
        <v>437</v>
      </c>
    </row>
    <row r="3243" spans="54:55" x14ac:dyDescent="0.2">
      <c r="BB3243" s="9" t="s">
        <v>1261</v>
      </c>
      <c r="BC3243" s="1005">
        <v>438</v>
      </c>
    </row>
    <row r="3244" spans="54:55" x14ac:dyDescent="0.2">
      <c r="BB3244" s="9" t="s">
        <v>1261</v>
      </c>
      <c r="BC3244" s="1005">
        <v>439</v>
      </c>
    </row>
    <row r="3245" spans="54:55" x14ac:dyDescent="0.2">
      <c r="BB3245" s="9" t="s">
        <v>1261</v>
      </c>
      <c r="BC3245" s="1005">
        <v>440</v>
      </c>
    </row>
    <row r="3246" spans="54:55" x14ac:dyDescent="0.2">
      <c r="BB3246" s="9" t="s">
        <v>1261</v>
      </c>
      <c r="BC3246" s="1005">
        <v>441</v>
      </c>
    </row>
    <row r="3247" spans="54:55" x14ac:dyDescent="0.2">
      <c r="BB3247" s="9" t="s">
        <v>1261</v>
      </c>
      <c r="BC3247" s="1005">
        <v>442</v>
      </c>
    </row>
    <row r="3248" spans="54:55" x14ac:dyDescent="0.2">
      <c r="BB3248" s="9" t="s">
        <v>1261</v>
      </c>
      <c r="BC3248" s="1005">
        <v>443</v>
      </c>
    </row>
    <row r="3249" spans="54:55" x14ac:dyDescent="0.2">
      <c r="BB3249" s="9" t="s">
        <v>1261</v>
      </c>
      <c r="BC3249" s="1005">
        <v>444</v>
      </c>
    </row>
    <row r="3250" spans="54:55" x14ac:dyDescent="0.2">
      <c r="BB3250" s="9" t="s">
        <v>1261</v>
      </c>
      <c r="BC3250" s="1005">
        <v>445</v>
      </c>
    </row>
    <row r="3251" spans="54:55" x14ac:dyDescent="0.2">
      <c r="BB3251" s="9" t="s">
        <v>1261</v>
      </c>
      <c r="BC3251" s="1005">
        <v>446</v>
      </c>
    </row>
    <row r="3252" spans="54:55" x14ac:dyDescent="0.2">
      <c r="BB3252" s="9" t="s">
        <v>1261</v>
      </c>
      <c r="BC3252" s="1005">
        <v>447</v>
      </c>
    </row>
    <row r="3253" spans="54:55" x14ac:dyDescent="0.2">
      <c r="BB3253" s="9" t="s">
        <v>1261</v>
      </c>
      <c r="BC3253" s="1005">
        <v>448</v>
      </c>
    </row>
    <row r="3254" spans="54:55" x14ac:dyDescent="0.2">
      <c r="BB3254" s="9" t="s">
        <v>1261</v>
      </c>
      <c r="BC3254" s="1005">
        <v>449</v>
      </c>
    </row>
    <row r="3255" spans="54:55" x14ac:dyDescent="0.2">
      <c r="BB3255" s="9" t="s">
        <v>1261</v>
      </c>
      <c r="BC3255" s="1005">
        <v>450</v>
      </c>
    </row>
    <row r="3256" spans="54:55" x14ac:dyDescent="0.2">
      <c r="BB3256" s="9" t="s">
        <v>1261</v>
      </c>
      <c r="BC3256" s="1005">
        <v>451</v>
      </c>
    </row>
    <row r="3257" spans="54:55" x14ac:dyDescent="0.2">
      <c r="BB3257" s="9" t="s">
        <v>1261</v>
      </c>
      <c r="BC3257" s="1005">
        <v>452</v>
      </c>
    </row>
    <row r="3258" spans="54:55" x14ac:dyDescent="0.2">
      <c r="BB3258" s="9" t="s">
        <v>1261</v>
      </c>
      <c r="BC3258" s="1005">
        <v>453</v>
      </c>
    </row>
    <row r="3259" spans="54:55" x14ac:dyDescent="0.2">
      <c r="BB3259" s="9" t="s">
        <v>1261</v>
      </c>
      <c r="BC3259" s="1005">
        <v>454</v>
      </c>
    </row>
    <row r="3260" spans="54:55" x14ac:dyDescent="0.2">
      <c r="BB3260" s="9" t="s">
        <v>1261</v>
      </c>
      <c r="BC3260" s="1005">
        <v>455</v>
      </c>
    </row>
    <row r="3261" spans="54:55" x14ac:dyDescent="0.2">
      <c r="BB3261" s="9" t="s">
        <v>1261</v>
      </c>
      <c r="BC3261" s="1005">
        <v>456</v>
      </c>
    </row>
    <row r="3262" spans="54:55" x14ac:dyDescent="0.2">
      <c r="BB3262" s="9" t="s">
        <v>1261</v>
      </c>
      <c r="BC3262" s="1005">
        <v>457</v>
      </c>
    </row>
    <row r="3263" spans="54:55" x14ac:dyDescent="0.2">
      <c r="BB3263" s="9" t="s">
        <v>1261</v>
      </c>
      <c r="BC3263" s="1005">
        <v>458</v>
      </c>
    </row>
    <row r="3264" spans="54:55" x14ac:dyDescent="0.2">
      <c r="BB3264" s="9" t="s">
        <v>1261</v>
      </c>
      <c r="BC3264" s="1005">
        <v>459</v>
      </c>
    </row>
    <row r="3265" spans="54:55" x14ac:dyDescent="0.2">
      <c r="BB3265" s="9" t="s">
        <v>1261</v>
      </c>
      <c r="BC3265" s="1005">
        <v>460</v>
      </c>
    </row>
    <row r="3266" spans="54:55" x14ac:dyDescent="0.2">
      <c r="BB3266" s="9" t="s">
        <v>1261</v>
      </c>
      <c r="BC3266" s="1005">
        <v>461</v>
      </c>
    </row>
    <row r="3267" spans="54:55" x14ac:dyDescent="0.2">
      <c r="BB3267" s="9" t="s">
        <v>1261</v>
      </c>
      <c r="BC3267" s="1005">
        <v>462</v>
      </c>
    </row>
    <row r="3268" spans="54:55" x14ac:dyDescent="0.2">
      <c r="BB3268" s="9" t="s">
        <v>1261</v>
      </c>
      <c r="BC3268" s="1005">
        <v>463</v>
      </c>
    </row>
    <row r="3269" spans="54:55" x14ac:dyDescent="0.2">
      <c r="BB3269" s="9" t="s">
        <v>1261</v>
      </c>
      <c r="BC3269" s="1005">
        <v>464</v>
      </c>
    </row>
    <row r="3270" spans="54:55" x14ac:dyDescent="0.2">
      <c r="BB3270" s="9" t="s">
        <v>1261</v>
      </c>
      <c r="BC3270" s="1005">
        <v>465</v>
      </c>
    </row>
    <row r="3271" spans="54:55" x14ac:dyDescent="0.2">
      <c r="BB3271" s="9" t="s">
        <v>1261</v>
      </c>
      <c r="BC3271" s="1005">
        <v>466</v>
      </c>
    </row>
    <row r="3272" spans="54:55" x14ac:dyDescent="0.2">
      <c r="BB3272" s="9" t="s">
        <v>1261</v>
      </c>
      <c r="BC3272" s="1005">
        <v>467</v>
      </c>
    </row>
    <row r="3273" spans="54:55" x14ac:dyDescent="0.2">
      <c r="BB3273" s="9" t="s">
        <v>1261</v>
      </c>
      <c r="BC3273" s="1005">
        <v>468</v>
      </c>
    </row>
    <row r="3274" spans="54:55" x14ac:dyDescent="0.2">
      <c r="BB3274" s="9" t="s">
        <v>1261</v>
      </c>
      <c r="BC3274" s="1005">
        <v>469</v>
      </c>
    </row>
    <row r="3275" spans="54:55" x14ac:dyDescent="0.2">
      <c r="BB3275" s="9" t="s">
        <v>1261</v>
      </c>
      <c r="BC3275" s="1005">
        <v>470</v>
      </c>
    </row>
    <row r="3276" spans="54:55" x14ac:dyDescent="0.2">
      <c r="BB3276" s="9" t="s">
        <v>1261</v>
      </c>
      <c r="BC3276" s="1005">
        <v>471</v>
      </c>
    </row>
    <row r="3277" spans="54:55" x14ac:dyDescent="0.2">
      <c r="BB3277" s="9" t="s">
        <v>1261</v>
      </c>
      <c r="BC3277" s="1005">
        <v>472</v>
      </c>
    </row>
    <row r="3278" spans="54:55" x14ac:dyDescent="0.2">
      <c r="BB3278" s="9" t="s">
        <v>1261</v>
      </c>
      <c r="BC3278" s="1005">
        <v>473</v>
      </c>
    </row>
    <row r="3279" spans="54:55" x14ac:dyDescent="0.2">
      <c r="BB3279" s="9" t="s">
        <v>1261</v>
      </c>
      <c r="BC3279" s="1005">
        <v>474</v>
      </c>
    </row>
    <row r="3280" spans="54:55" x14ac:dyDescent="0.2">
      <c r="BB3280" s="9" t="s">
        <v>1261</v>
      </c>
      <c r="BC3280" s="1005">
        <v>475</v>
      </c>
    </row>
    <row r="3281" spans="54:55" x14ac:dyDescent="0.2">
      <c r="BB3281" s="9" t="s">
        <v>1261</v>
      </c>
      <c r="BC3281" s="1005">
        <v>476</v>
      </c>
    </row>
    <row r="3282" spans="54:55" x14ac:dyDescent="0.2">
      <c r="BB3282" s="9" t="s">
        <v>1261</v>
      </c>
      <c r="BC3282" s="1005">
        <v>477</v>
      </c>
    </row>
    <row r="3283" spans="54:55" x14ac:dyDescent="0.2">
      <c r="BB3283" s="9" t="s">
        <v>1261</v>
      </c>
      <c r="BC3283" s="1005">
        <v>478</v>
      </c>
    </row>
    <row r="3284" spans="54:55" x14ac:dyDescent="0.2">
      <c r="BB3284" s="9" t="s">
        <v>1261</v>
      </c>
      <c r="BC3284" s="1005">
        <v>479</v>
      </c>
    </row>
    <row r="3285" spans="54:55" x14ac:dyDescent="0.2">
      <c r="BB3285" s="9" t="s">
        <v>1261</v>
      </c>
      <c r="BC3285" s="1005">
        <v>480</v>
      </c>
    </row>
    <row r="3286" spans="54:55" x14ac:dyDescent="0.2">
      <c r="BB3286" s="9" t="s">
        <v>1261</v>
      </c>
      <c r="BC3286" s="1005">
        <v>481</v>
      </c>
    </row>
    <row r="3287" spans="54:55" x14ac:dyDescent="0.2">
      <c r="BB3287" s="9" t="s">
        <v>1261</v>
      </c>
      <c r="BC3287" s="1005">
        <v>482</v>
      </c>
    </row>
    <row r="3288" spans="54:55" x14ac:dyDescent="0.2">
      <c r="BB3288" s="9" t="s">
        <v>1261</v>
      </c>
      <c r="BC3288" s="1005">
        <v>483</v>
      </c>
    </row>
    <row r="3289" spans="54:55" x14ac:dyDescent="0.2">
      <c r="BB3289" s="9" t="s">
        <v>1261</v>
      </c>
      <c r="BC3289" s="1005">
        <v>484</v>
      </c>
    </row>
    <row r="3290" spans="54:55" x14ac:dyDescent="0.2">
      <c r="BB3290" s="9" t="s">
        <v>1261</v>
      </c>
      <c r="BC3290" s="1005">
        <v>485</v>
      </c>
    </row>
    <row r="3291" spans="54:55" x14ac:dyDescent="0.2">
      <c r="BB3291" s="9" t="s">
        <v>1261</v>
      </c>
      <c r="BC3291" s="1005">
        <v>486</v>
      </c>
    </row>
    <row r="3292" spans="54:55" x14ac:dyDescent="0.2">
      <c r="BB3292" s="9" t="s">
        <v>1261</v>
      </c>
      <c r="BC3292" s="1005">
        <v>487</v>
      </c>
    </row>
    <row r="3293" spans="54:55" x14ac:dyDescent="0.2">
      <c r="BB3293" s="9" t="s">
        <v>1261</v>
      </c>
      <c r="BC3293" s="1005">
        <v>488</v>
      </c>
    </row>
    <row r="3294" spans="54:55" x14ac:dyDescent="0.2">
      <c r="BB3294" s="9" t="s">
        <v>1261</v>
      </c>
      <c r="BC3294" s="1005">
        <v>489</v>
      </c>
    </row>
    <row r="3295" spans="54:55" x14ac:dyDescent="0.2">
      <c r="BB3295" s="9" t="s">
        <v>1261</v>
      </c>
      <c r="BC3295" s="1005">
        <v>490</v>
      </c>
    </row>
    <row r="3296" spans="54:55" x14ac:dyDescent="0.2">
      <c r="BB3296" s="9" t="s">
        <v>1261</v>
      </c>
      <c r="BC3296" s="1005">
        <v>491</v>
      </c>
    </row>
    <row r="3297" spans="54:55" x14ac:dyDescent="0.2">
      <c r="BB3297" s="9" t="s">
        <v>1261</v>
      </c>
      <c r="BC3297" s="1005">
        <v>492</v>
      </c>
    </row>
    <row r="3298" spans="54:55" x14ac:dyDescent="0.2">
      <c r="BB3298" s="9" t="s">
        <v>1261</v>
      </c>
      <c r="BC3298" s="1005">
        <v>493</v>
      </c>
    </row>
    <row r="3299" spans="54:55" x14ac:dyDescent="0.2">
      <c r="BB3299" s="9" t="s">
        <v>1261</v>
      </c>
      <c r="BC3299" s="1005">
        <v>494</v>
      </c>
    </row>
    <row r="3300" spans="54:55" x14ac:dyDescent="0.2">
      <c r="BB3300" s="9" t="s">
        <v>1261</v>
      </c>
      <c r="BC3300" s="1005">
        <v>495</v>
      </c>
    </row>
    <row r="3301" spans="54:55" x14ac:dyDescent="0.2">
      <c r="BB3301" s="9" t="s">
        <v>1261</v>
      </c>
      <c r="BC3301" s="1005">
        <v>496</v>
      </c>
    </row>
    <row r="3302" spans="54:55" x14ac:dyDescent="0.2">
      <c r="BB3302" s="9" t="s">
        <v>1261</v>
      </c>
      <c r="BC3302" s="1005">
        <v>497</v>
      </c>
    </row>
    <row r="3303" spans="54:55" x14ac:dyDescent="0.2">
      <c r="BB3303" s="9" t="s">
        <v>1261</v>
      </c>
      <c r="BC3303" s="1005">
        <v>498</v>
      </c>
    </row>
    <row r="3304" spans="54:55" x14ac:dyDescent="0.2">
      <c r="BB3304" s="9" t="s">
        <v>1261</v>
      </c>
      <c r="BC3304" s="1005">
        <v>499</v>
      </c>
    </row>
    <row r="3305" spans="54:55" x14ac:dyDescent="0.2">
      <c r="BB3305" s="9" t="s">
        <v>1261</v>
      </c>
      <c r="BC3305" s="1005">
        <v>500</v>
      </c>
    </row>
    <row r="3306" spans="54:55" x14ac:dyDescent="0.2">
      <c r="BB3306" s="9" t="s">
        <v>1261</v>
      </c>
      <c r="BC3306" s="1005">
        <v>501</v>
      </c>
    </row>
    <row r="3307" spans="54:55" x14ac:dyDescent="0.2">
      <c r="BB3307" s="9" t="s">
        <v>1261</v>
      </c>
      <c r="BC3307" s="1005">
        <v>502</v>
      </c>
    </row>
    <row r="3308" spans="54:55" x14ac:dyDescent="0.2">
      <c r="BB3308" s="9" t="s">
        <v>1261</v>
      </c>
      <c r="BC3308" s="1005">
        <v>503</v>
      </c>
    </row>
    <row r="3309" spans="54:55" x14ac:dyDescent="0.2">
      <c r="BB3309" s="9" t="s">
        <v>1261</v>
      </c>
      <c r="BC3309" s="1005">
        <v>504</v>
      </c>
    </row>
    <row r="3310" spans="54:55" x14ac:dyDescent="0.2">
      <c r="BB3310" s="9" t="s">
        <v>1261</v>
      </c>
      <c r="BC3310" s="1005">
        <v>505</v>
      </c>
    </row>
    <row r="3311" spans="54:55" x14ac:dyDescent="0.2">
      <c r="BB3311" s="9" t="s">
        <v>1261</v>
      </c>
      <c r="BC3311" s="1005">
        <v>506</v>
      </c>
    </row>
    <row r="3312" spans="54:55" x14ac:dyDescent="0.2">
      <c r="BB3312" s="9" t="s">
        <v>1261</v>
      </c>
      <c r="BC3312" s="1005">
        <v>507</v>
      </c>
    </row>
    <row r="3313" spans="54:55" x14ac:dyDescent="0.2">
      <c r="BB3313" s="9" t="s">
        <v>1261</v>
      </c>
      <c r="BC3313" s="1005">
        <v>508</v>
      </c>
    </row>
    <row r="3314" spans="54:55" x14ac:dyDescent="0.2">
      <c r="BB3314" s="9" t="s">
        <v>1261</v>
      </c>
      <c r="BC3314" s="1005">
        <v>509</v>
      </c>
    </row>
    <row r="3315" spans="54:55" x14ac:dyDescent="0.2">
      <c r="BB3315" s="9" t="s">
        <v>1261</v>
      </c>
      <c r="BC3315" s="1005">
        <v>510</v>
      </c>
    </row>
    <row r="3316" spans="54:55" x14ac:dyDescent="0.2">
      <c r="BB3316" s="9" t="s">
        <v>1261</v>
      </c>
      <c r="BC3316" s="1005">
        <v>511</v>
      </c>
    </row>
    <row r="3317" spans="54:55" x14ac:dyDescent="0.2">
      <c r="BB3317" s="9" t="s">
        <v>1261</v>
      </c>
      <c r="BC3317" s="1005">
        <v>512</v>
      </c>
    </row>
    <row r="3318" spans="54:55" x14ac:dyDescent="0.2">
      <c r="BB3318" s="9" t="s">
        <v>1261</v>
      </c>
      <c r="BC3318" s="1005">
        <v>513</v>
      </c>
    </row>
    <row r="3319" spans="54:55" x14ac:dyDescent="0.2">
      <c r="BB3319" s="9" t="s">
        <v>1261</v>
      </c>
      <c r="BC3319" s="1005">
        <v>514</v>
      </c>
    </row>
    <row r="3320" spans="54:55" x14ac:dyDescent="0.2">
      <c r="BB3320" s="9" t="s">
        <v>1261</v>
      </c>
      <c r="BC3320" s="1005">
        <v>515</v>
      </c>
    </row>
    <row r="3321" spans="54:55" x14ac:dyDescent="0.2">
      <c r="BB3321" s="9" t="s">
        <v>1261</v>
      </c>
      <c r="BC3321" s="1005">
        <v>516</v>
      </c>
    </row>
    <row r="3322" spans="54:55" x14ac:dyDescent="0.2">
      <c r="BB3322" s="9" t="s">
        <v>1261</v>
      </c>
      <c r="BC3322" s="1005">
        <v>517</v>
      </c>
    </row>
    <row r="3323" spans="54:55" x14ac:dyDescent="0.2">
      <c r="BB3323" s="9" t="s">
        <v>1261</v>
      </c>
      <c r="BC3323" s="1005">
        <v>518</v>
      </c>
    </row>
    <row r="3324" spans="54:55" x14ac:dyDescent="0.2">
      <c r="BB3324" s="9" t="s">
        <v>1261</v>
      </c>
      <c r="BC3324" s="1005">
        <v>519</v>
      </c>
    </row>
    <row r="3325" spans="54:55" x14ac:dyDescent="0.2">
      <c r="BB3325" s="9" t="s">
        <v>1261</v>
      </c>
      <c r="BC3325" s="1005">
        <v>520</v>
      </c>
    </row>
    <row r="3326" spans="54:55" x14ac:dyDescent="0.2">
      <c r="BB3326" s="9" t="s">
        <v>1261</v>
      </c>
      <c r="BC3326" s="1005">
        <v>521</v>
      </c>
    </row>
    <row r="3327" spans="54:55" x14ac:dyDescent="0.2">
      <c r="BB3327" s="9" t="s">
        <v>1261</v>
      </c>
      <c r="BC3327" s="1005">
        <v>522</v>
      </c>
    </row>
    <row r="3328" spans="54:55" x14ac:dyDescent="0.2">
      <c r="BB3328" s="9" t="s">
        <v>1261</v>
      </c>
      <c r="BC3328" s="1005">
        <v>523</v>
      </c>
    </row>
    <row r="3329" spans="54:55" x14ac:dyDescent="0.2">
      <c r="BB3329" s="9" t="s">
        <v>1261</v>
      </c>
      <c r="BC3329" s="1005">
        <v>524</v>
      </c>
    </row>
    <row r="3330" spans="54:55" x14ac:dyDescent="0.2">
      <c r="BB3330" s="9" t="s">
        <v>1261</v>
      </c>
      <c r="BC3330" s="1005">
        <v>525</v>
      </c>
    </row>
    <row r="3331" spans="54:55" x14ac:dyDescent="0.2">
      <c r="BB3331" s="9" t="s">
        <v>1261</v>
      </c>
      <c r="BC3331" s="1005">
        <v>526</v>
      </c>
    </row>
    <row r="3332" spans="54:55" x14ac:dyDescent="0.2">
      <c r="BB3332" s="9" t="s">
        <v>1261</v>
      </c>
      <c r="BC3332" s="1005">
        <v>527</v>
      </c>
    </row>
    <row r="3333" spans="54:55" x14ac:dyDescent="0.2">
      <c r="BB3333" s="9" t="s">
        <v>1261</v>
      </c>
      <c r="BC3333" s="1005">
        <v>528</v>
      </c>
    </row>
    <row r="3334" spans="54:55" x14ac:dyDescent="0.2">
      <c r="BB3334" s="9" t="s">
        <v>1261</v>
      </c>
      <c r="BC3334" s="1005">
        <v>529</v>
      </c>
    </row>
    <row r="3335" spans="54:55" x14ac:dyDescent="0.2">
      <c r="BB3335" s="9" t="s">
        <v>1261</v>
      </c>
      <c r="BC3335" s="1005">
        <v>530</v>
      </c>
    </row>
    <row r="3336" spans="54:55" x14ac:dyDescent="0.2">
      <c r="BB3336" s="9" t="s">
        <v>1261</v>
      </c>
      <c r="BC3336" s="1005">
        <v>531</v>
      </c>
    </row>
    <row r="3337" spans="54:55" x14ac:dyDescent="0.2">
      <c r="BB3337" s="9" t="s">
        <v>1261</v>
      </c>
      <c r="BC3337" s="1005">
        <v>532</v>
      </c>
    </row>
    <row r="3338" spans="54:55" x14ac:dyDescent="0.2">
      <c r="BB3338" s="9" t="s">
        <v>1261</v>
      </c>
      <c r="BC3338" s="1005">
        <v>533</v>
      </c>
    </row>
    <row r="3339" spans="54:55" x14ac:dyDescent="0.2">
      <c r="BB3339" s="9" t="s">
        <v>1261</v>
      </c>
      <c r="BC3339" s="1005">
        <v>534</v>
      </c>
    </row>
    <row r="3340" spans="54:55" x14ac:dyDescent="0.2">
      <c r="BB3340" s="9" t="s">
        <v>1261</v>
      </c>
      <c r="BC3340" s="1005">
        <v>535</v>
      </c>
    </row>
    <row r="3341" spans="54:55" x14ac:dyDescent="0.2">
      <c r="BB3341" s="9" t="s">
        <v>1261</v>
      </c>
      <c r="BC3341" s="1005">
        <v>536</v>
      </c>
    </row>
    <row r="3342" spans="54:55" x14ac:dyDescent="0.2">
      <c r="BB3342" s="9" t="s">
        <v>1261</v>
      </c>
      <c r="BC3342" s="1005">
        <v>537</v>
      </c>
    </row>
    <row r="3343" spans="54:55" x14ac:dyDescent="0.2">
      <c r="BB3343" s="9" t="s">
        <v>1261</v>
      </c>
      <c r="BC3343" s="1005">
        <v>538</v>
      </c>
    </row>
    <row r="3344" spans="54:55" x14ac:dyDescent="0.2">
      <c r="BB3344" s="9" t="s">
        <v>1261</v>
      </c>
      <c r="BC3344" s="1005">
        <v>539</v>
      </c>
    </row>
    <row r="3345" spans="54:55" x14ac:dyDescent="0.2">
      <c r="BB3345" s="9" t="s">
        <v>1261</v>
      </c>
      <c r="BC3345" s="1005">
        <v>540</v>
      </c>
    </row>
    <row r="3346" spans="54:55" x14ac:dyDescent="0.2">
      <c r="BB3346" s="9" t="s">
        <v>1261</v>
      </c>
      <c r="BC3346" s="1005">
        <v>541</v>
      </c>
    </row>
    <row r="3347" spans="54:55" x14ac:dyDescent="0.2">
      <c r="BB3347" s="9" t="s">
        <v>1261</v>
      </c>
      <c r="BC3347" s="1005">
        <v>542</v>
      </c>
    </row>
    <row r="3348" spans="54:55" x14ac:dyDescent="0.2">
      <c r="BB3348" s="9" t="s">
        <v>1261</v>
      </c>
      <c r="BC3348" s="1005">
        <v>543</v>
      </c>
    </row>
    <row r="3349" spans="54:55" x14ac:dyDescent="0.2">
      <c r="BB3349" s="9" t="s">
        <v>1261</v>
      </c>
      <c r="BC3349" s="1005">
        <v>544</v>
      </c>
    </row>
    <row r="3350" spans="54:55" x14ac:dyDescent="0.2">
      <c r="BB3350" s="9" t="s">
        <v>1261</v>
      </c>
      <c r="BC3350" s="1005">
        <v>545</v>
      </c>
    </row>
    <row r="3351" spans="54:55" x14ac:dyDescent="0.2">
      <c r="BB3351" s="9" t="s">
        <v>1261</v>
      </c>
      <c r="BC3351" s="1005">
        <v>546</v>
      </c>
    </row>
    <row r="3352" spans="54:55" x14ac:dyDescent="0.2">
      <c r="BB3352" s="9" t="s">
        <v>1261</v>
      </c>
      <c r="BC3352" s="1005">
        <v>547</v>
      </c>
    </row>
    <row r="3353" spans="54:55" x14ac:dyDescent="0.2">
      <c r="BB3353" s="9" t="s">
        <v>1261</v>
      </c>
      <c r="BC3353" s="1005">
        <v>548</v>
      </c>
    </row>
    <row r="3354" spans="54:55" x14ac:dyDescent="0.2">
      <c r="BB3354" s="9" t="s">
        <v>1261</v>
      </c>
      <c r="BC3354" s="1005">
        <v>549</v>
      </c>
    </row>
    <row r="3355" spans="54:55" x14ac:dyDescent="0.2">
      <c r="BB3355" s="9" t="s">
        <v>1261</v>
      </c>
      <c r="BC3355" s="1005">
        <v>550</v>
      </c>
    </row>
    <row r="3356" spans="54:55" x14ac:dyDescent="0.2">
      <c r="BB3356" s="9" t="s">
        <v>1261</v>
      </c>
      <c r="BC3356" s="1005">
        <v>551</v>
      </c>
    </row>
    <row r="3357" spans="54:55" x14ac:dyDescent="0.2">
      <c r="BB3357" s="9" t="s">
        <v>1261</v>
      </c>
      <c r="BC3357" s="1005">
        <v>552</v>
      </c>
    </row>
    <row r="3358" spans="54:55" x14ac:dyDescent="0.2">
      <c r="BB3358" s="9" t="s">
        <v>1261</v>
      </c>
      <c r="BC3358" s="1005">
        <v>553</v>
      </c>
    </row>
    <row r="3359" spans="54:55" x14ac:dyDescent="0.2">
      <c r="BB3359" s="9" t="s">
        <v>1261</v>
      </c>
      <c r="BC3359" s="1005">
        <v>554</v>
      </c>
    </row>
    <row r="3360" spans="54:55" x14ac:dyDescent="0.2">
      <c r="BB3360" s="9" t="s">
        <v>1261</v>
      </c>
      <c r="BC3360" s="1005">
        <v>555</v>
      </c>
    </row>
    <row r="3361" spans="54:55" x14ac:dyDescent="0.2">
      <c r="BB3361" s="9" t="s">
        <v>1261</v>
      </c>
      <c r="BC3361" s="1005">
        <v>556</v>
      </c>
    </row>
    <row r="3362" spans="54:55" x14ac:dyDescent="0.2">
      <c r="BB3362" s="9" t="s">
        <v>1261</v>
      </c>
      <c r="BC3362" s="1005">
        <v>557</v>
      </c>
    </row>
    <row r="3363" spans="54:55" x14ac:dyDescent="0.2">
      <c r="BB3363" s="9" t="s">
        <v>1261</v>
      </c>
      <c r="BC3363" s="1005">
        <v>558</v>
      </c>
    </row>
    <row r="3364" spans="54:55" x14ac:dyDescent="0.2">
      <c r="BB3364" s="9" t="s">
        <v>1261</v>
      </c>
      <c r="BC3364" s="1005">
        <v>559</v>
      </c>
    </row>
    <row r="3365" spans="54:55" x14ac:dyDescent="0.2">
      <c r="BB3365" s="9" t="s">
        <v>1261</v>
      </c>
      <c r="BC3365" s="1005">
        <v>560</v>
      </c>
    </row>
    <row r="3366" spans="54:55" x14ac:dyDescent="0.2">
      <c r="BB3366" s="9" t="s">
        <v>1261</v>
      </c>
      <c r="BC3366" s="1005">
        <v>561</v>
      </c>
    </row>
    <row r="3367" spans="54:55" x14ac:dyDescent="0.2">
      <c r="BB3367" s="9" t="s">
        <v>1261</v>
      </c>
      <c r="BC3367" s="1005">
        <v>562</v>
      </c>
    </row>
    <row r="3368" spans="54:55" x14ac:dyDescent="0.2">
      <c r="BB3368" s="9" t="s">
        <v>1261</v>
      </c>
      <c r="BC3368" s="1005">
        <v>563</v>
      </c>
    </row>
    <row r="3369" spans="54:55" x14ac:dyDescent="0.2">
      <c r="BB3369" s="9" t="s">
        <v>1261</v>
      </c>
      <c r="BC3369" s="1005">
        <v>564</v>
      </c>
    </row>
    <row r="3370" spans="54:55" x14ac:dyDescent="0.2">
      <c r="BB3370" s="9" t="s">
        <v>1261</v>
      </c>
      <c r="BC3370" s="1005">
        <v>565</v>
      </c>
    </row>
    <row r="3371" spans="54:55" x14ac:dyDescent="0.2">
      <c r="BB3371" s="9" t="s">
        <v>1261</v>
      </c>
      <c r="BC3371" s="1005">
        <v>566</v>
      </c>
    </row>
    <row r="3372" spans="54:55" x14ac:dyDescent="0.2">
      <c r="BB3372" s="9" t="s">
        <v>1261</v>
      </c>
      <c r="BC3372" s="1005">
        <v>567</v>
      </c>
    </row>
    <row r="3373" spans="54:55" x14ac:dyDescent="0.2">
      <c r="BB3373" s="9" t="s">
        <v>1261</v>
      </c>
      <c r="BC3373" s="1005">
        <v>568</v>
      </c>
    </row>
    <row r="3374" spans="54:55" x14ac:dyDescent="0.2">
      <c r="BB3374" s="9" t="s">
        <v>1261</v>
      </c>
      <c r="BC3374" s="1005">
        <v>569</v>
      </c>
    </row>
    <row r="3375" spans="54:55" x14ac:dyDescent="0.2">
      <c r="BB3375" s="9" t="s">
        <v>1261</v>
      </c>
      <c r="BC3375" s="1005">
        <v>570</v>
      </c>
    </row>
    <row r="3376" spans="54:55" x14ac:dyDescent="0.2">
      <c r="BB3376" s="9" t="s">
        <v>1261</v>
      </c>
      <c r="BC3376" s="1005">
        <v>571</v>
      </c>
    </row>
    <row r="3377" spans="54:55" x14ac:dyDescent="0.2">
      <c r="BB3377" s="9" t="s">
        <v>1261</v>
      </c>
      <c r="BC3377" s="1005">
        <v>572</v>
      </c>
    </row>
    <row r="3378" spans="54:55" x14ac:dyDescent="0.2">
      <c r="BB3378" s="9" t="s">
        <v>1261</v>
      </c>
      <c r="BC3378" s="1005">
        <v>573</v>
      </c>
    </row>
    <row r="3379" spans="54:55" x14ac:dyDescent="0.2">
      <c r="BB3379" s="9" t="s">
        <v>1261</v>
      </c>
      <c r="BC3379" s="1005">
        <v>574</v>
      </c>
    </row>
    <row r="3380" spans="54:55" x14ac:dyDescent="0.2">
      <c r="BB3380" s="9" t="s">
        <v>1261</v>
      </c>
      <c r="BC3380" s="1005">
        <v>575</v>
      </c>
    </row>
    <row r="3381" spans="54:55" x14ac:dyDescent="0.2">
      <c r="BB3381" s="9" t="s">
        <v>1261</v>
      </c>
      <c r="BC3381" s="1005">
        <v>576</v>
      </c>
    </row>
    <row r="3382" spans="54:55" x14ac:dyDescent="0.2">
      <c r="BB3382" s="9" t="s">
        <v>1261</v>
      </c>
      <c r="BC3382" s="1005">
        <v>577</v>
      </c>
    </row>
    <row r="3383" spans="54:55" x14ac:dyDescent="0.2">
      <c r="BB3383" s="9" t="s">
        <v>1261</v>
      </c>
      <c r="BC3383" s="1005">
        <v>578</v>
      </c>
    </row>
    <row r="3384" spans="54:55" x14ac:dyDescent="0.2">
      <c r="BB3384" s="9" t="s">
        <v>1261</v>
      </c>
      <c r="BC3384" s="1005">
        <v>579</v>
      </c>
    </row>
    <row r="3385" spans="54:55" x14ac:dyDescent="0.2">
      <c r="BB3385" s="9" t="s">
        <v>1261</v>
      </c>
      <c r="BC3385" s="1005">
        <v>580</v>
      </c>
    </row>
    <row r="3386" spans="54:55" x14ac:dyDescent="0.2">
      <c r="BB3386" s="9" t="s">
        <v>1261</v>
      </c>
      <c r="BC3386" s="1005">
        <v>581</v>
      </c>
    </row>
    <row r="3387" spans="54:55" x14ac:dyDescent="0.2">
      <c r="BB3387" s="9" t="s">
        <v>1261</v>
      </c>
      <c r="BC3387" s="1005">
        <v>582</v>
      </c>
    </row>
    <row r="3388" spans="54:55" x14ac:dyDescent="0.2">
      <c r="BB3388" s="9" t="s">
        <v>1261</v>
      </c>
      <c r="BC3388" s="1005">
        <v>583</v>
      </c>
    </row>
    <row r="3389" spans="54:55" x14ac:dyDescent="0.2">
      <c r="BB3389" s="9" t="s">
        <v>1261</v>
      </c>
      <c r="BC3389" s="1005">
        <v>584</v>
      </c>
    </row>
    <row r="3390" spans="54:55" x14ac:dyDescent="0.2">
      <c r="BB3390" s="9" t="s">
        <v>1261</v>
      </c>
      <c r="BC3390" s="1005">
        <v>585</v>
      </c>
    </row>
    <row r="3391" spans="54:55" x14ac:dyDescent="0.2">
      <c r="BB3391" s="9" t="s">
        <v>1261</v>
      </c>
      <c r="BC3391" s="1005">
        <v>586</v>
      </c>
    </row>
    <row r="3392" spans="54:55" x14ac:dyDescent="0.2">
      <c r="BB3392" s="9" t="s">
        <v>1261</v>
      </c>
      <c r="BC3392" s="1005">
        <v>587</v>
      </c>
    </row>
    <row r="3393" spans="54:55" x14ac:dyDescent="0.2">
      <c r="BB3393" s="9" t="s">
        <v>1261</v>
      </c>
      <c r="BC3393" s="1005">
        <v>588</v>
      </c>
    </row>
    <row r="3394" spans="54:55" x14ac:dyDescent="0.2">
      <c r="BB3394" s="9" t="s">
        <v>1261</v>
      </c>
      <c r="BC3394" s="1005">
        <v>589</v>
      </c>
    </row>
    <row r="3395" spans="54:55" x14ac:dyDescent="0.2">
      <c r="BB3395" s="9" t="s">
        <v>1261</v>
      </c>
      <c r="BC3395" s="1005">
        <v>590</v>
      </c>
    </row>
    <row r="3396" spans="54:55" x14ac:dyDescent="0.2">
      <c r="BB3396" s="9" t="s">
        <v>1261</v>
      </c>
      <c r="BC3396" s="1005">
        <v>591</v>
      </c>
    </row>
    <row r="3397" spans="54:55" x14ac:dyDescent="0.2">
      <c r="BB3397" s="9" t="s">
        <v>1261</v>
      </c>
      <c r="BC3397" s="1005">
        <v>592</v>
      </c>
    </row>
    <row r="3398" spans="54:55" x14ac:dyDescent="0.2">
      <c r="BB3398" s="9" t="s">
        <v>1261</v>
      </c>
      <c r="BC3398" s="1005">
        <v>593</v>
      </c>
    </row>
    <row r="3399" spans="54:55" x14ac:dyDescent="0.2">
      <c r="BB3399" s="9" t="s">
        <v>1261</v>
      </c>
      <c r="BC3399" s="1005">
        <v>594</v>
      </c>
    </row>
    <row r="3400" spans="54:55" x14ac:dyDescent="0.2">
      <c r="BB3400" s="9" t="s">
        <v>1261</v>
      </c>
      <c r="BC3400" s="1005">
        <v>595</v>
      </c>
    </row>
    <row r="3401" spans="54:55" x14ac:dyDescent="0.2">
      <c r="BB3401" s="9" t="s">
        <v>1261</v>
      </c>
      <c r="BC3401" s="1005">
        <v>596</v>
      </c>
    </row>
    <row r="3402" spans="54:55" x14ac:dyDescent="0.2">
      <c r="BB3402" s="9" t="s">
        <v>1261</v>
      </c>
      <c r="BC3402" s="1005">
        <v>597</v>
      </c>
    </row>
    <row r="3403" spans="54:55" x14ac:dyDescent="0.2">
      <c r="BB3403" s="9" t="s">
        <v>1261</v>
      </c>
      <c r="BC3403" s="1005">
        <v>598</v>
      </c>
    </row>
    <row r="3404" spans="54:55" x14ac:dyDescent="0.2">
      <c r="BB3404" s="9" t="s">
        <v>1261</v>
      </c>
      <c r="BC3404" s="1005">
        <v>599</v>
      </c>
    </row>
    <row r="3405" spans="54:55" x14ac:dyDescent="0.2">
      <c r="BB3405" s="9" t="s">
        <v>1261</v>
      </c>
      <c r="BC3405" s="1005">
        <v>600</v>
      </c>
    </row>
    <row r="3406" spans="54:55" x14ac:dyDescent="0.2">
      <c r="BB3406" s="9" t="s">
        <v>1261</v>
      </c>
      <c r="BC3406" s="1005">
        <v>601</v>
      </c>
    </row>
    <row r="3407" spans="54:55" x14ac:dyDescent="0.2">
      <c r="BB3407" s="9" t="s">
        <v>1261</v>
      </c>
      <c r="BC3407" s="1005">
        <v>602</v>
      </c>
    </row>
    <row r="3408" spans="54:55" x14ac:dyDescent="0.2">
      <c r="BB3408" s="9" t="s">
        <v>1261</v>
      </c>
      <c r="BC3408" s="1005">
        <v>603</v>
      </c>
    </row>
    <row r="3409" spans="54:55" x14ac:dyDescent="0.2">
      <c r="BB3409" s="9" t="s">
        <v>1261</v>
      </c>
      <c r="BC3409" s="1005">
        <v>604</v>
      </c>
    </row>
    <row r="3410" spans="54:55" x14ac:dyDescent="0.2">
      <c r="BB3410" s="9" t="s">
        <v>1261</v>
      </c>
      <c r="BC3410" s="1005">
        <v>605</v>
      </c>
    </row>
    <row r="3411" spans="54:55" x14ac:dyDescent="0.2">
      <c r="BB3411" s="9" t="s">
        <v>1261</v>
      </c>
      <c r="BC3411" s="1005">
        <v>606</v>
      </c>
    </row>
    <row r="3412" spans="54:55" x14ac:dyDescent="0.2">
      <c r="BB3412" s="9" t="s">
        <v>1261</v>
      </c>
      <c r="BC3412" s="1005">
        <v>607</v>
      </c>
    </row>
    <row r="3413" spans="54:55" x14ac:dyDescent="0.2">
      <c r="BB3413" s="9" t="s">
        <v>1261</v>
      </c>
      <c r="BC3413" s="1005">
        <v>608</v>
      </c>
    </row>
    <row r="3414" spans="54:55" x14ac:dyDescent="0.2">
      <c r="BB3414" s="9" t="s">
        <v>1261</v>
      </c>
      <c r="BC3414" s="1005">
        <v>609</v>
      </c>
    </row>
    <row r="3415" spans="54:55" x14ac:dyDescent="0.2">
      <c r="BB3415" s="9" t="s">
        <v>1261</v>
      </c>
      <c r="BC3415" s="1005">
        <v>610</v>
      </c>
    </row>
    <row r="3416" spans="54:55" x14ac:dyDescent="0.2">
      <c r="BB3416" s="9" t="s">
        <v>1261</v>
      </c>
      <c r="BC3416" s="1005">
        <v>611</v>
      </c>
    </row>
    <row r="3417" spans="54:55" x14ac:dyDescent="0.2">
      <c r="BB3417" s="9" t="s">
        <v>1261</v>
      </c>
      <c r="BC3417" s="1005">
        <v>612</v>
      </c>
    </row>
    <row r="3418" spans="54:55" x14ac:dyDescent="0.2">
      <c r="BB3418" s="9" t="s">
        <v>1261</v>
      </c>
      <c r="BC3418" s="1005">
        <v>613</v>
      </c>
    </row>
    <row r="3419" spans="54:55" x14ac:dyDescent="0.2">
      <c r="BB3419" s="9" t="s">
        <v>1261</v>
      </c>
      <c r="BC3419" s="1005">
        <v>614</v>
      </c>
    </row>
    <row r="3420" spans="54:55" x14ac:dyDescent="0.2">
      <c r="BB3420" s="9" t="s">
        <v>1261</v>
      </c>
      <c r="BC3420" s="1005">
        <v>615</v>
      </c>
    </row>
    <row r="3421" spans="54:55" x14ac:dyDescent="0.2">
      <c r="BB3421" s="9" t="s">
        <v>1261</v>
      </c>
      <c r="BC3421" s="1005">
        <v>616</v>
      </c>
    </row>
    <row r="3422" spans="54:55" x14ac:dyDescent="0.2">
      <c r="BB3422" s="9" t="s">
        <v>1261</v>
      </c>
      <c r="BC3422" s="1005">
        <v>617</v>
      </c>
    </row>
    <row r="3423" spans="54:55" x14ac:dyDescent="0.2">
      <c r="BB3423" s="9" t="s">
        <v>1261</v>
      </c>
      <c r="BC3423" s="1005">
        <v>618</v>
      </c>
    </row>
    <row r="3424" spans="54:55" x14ac:dyDescent="0.2">
      <c r="BB3424" s="9" t="s">
        <v>1261</v>
      </c>
      <c r="BC3424" s="1005">
        <v>619</v>
      </c>
    </row>
    <row r="3425" spans="54:55" x14ac:dyDescent="0.2">
      <c r="BB3425" s="9" t="s">
        <v>1261</v>
      </c>
      <c r="BC3425" s="1005">
        <v>620</v>
      </c>
    </row>
    <row r="3426" spans="54:55" x14ac:dyDescent="0.2">
      <c r="BB3426" s="9" t="s">
        <v>1261</v>
      </c>
      <c r="BC3426" s="1005">
        <v>621</v>
      </c>
    </row>
    <row r="3427" spans="54:55" x14ac:dyDescent="0.2">
      <c r="BB3427" s="9" t="s">
        <v>1261</v>
      </c>
      <c r="BC3427" s="1005">
        <v>622</v>
      </c>
    </row>
    <row r="3428" spans="54:55" x14ac:dyDescent="0.2">
      <c r="BB3428" s="9" t="s">
        <v>1261</v>
      </c>
      <c r="BC3428" s="1005">
        <v>623</v>
      </c>
    </row>
    <row r="3429" spans="54:55" x14ac:dyDescent="0.2">
      <c r="BB3429" s="9" t="s">
        <v>1261</v>
      </c>
      <c r="BC3429" s="1005">
        <v>624</v>
      </c>
    </row>
    <row r="3430" spans="54:55" x14ac:dyDescent="0.2">
      <c r="BB3430" s="9" t="s">
        <v>1261</v>
      </c>
      <c r="BC3430" s="1005">
        <v>625</v>
      </c>
    </row>
    <row r="3431" spans="54:55" x14ac:dyDescent="0.2">
      <c r="BB3431" s="9" t="s">
        <v>1261</v>
      </c>
      <c r="BC3431" s="1005">
        <v>626</v>
      </c>
    </row>
    <row r="3432" spans="54:55" x14ac:dyDescent="0.2">
      <c r="BB3432" s="9" t="s">
        <v>1261</v>
      </c>
      <c r="BC3432" s="1005">
        <v>627</v>
      </c>
    </row>
    <row r="3433" spans="54:55" x14ac:dyDescent="0.2">
      <c r="BB3433" s="9" t="s">
        <v>1261</v>
      </c>
      <c r="BC3433" s="1005">
        <v>628</v>
      </c>
    </row>
    <row r="3434" spans="54:55" x14ac:dyDescent="0.2">
      <c r="BB3434" s="9" t="s">
        <v>1261</v>
      </c>
      <c r="BC3434" s="1005">
        <v>629</v>
      </c>
    </row>
    <row r="3435" spans="54:55" x14ac:dyDescent="0.2">
      <c r="BB3435" s="9" t="s">
        <v>1261</v>
      </c>
      <c r="BC3435" s="1005">
        <v>630</v>
      </c>
    </row>
    <row r="3436" spans="54:55" x14ac:dyDescent="0.2">
      <c r="BB3436" s="9" t="s">
        <v>1247</v>
      </c>
      <c r="BC3436" s="1006">
        <v>18</v>
      </c>
    </row>
    <row r="3437" spans="54:55" x14ac:dyDescent="0.2">
      <c r="BB3437" s="9" t="s">
        <v>1247</v>
      </c>
      <c r="BC3437" s="1005">
        <v>19</v>
      </c>
    </row>
    <row r="3438" spans="54:55" x14ac:dyDescent="0.2">
      <c r="BB3438" s="9" t="s">
        <v>1247</v>
      </c>
      <c r="BC3438" s="1006">
        <v>20</v>
      </c>
    </row>
    <row r="3439" spans="54:55" x14ac:dyDescent="0.2">
      <c r="BB3439" s="9" t="s">
        <v>1247</v>
      </c>
      <c r="BC3439" s="1005">
        <v>21</v>
      </c>
    </row>
    <row r="3440" spans="54:55" x14ac:dyDescent="0.2">
      <c r="BB3440" s="9" t="s">
        <v>1247</v>
      </c>
      <c r="BC3440" s="1006">
        <v>22</v>
      </c>
    </row>
    <row r="3441" spans="54:55" x14ac:dyDescent="0.2">
      <c r="BB3441" s="9" t="s">
        <v>1247</v>
      </c>
      <c r="BC3441" s="1005">
        <v>23</v>
      </c>
    </row>
    <row r="3442" spans="54:55" x14ac:dyDescent="0.2">
      <c r="BB3442" s="9" t="s">
        <v>1247</v>
      </c>
      <c r="BC3442" s="1006">
        <v>24</v>
      </c>
    </row>
    <row r="3443" spans="54:55" x14ac:dyDescent="0.2">
      <c r="BB3443" s="9" t="s">
        <v>1247</v>
      </c>
      <c r="BC3443" s="1005">
        <v>25</v>
      </c>
    </row>
    <row r="3444" spans="54:55" x14ac:dyDescent="0.2">
      <c r="BB3444" s="9" t="s">
        <v>1247</v>
      </c>
      <c r="BC3444" s="1006">
        <v>26</v>
      </c>
    </row>
    <row r="3445" spans="54:55" x14ac:dyDescent="0.2">
      <c r="BB3445" s="9" t="s">
        <v>1247</v>
      </c>
      <c r="BC3445" s="1005">
        <v>27</v>
      </c>
    </row>
    <row r="3446" spans="54:55" x14ac:dyDescent="0.2">
      <c r="BB3446" s="9" t="s">
        <v>1247</v>
      </c>
      <c r="BC3446" s="1006">
        <v>28</v>
      </c>
    </row>
    <row r="3447" spans="54:55" x14ac:dyDescent="0.2">
      <c r="BB3447" s="9" t="s">
        <v>1247</v>
      </c>
      <c r="BC3447" s="1005">
        <v>29</v>
      </c>
    </row>
    <row r="3448" spans="54:55" x14ac:dyDescent="0.2">
      <c r="BB3448" s="9" t="s">
        <v>1247</v>
      </c>
      <c r="BC3448" s="1006">
        <v>30</v>
      </c>
    </row>
    <row r="3449" spans="54:55" x14ac:dyDescent="0.2">
      <c r="BB3449" s="9" t="s">
        <v>1247</v>
      </c>
      <c r="BC3449" s="1005">
        <v>31</v>
      </c>
    </row>
    <row r="3450" spans="54:55" x14ac:dyDescent="0.2">
      <c r="BB3450" s="9" t="s">
        <v>1247</v>
      </c>
      <c r="BC3450" s="1006">
        <v>32</v>
      </c>
    </row>
    <row r="3451" spans="54:55" x14ac:dyDescent="0.2">
      <c r="BB3451" s="9" t="s">
        <v>1247</v>
      </c>
      <c r="BC3451" s="1005">
        <v>33</v>
      </c>
    </row>
    <row r="3452" spans="54:55" x14ac:dyDescent="0.2">
      <c r="BB3452" s="9" t="s">
        <v>1247</v>
      </c>
      <c r="BC3452" s="1006">
        <v>34</v>
      </c>
    </row>
    <row r="3453" spans="54:55" x14ac:dyDescent="0.2">
      <c r="BB3453" s="9" t="s">
        <v>1247</v>
      </c>
      <c r="BC3453" s="1005">
        <v>35</v>
      </c>
    </row>
    <row r="3454" spans="54:55" x14ac:dyDescent="0.2">
      <c r="BB3454" s="9" t="s">
        <v>1247</v>
      </c>
      <c r="BC3454" s="1006">
        <v>36</v>
      </c>
    </row>
    <row r="3455" spans="54:55" x14ac:dyDescent="0.2">
      <c r="BB3455" s="9" t="s">
        <v>1247</v>
      </c>
      <c r="BC3455" s="1005">
        <v>37</v>
      </c>
    </row>
    <row r="3456" spans="54:55" x14ac:dyDescent="0.2">
      <c r="BB3456" s="9" t="s">
        <v>1247</v>
      </c>
      <c r="BC3456" s="1006">
        <v>38</v>
      </c>
    </row>
    <row r="3457" spans="54:55" x14ac:dyDescent="0.2">
      <c r="BB3457" s="9" t="s">
        <v>1247</v>
      </c>
      <c r="BC3457" s="1005">
        <v>39</v>
      </c>
    </row>
    <row r="3458" spans="54:55" x14ac:dyDescent="0.2">
      <c r="BB3458" s="9" t="s">
        <v>1247</v>
      </c>
      <c r="BC3458" s="1006">
        <v>40</v>
      </c>
    </row>
    <row r="3459" spans="54:55" x14ac:dyDescent="0.2">
      <c r="BB3459" s="9" t="s">
        <v>1250</v>
      </c>
      <c r="BC3459" s="1005">
        <v>40</v>
      </c>
    </row>
    <row r="3460" spans="54:55" x14ac:dyDescent="0.2">
      <c r="BB3460" s="9" t="s">
        <v>1250</v>
      </c>
      <c r="BC3460" s="1005">
        <v>41</v>
      </c>
    </row>
    <row r="3461" spans="54:55" x14ac:dyDescent="0.2">
      <c r="BB3461" s="9" t="s">
        <v>1250</v>
      </c>
      <c r="BC3461" s="1005">
        <v>42</v>
      </c>
    </row>
    <row r="3462" spans="54:55" x14ac:dyDescent="0.2">
      <c r="BB3462" s="9" t="s">
        <v>1250</v>
      </c>
      <c r="BC3462" s="1005">
        <v>43</v>
      </c>
    </row>
    <row r="3463" spans="54:55" x14ac:dyDescent="0.2">
      <c r="BB3463" s="9" t="s">
        <v>1250</v>
      </c>
      <c r="BC3463" s="1005">
        <v>44</v>
      </c>
    </row>
    <row r="3464" spans="54:55" x14ac:dyDescent="0.2">
      <c r="BB3464" s="9" t="s">
        <v>1250</v>
      </c>
      <c r="BC3464" s="1005">
        <v>45</v>
      </c>
    </row>
    <row r="3465" spans="54:55" x14ac:dyDescent="0.2">
      <c r="BB3465" s="9" t="s">
        <v>1250</v>
      </c>
      <c r="BC3465" s="1005">
        <v>46</v>
      </c>
    </row>
    <row r="3466" spans="54:55" x14ac:dyDescent="0.2">
      <c r="BB3466" s="9" t="s">
        <v>1250</v>
      </c>
      <c r="BC3466" s="1005">
        <v>47</v>
      </c>
    </row>
    <row r="3467" spans="54:55" x14ac:dyDescent="0.2">
      <c r="BB3467" s="9" t="s">
        <v>1250</v>
      </c>
      <c r="BC3467" s="1005">
        <v>48</v>
      </c>
    </row>
    <row r="3468" spans="54:55" x14ac:dyDescent="0.2">
      <c r="BB3468" s="9" t="s">
        <v>1250</v>
      </c>
      <c r="BC3468" s="1005">
        <v>49</v>
      </c>
    </row>
    <row r="3469" spans="54:55" x14ac:dyDescent="0.2">
      <c r="BB3469" s="9" t="s">
        <v>1250</v>
      </c>
      <c r="BC3469" s="1005">
        <v>50</v>
      </c>
    </row>
    <row r="3470" spans="54:55" x14ac:dyDescent="0.2">
      <c r="BB3470" s="9" t="s">
        <v>1250</v>
      </c>
      <c r="BC3470" s="1005">
        <v>51</v>
      </c>
    </row>
    <row r="3471" spans="54:55" x14ac:dyDescent="0.2">
      <c r="BB3471" s="9" t="s">
        <v>1250</v>
      </c>
      <c r="BC3471" s="1005">
        <v>52</v>
      </c>
    </row>
    <row r="3472" spans="54:55" x14ac:dyDescent="0.2">
      <c r="BB3472" s="9" t="s">
        <v>1250</v>
      </c>
      <c r="BC3472" s="1005">
        <v>53</v>
      </c>
    </row>
    <row r="3473" spans="54:55" x14ac:dyDescent="0.2">
      <c r="BB3473" s="9" t="s">
        <v>1250</v>
      </c>
      <c r="BC3473" s="1005">
        <v>54</v>
      </c>
    </row>
    <row r="3474" spans="54:55" x14ac:dyDescent="0.2">
      <c r="BB3474" s="9" t="s">
        <v>1250</v>
      </c>
      <c r="BC3474" s="1005">
        <v>55</v>
      </c>
    </row>
    <row r="3475" spans="54:55" x14ac:dyDescent="0.2">
      <c r="BB3475" s="9" t="s">
        <v>1250</v>
      </c>
      <c r="BC3475" s="1005">
        <v>56</v>
      </c>
    </row>
    <row r="3476" spans="54:55" x14ac:dyDescent="0.2">
      <c r="BB3476" s="9" t="s">
        <v>1250</v>
      </c>
      <c r="BC3476" s="1005">
        <v>57</v>
      </c>
    </row>
    <row r="3477" spans="54:55" x14ac:dyDescent="0.2">
      <c r="BB3477" s="9" t="s">
        <v>1250</v>
      </c>
      <c r="BC3477" s="1005">
        <v>58</v>
      </c>
    </row>
    <row r="3478" spans="54:55" x14ac:dyDescent="0.2">
      <c r="BB3478" s="9" t="s">
        <v>1250</v>
      </c>
      <c r="BC3478" s="1005">
        <v>59</v>
      </c>
    </row>
    <row r="3479" spans="54:55" x14ac:dyDescent="0.2">
      <c r="BB3479" s="9" t="s">
        <v>1250</v>
      </c>
      <c r="BC3479" s="1005">
        <v>60</v>
      </c>
    </row>
    <row r="3480" spans="54:55" x14ac:dyDescent="0.2">
      <c r="BB3480" s="9" t="s">
        <v>1250</v>
      </c>
      <c r="BC3480" s="1005">
        <v>61</v>
      </c>
    </row>
    <row r="3481" spans="54:55" x14ac:dyDescent="0.2">
      <c r="BB3481" s="9" t="s">
        <v>1250</v>
      </c>
      <c r="BC3481" s="1005">
        <v>62</v>
      </c>
    </row>
    <row r="3482" spans="54:55" x14ac:dyDescent="0.2">
      <c r="BB3482" s="9" t="s">
        <v>1250</v>
      </c>
      <c r="BC3482" s="1005">
        <v>63</v>
      </c>
    </row>
    <row r="3483" spans="54:55" x14ac:dyDescent="0.2">
      <c r="BB3483" s="9" t="s">
        <v>1250</v>
      </c>
      <c r="BC3483" s="1005">
        <v>64</v>
      </c>
    </row>
    <row r="3484" spans="54:55" x14ac:dyDescent="0.2">
      <c r="BB3484" s="9" t="s">
        <v>1250</v>
      </c>
      <c r="BC3484" s="1005">
        <v>65</v>
      </c>
    </row>
    <row r="3485" spans="54:55" x14ac:dyDescent="0.2">
      <c r="BB3485" s="9" t="s">
        <v>1250</v>
      </c>
      <c r="BC3485" s="1005">
        <v>66</v>
      </c>
    </row>
    <row r="3486" spans="54:55" x14ac:dyDescent="0.2">
      <c r="BB3486" s="9" t="s">
        <v>1250</v>
      </c>
      <c r="BC3486" s="1005">
        <v>67</v>
      </c>
    </row>
    <row r="3487" spans="54:55" x14ac:dyDescent="0.2">
      <c r="BB3487" s="9" t="s">
        <v>1250</v>
      </c>
      <c r="BC3487" s="1005">
        <v>68</v>
      </c>
    </row>
    <row r="3488" spans="54:55" x14ac:dyDescent="0.2">
      <c r="BB3488" s="9" t="s">
        <v>1250</v>
      </c>
      <c r="BC3488" s="1005">
        <v>69</v>
      </c>
    </row>
    <row r="3489" spans="54:55" x14ac:dyDescent="0.2">
      <c r="BB3489" s="9" t="s">
        <v>1250</v>
      </c>
      <c r="BC3489" s="1005">
        <v>70</v>
      </c>
    </row>
    <row r="3490" spans="54:55" x14ac:dyDescent="0.2">
      <c r="BB3490" s="9" t="s">
        <v>1250</v>
      </c>
      <c r="BC3490" s="1005">
        <v>71</v>
      </c>
    </row>
    <row r="3491" spans="54:55" x14ac:dyDescent="0.2">
      <c r="BB3491" s="9" t="s">
        <v>1250</v>
      </c>
      <c r="BC3491" s="1005">
        <v>72</v>
      </c>
    </row>
    <row r="3492" spans="54:55" x14ac:dyDescent="0.2">
      <c r="BB3492" s="9" t="s">
        <v>1250</v>
      </c>
      <c r="BC3492" s="1005">
        <v>73</v>
      </c>
    </row>
    <row r="3493" spans="54:55" x14ac:dyDescent="0.2">
      <c r="BB3493" s="9" t="s">
        <v>1250</v>
      </c>
      <c r="BC3493" s="1005">
        <v>74</v>
      </c>
    </row>
    <row r="3494" spans="54:55" x14ac:dyDescent="0.2">
      <c r="BB3494" s="9" t="s">
        <v>1250</v>
      </c>
      <c r="BC3494" s="1005">
        <v>75</v>
      </c>
    </row>
    <row r="3495" spans="54:55" x14ac:dyDescent="0.2">
      <c r="BB3495" s="9" t="s">
        <v>1250</v>
      </c>
      <c r="BC3495" s="1005">
        <v>76</v>
      </c>
    </row>
    <row r="3496" spans="54:55" x14ac:dyDescent="0.2">
      <c r="BB3496" s="9" t="s">
        <v>1250</v>
      </c>
      <c r="BC3496" s="1005">
        <v>77</v>
      </c>
    </row>
    <row r="3497" spans="54:55" x14ac:dyDescent="0.2">
      <c r="BB3497" s="9" t="s">
        <v>1250</v>
      </c>
      <c r="BC3497" s="1005">
        <v>78</v>
      </c>
    </row>
    <row r="3498" spans="54:55" x14ac:dyDescent="0.2">
      <c r="BB3498" s="9" t="s">
        <v>1250</v>
      </c>
      <c r="BC3498" s="1005">
        <v>79</v>
      </c>
    </row>
    <row r="3499" spans="54:55" x14ac:dyDescent="0.2">
      <c r="BB3499" s="9" t="s">
        <v>1250</v>
      </c>
      <c r="BC3499" s="1005">
        <v>80</v>
      </c>
    </row>
    <row r="3500" spans="54:55" x14ac:dyDescent="0.2">
      <c r="BB3500" s="9" t="s">
        <v>1250</v>
      </c>
      <c r="BC3500" s="1005">
        <v>81</v>
      </c>
    </row>
    <row r="3501" spans="54:55" x14ac:dyDescent="0.2">
      <c r="BB3501" s="9" t="s">
        <v>1250</v>
      </c>
      <c r="BC3501" s="1005">
        <v>82</v>
      </c>
    </row>
    <row r="3502" spans="54:55" x14ac:dyDescent="0.2">
      <c r="BB3502" s="9" t="s">
        <v>1250</v>
      </c>
      <c r="BC3502" s="1005">
        <v>83</v>
      </c>
    </row>
    <row r="3503" spans="54:55" x14ac:dyDescent="0.2">
      <c r="BB3503" s="9" t="s">
        <v>1250</v>
      </c>
      <c r="BC3503" s="1005">
        <v>84</v>
      </c>
    </row>
    <row r="3504" spans="54:55" x14ac:dyDescent="0.2">
      <c r="BB3504" s="9" t="s">
        <v>1250</v>
      </c>
      <c r="BC3504" s="1005">
        <v>85</v>
      </c>
    </row>
    <row r="3505" spans="54:55" x14ac:dyDescent="0.2">
      <c r="BB3505" s="9" t="s">
        <v>1250</v>
      </c>
      <c r="BC3505" s="1005">
        <v>86</v>
      </c>
    </row>
    <row r="3506" spans="54:55" x14ac:dyDescent="0.2">
      <c r="BB3506" s="9" t="s">
        <v>1250</v>
      </c>
      <c r="BC3506" s="1005">
        <v>87</v>
      </c>
    </row>
    <row r="3507" spans="54:55" x14ac:dyDescent="0.2">
      <c r="BB3507" s="9" t="s">
        <v>1250</v>
      </c>
      <c r="BC3507" s="1005">
        <v>88</v>
      </c>
    </row>
    <row r="3508" spans="54:55" x14ac:dyDescent="0.2">
      <c r="BB3508" s="9" t="s">
        <v>1250</v>
      </c>
      <c r="BC3508" s="1005">
        <v>89</v>
      </c>
    </row>
    <row r="3509" spans="54:55" x14ac:dyDescent="0.2">
      <c r="BB3509" s="9" t="s">
        <v>1250</v>
      </c>
      <c r="BC3509" s="1005">
        <v>90</v>
      </c>
    </row>
    <row r="3510" spans="54:55" x14ac:dyDescent="0.2">
      <c r="BB3510" s="9" t="s">
        <v>1250</v>
      </c>
      <c r="BC3510" s="1005">
        <v>91</v>
      </c>
    </row>
    <row r="3511" spans="54:55" x14ac:dyDescent="0.2">
      <c r="BB3511" s="9" t="s">
        <v>1250</v>
      </c>
      <c r="BC3511" s="1005">
        <v>92</v>
      </c>
    </row>
    <row r="3512" spans="54:55" x14ac:dyDescent="0.2">
      <c r="BB3512" s="9" t="s">
        <v>1250</v>
      </c>
      <c r="BC3512" s="1005">
        <v>93</v>
      </c>
    </row>
    <row r="3513" spans="54:55" x14ac:dyDescent="0.2">
      <c r="BB3513" s="9" t="s">
        <v>1250</v>
      </c>
      <c r="BC3513" s="1005">
        <v>94</v>
      </c>
    </row>
    <row r="3514" spans="54:55" x14ac:dyDescent="0.2">
      <c r="BB3514" s="9" t="s">
        <v>1250</v>
      </c>
      <c r="BC3514" s="1005">
        <v>95</v>
      </c>
    </row>
    <row r="3515" spans="54:55" x14ac:dyDescent="0.2">
      <c r="BB3515" s="9" t="s">
        <v>1250</v>
      </c>
      <c r="BC3515" s="1005">
        <v>96</v>
      </c>
    </row>
    <row r="3516" spans="54:55" x14ac:dyDescent="0.2">
      <c r="BB3516" s="9" t="s">
        <v>1250</v>
      </c>
      <c r="BC3516" s="1005">
        <v>97</v>
      </c>
    </row>
    <row r="3517" spans="54:55" x14ac:dyDescent="0.2">
      <c r="BB3517" s="9" t="s">
        <v>1250</v>
      </c>
      <c r="BC3517" s="1005">
        <v>98</v>
      </c>
    </row>
    <row r="3518" spans="54:55" x14ac:dyDescent="0.2">
      <c r="BB3518" s="9" t="s">
        <v>1250</v>
      </c>
      <c r="BC3518" s="1005">
        <v>99</v>
      </c>
    </row>
    <row r="3519" spans="54:55" x14ac:dyDescent="0.2">
      <c r="BB3519" s="9" t="s">
        <v>1250</v>
      </c>
      <c r="BC3519" s="1005">
        <v>100</v>
      </c>
    </row>
    <row r="3520" spans="54:55" x14ac:dyDescent="0.2">
      <c r="BB3520" s="9" t="s">
        <v>1253</v>
      </c>
      <c r="BC3520" s="1005">
        <v>63</v>
      </c>
    </row>
    <row r="3521" spans="54:55" x14ac:dyDescent="0.2">
      <c r="BB3521" s="9" t="s">
        <v>1253</v>
      </c>
      <c r="BC3521" s="1005">
        <v>64</v>
      </c>
    </row>
    <row r="3522" spans="54:55" x14ac:dyDescent="0.2">
      <c r="BB3522" s="9" t="s">
        <v>1253</v>
      </c>
      <c r="BC3522" s="1005">
        <v>65</v>
      </c>
    </row>
    <row r="3523" spans="54:55" x14ac:dyDescent="0.2">
      <c r="BB3523" s="9" t="s">
        <v>1253</v>
      </c>
      <c r="BC3523" s="1005">
        <v>66</v>
      </c>
    </row>
    <row r="3524" spans="54:55" x14ac:dyDescent="0.2">
      <c r="BB3524" s="9" t="s">
        <v>1253</v>
      </c>
      <c r="BC3524" s="1005">
        <v>67</v>
      </c>
    </row>
    <row r="3525" spans="54:55" x14ac:dyDescent="0.2">
      <c r="BB3525" s="9" t="s">
        <v>1253</v>
      </c>
      <c r="BC3525" s="1005">
        <v>68</v>
      </c>
    </row>
    <row r="3526" spans="54:55" x14ac:dyDescent="0.2">
      <c r="BB3526" s="9" t="s">
        <v>1253</v>
      </c>
      <c r="BC3526" s="1005">
        <v>69</v>
      </c>
    </row>
    <row r="3527" spans="54:55" x14ac:dyDescent="0.2">
      <c r="BB3527" s="9" t="s">
        <v>1253</v>
      </c>
      <c r="BC3527" s="1005">
        <v>70</v>
      </c>
    </row>
    <row r="3528" spans="54:55" x14ac:dyDescent="0.2">
      <c r="BB3528" s="9" t="s">
        <v>1253</v>
      </c>
      <c r="BC3528" s="1005">
        <v>71</v>
      </c>
    </row>
    <row r="3529" spans="54:55" x14ac:dyDescent="0.2">
      <c r="BB3529" s="9" t="s">
        <v>1253</v>
      </c>
      <c r="BC3529" s="1005">
        <v>72</v>
      </c>
    </row>
    <row r="3530" spans="54:55" x14ac:dyDescent="0.2">
      <c r="BB3530" s="9" t="s">
        <v>1253</v>
      </c>
      <c r="BC3530" s="1005">
        <v>73</v>
      </c>
    </row>
    <row r="3531" spans="54:55" x14ac:dyDescent="0.2">
      <c r="BB3531" s="9" t="s">
        <v>1253</v>
      </c>
      <c r="BC3531" s="1005">
        <v>74</v>
      </c>
    </row>
    <row r="3532" spans="54:55" x14ac:dyDescent="0.2">
      <c r="BB3532" s="9" t="s">
        <v>1253</v>
      </c>
      <c r="BC3532" s="1005">
        <v>75</v>
      </c>
    </row>
    <row r="3533" spans="54:55" x14ac:dyDescent="0.2">
      <c r="BB3533" s="9" t="s">
        <v>1253</v>
      </c>
      <c r="BC3533" s="1005">
        <v>76</v>
      </c>
    </row>
    <row r="3534" spans="54:55" x14ac:dyDescent="0.2">
      <c r="BB3534" s="9" t="s">
        <v>1253</v>
      </c>
      <c r="BC3534" s="1005">
        <v>77</v>
      </c>
    </row>
    <row r="3535" spans="54:55" x14ac:dyDescent="0.2">
      <c r="BB3535" s="9" t="s">
        <v>1253</v>
      </c>
      <c r="BC3535" s="1005">
        <v>78</v>
      </c>
    </row>
    <row r="3536" spans="54:55" x14ac:dyDescent="0.2">
      <c r="BB3536" s="9" t="s">
        <v>1253</v>
      </c>
      <c r="BC3536" s="1005">
        <v>79</v>
      </c>
    </row>
    <row r="3537" spans="54:55" x14ac:dyDescent="0.2">
      <c r="BB3537" s="9" t="s">
        <v>1253</v>
      </c>
      <c r="BC3537" s="1005">
        <v>80</v>
      </c>
    </row>
    <row r="3538" spans="54:55" x14ac:dyDescent="0.2">
      <c r="BB3538" s="9" t="s">
        <v>1253</v>
      </c>
      <c r="BC3538" s="1005">
        <v>81</v>
      </c>
    </row>
    <row r="3539" spans="54:55" x14ac:dyDescent="0.2">
      <c r="BB3539" s="9" t="s">
        <v>1253</v>
      </c>
      <c r="BC3539" s="1005">
        <v>82</v>
      </c>
    </row>
    <row r="3540" spans="54:55" x14ac:dyDescent="0.2">
      <c r="BB3540" s="9" t="s">
        <v>1253</v>
      </c>
      <c r="BC3540" s="1005">
        <v>83</v>
      </c>
    </row>
    <row r="3541" spans="54:55" x14ac:dyDescent="0.2">
      <c r="BB3541" s="9" t="s">
        <v>1253</v>
      </c>
      <c r="BC3541" s="1005">
        <v>84</v>
      </c>
    </row>
    <row r="3542" spans="54:55" x14ac:dyDescent="0.2">
      <c r="BB3542" s="9" t="s">
        <v>1253</v>
      </c>
      <c r="BC3542" s="1005">
        <v>85</v>
      </c>
    </row>
    <row r="3543" spans="54:55" x14ac:dyDescent="0.2">
      <c r="BB3543" s="9" t="s">
        <v>1253</v>
      </c>
      <c r="BC3543" s="1005">
        <v>86</v>
      </c>
    </row>
    <row r="3544" spans="54:55" x14ac:dyDescent="0.2">
      <c r="BB3544" s="9" t="s">
        <v>1253</v>
      </c>
      <c r="BC3544" s="1005">
        <v>87</v>
      </c>
    </row>
    <row r="3545" spans="54:55" x14ac:dyDescent="0.2">
      <c r="BB3545" s="9" t="s">
        <v>1253</v>
      </c>
      <c r="BC3545" s="1005">
        <v>88</v>
      </c>
    </row>
    <row r="3546" spans="54:55" x14ac:dyDescent="0.2">
      <c r="BB3546" s="9" t="s">
        <v>1253</v>
      </c>
      <c r="BC3546" s="1005">
        <v>89</v>
      </c>
    </row>
    <row r="3547" spans="54:55" x14ac:dyDescent="0.2">
      <c r="BB3547" s="9" t="s">
        <v>1253</v>
      </c>
      <c r="BC3547" s="1005">
        <v>90</v>
      </c>
    </row>
    <row r="3548" spans="54:55" x14ac:dyDescent="0.2">
      <c r="BB3548" s="9" t="s">
        <v>1253</v>
      </c>
      <c r="BC3548" s="1005">
        <v>91</v>
      </c>
    </row>
    <row r="3549" spans="54:55" x14ac:dyDescent="0.2">
      <c r="BB3549" s="9" t="s">
        <v>1253</v>
      </c>
      <c r="BC3549" s="1005">
        <v>92</v>
      </c>
    </row>
    <row r="3550" spans="54:55" x14ac:dyDescent="0.2">
      <c r="BB3550" s="9" t="s">
        <v>1253</v>
      </c>
      <c r="BC3550" s="1005">
        <v>93</v>
      </c>
    </row>
    <row r="3551" spans="54:55" x14ac:dyDescent="0.2">
      <c r="BB3551" s="9" t="s">
        <v>1253</v>
      </c>
      <c r="BC3551" s="1005">
        <v>94</v>
      </c>
    </row>
    <row r="3552" spans="54:55" x14ac:dyDescent="0.2">
      <c r="BB3552" s="9" t="s">
        <v>1253</v>
      </c>
      <c r="BC3552" s="1005">
        <v>95</v>
      </c>
    </row>
    <row r="3553" spans="54:55" x14ac:dyDescent="0.2">
      <c r="BB3553" s="9" t="s">
        <v>1253</v>
      </c>
      <c r="BC3553" s="1005">
        <v>96</v>
      </c>
    </row>
    <row r="3554" spans="54:55" x14ac:dyDescent="0.2">
      <c r="BB3554" s="9" t="s">
        <v>1253</v>
      </c>
      <c r="BC3554" s="1005">
        <v>97</v>
      </c>
    </row>
    <row r="3555" spans="54:55" x14ac:dyDescent="0.2">
      <c r="BB3555" s="9" t="s">
        <v>1253</v>
      </c>
      <c r="BC3555" s="1005">
        <v>98</v>
      </c>
    </row>
    <row r="3556" spans="54:55" x14ac:dyDescent="0.2">
      <c r="BB3556" s="9" t="s">
        <v>1253</v>
      </c>
      <c r="BC3556" s="1005">
        <v>99</v>
      </c>
    </row>
    <row r="3557" spans="54:55" x14ac:dyDescent="0.2">
      <c r="BB3557" s="9" t="s">
        <v>1253</v>
      </c>
      <c r="BC3557" s="1005">
        <v>100</v>
      </c>
    </row>
    <row r="3558" spans="54:55" x14ac:dyDescent="0.2">
      <c r="BB3558" s="9" t="s">
        <v>1253</v>
      </c>
      <c r="BC3558" s="1005">
        <v>101</v>
      </c>
    </row>
    <row r="3559" spans="54:55" x14ac:dyDescent="0.2">
      <c r="BB3559" s="9" t="s">
        <v>1253</v>
      </c>
      <c r="BC3559" s="1005">
        <v>102</v>
      </c>
    </row>
    <row r="3560" spans="54:55" x14ac:dyDescent="0.2">
      <c r="BB3560" s="9" t="s">
        <v>1253</v>
      </c>
      <c r="BC3560" s="1005">
        <v>103</v>
      </c>
    </row>
    <row r="3561" spans="54:55" x14ac:dyDescent="0.2">
      <c r="BB3561" s="9" t="s">
        <v>1253</v>
      </c>
      <c r="BC3561" s="1005">
        <v>104</v>
      </c>
    </row>
    <row r="3562" spans="54:55" x14ac:dyDescent="0.2">
      <c r="BB3562" s="9" t="s">
        <v>1253</v>
      </c>
      <c r="BC3562" s="1005">
        <v>105</v>
      </c>
    </row>
    <row r="3563" spans="54:55" x14ac:dyDescent="0.2">
      <c r="BB3563" s="9" t="s">
        <v>1253</v>
      </c>
      <c r="BC3563" s="1005">
        <v>106</v>
      </c>
    </row>
    <row r="3564" spans="54:55" x14ac:dyDescent="0.2">
      <c r="BB3564" s="9" t="s">
        <v>1253</v>
      </c>
      <c r="BC3564" s="1005">
        <v>107</v>
      </c>
    </row>
    <row r="3565" spans="54:55" x14ac:dyDescent="0.2">
      <c r="BB3565" s="9" t="s">
        <v>1253</v>
      </c>
      <c r="BC3565" s="1005">
        <v>108</v>
      </c>
    </row>
    <row r="3566" spans="54:55" x14ac:dyDescent="0.2">
      <c r="BB3566" s="9" t="s">
        <v>1253</v>
      </c>
      <c r="BC3566" s="1005">
        <v>109</v>
      </c>
    </row>
    <row r="3567" spans="54:55" x14ac:dyDescent="0.2">
      <c r="BB3567" s="9" t="s">
        <v>1253</v>
      </c>
      <c r="BC3567" s="1005">
        <v>110</v>
      </c>
    </row>
    <row r="3568" spans="54:55" x14ac:dyDescent="0.2">
      <c r="BB3568" s="9" t="s">
        <v>1253</v>
      </c>
      <c r="BC3568" s="1005">
        <v>111</v>
      </c>
    </row>
    <row r="3569" spans="54:55" x14ac:dyDescent="0.2">
      <c r="BB3569" s="9" t="s">
        <v>1253</v>
      </c>
      <c r="BC3569" s="1005">
        <v>112</v>
      </c>
    </row>
    <row r="3570" spans="54:55" x14ac:dyDescent="0.2">
      <c r="BB3570" s="9" t="s">
        <v>1253</v>
      </c>
      <c r="BC3570" s="1005">
        <v>113</v>
      </c>
    </row>
    <row r="3571" spans="54:55" x14ac:dyDescent="0.2">
      <c r="BB3571" s="9" t="s">
        <v>1253</v>
      </c>
      <c r="BC3571" s="1005">
        <v>114</v>
      </c>
    </row>
    <row r="3572" spans="54:55" x14ac:dyDescent="0.2">
      <c r="BB3572" s="9" t="s">
        <v>1253</v>
      </c>
      <c r="BC3572" s="1005">
        <v>115</v>
      </c>
    </row>
    <row r="3573" spans="54:55" x14ac:dyDescent="0.2">
      <c r="BB3573" s="9" t="s">
        <v>1253</v>
      </c>
      <c r="BC3573" s="1005">
        <v>116</v>
      </c>
    </row>
    <row r="3574" spans="54:55" x14ac:dyDescent="0.2">
      <c r="BB3574" s="9" t="s">
        <v>1253</v>
      </c>
      <c r="BC3574" s="1005">
        <v>117</v>
      </c>
    </row>
    <row r="3575" spans="54:55" x14ac:dyDescent="0.2">
      <c r="BB3575" s="9" t="s">
        <v>1253</v>
      </c>
      <c r="BC3575" s="1005">
        <v>118</v>
      </c>
    </row>
    <row r="3576" spans="54:55" x14ac:dyDescent="0.2">
      <c r="BB3576" s="9" t="s">
        <v>1253</v>
      </c>
      <c r="BC3576" s="1005">
        <v>119</v>
      </c>
    </row>
    <row r="3577" spans="54:55" x14ac:dyDescent="0.2">
      <c r="BB3577" s="9" t="s">
        <v>1253</v>
      </c>
      <c r="BC3577" s="1005">
        <v>120</v>
      </c>
    </row>
    <row r="3578" spans="54:55" x14ac:dyDescent="0.2">
      <c r="BB3578" s="9" t="s">
        <v>1253</v>
      </c>
      <c r="BC3578" s="1005">
        <v>121</v>
      </c>
    </row>
    <row r="3579" spans="54:55" x14ac:dyDescent="0.2">
      <c r="BB3579" s="9" t="s">
        <v>1253</v>
      </c>
      <c r="BC3579" s="1005">
        <v>122</v>
      </c>
    </row>
    <row r="3580" spans="54:55" x14ac:dyDescent="0.2">
      <c r="BB3580" s="9" t="s">
        <v>1253</v>
      </c>
      <c r="BC3580" s="1005">
        <v>123</v>
      </c>
    </row>
    <row r="3581" spans="54:55" x14ac:dyDescent="0.2">
      <c r="BB3581" s="9" t="s">
        <v>1253</v>
      </c>
      <c r="BC3581" s="1005">
        <v>124</v>
      </c>
    </row>
    <row r="3582" spans="54:55" x14ac:dyDescent="0.2">
      <c r="BB3582" s="9" t="s">
        <v>1253</v>
      </c>
      <c r="BC3582" s="1005">
        <v>125</v>
      </c>
    </row>
    <row r="3583" spans="54:55" x14ac:dyDescent="0.2">
      <c r="BB3583" s="9" t="s">
        <v>1253</v>
      </c>
      <c r="BC3583" s="1005">
        <v>126</v>
      </c>
    </row>
    <row r="3584" spans="54:55" x14ac:dyDescent="0.2">
      <c r="BB3584" s="9" t="s">
        <v>1253</v>
      </c>
      <c r="BC3584" s="1005">
        <v>127</v>
      </c>
    </row>
    <row r="3585" spans="54:55" x14ac:dyDescent="0.2">
      <c r="BB3585" s="9" t="s">
        <v>1253</v>
      </c>
      <c r="BC3585" s="1005">
        <v>128</v>
      </c>
    </row>
    <row r="3586" spans="54:55" x14ac:dyDescent="0.2">
      <c r="BB3586" s="9" t="s">
        <v>1253</v>
      </c>
      <c r="BC3586" s="1005">
        <v>129</v>
      </c>
    </row>
    <row r="3587" spans="54:55" x14ac:dyDescent="0.2">
      <c r="BB3587" s="9" t="s">
        <v>1253</v>
      </c>
      <c r="BC3587" s="1005">
        <v>130</v>
      </c>
    </row>
    <row r="3588" spans="54:55" x14ac:dyDescent="0.2">
      <c r="BB3588" s="9" t="s">
        <v>1253</v>
      </c>
      <c r="BC3588" s="1005">
        <v>131</v>
      </c>
    </row>
    <row r="3589" spans="54:55" x14ac:dyDescent="0.2">
      <c r="BB3589" s="9" t="s">
        <v>1253</v>
      </c>
      <c r="BC3589" s="1005">
        <v>132</v>
      </c>
    </row>
    <row r="3590" spans="54:55" x14ac:dyDescent="0.2">
      <c r="BB3590" s="9" t="s">
        <v>1253</v>
      </c>
      <c r="BC3590" s="1005">
        <v>133</v>
      </c>
    </row>
    <row r="3591" spans="54:55" x14ac:dyDescent="0.2">
      <c r="BB3591" s="9" t="s">
        <v>1253</v>
      </c>
      <c r="BC3591" s="1005">
        <v>134</v>
      </c>
    </row>
    <row r="3592" spans="54:55" x14ac:dyDescent="0.2">
      <c r="BB3592" s="9" t="s">
        <v>1253</v>
      </c>
      <c r="BC3592" s="1005">
        <v>135</v>
      </c>
    </row>
    <row r="3593" spans="54:55" x14ac:dyDescent="0.2">
      <c r="BB3593" s="9" t="s">
        <v>1253</v>
      </c>
      <c r="BC3593" s="1005">
        <v>136</v>
      </c>
    </row>
    <row r="3594" spans="54:55" x14ac:dyDescent="0.2">
      <c r="BB3594" s="9" t="s">
        <v>1253</v>
      </c>
      <c r="BC3594" s="1005">
        <v>137</v>
      </c>
    </row>
    <row r="3595" spans="54:55" x14ac:dyDescent="0.2">
      <c r="BB3595" s="9" t="s">
        <v>1253</v>
      </c>
      <c r="BC3595" s="1005">
        <v>138</v>
      </c>
    </row>
    <row r="3596" spans="54:55" x14ac:dyDescent="0.2">
      <c r="BB3596" s="9" t="s">
        <v>1253</v>
      </c>
      <c r="BC3596" s="1005">
        <v>139</v>
      </c>
    </row>
    <row r="3597" spans="54:55" x14ac:dyDescent="0.2">
      <c r="BB3597" s="9" t="s">
        <v>1253</v>
      </c>
      <c r="BC3597" s="1005">
        <v>140</v>
      </c>
    </row>
    <row r="3598" spans="54:55" x14ac:dyDescent="0.2">
      <c r="BB3598" s="9" t="s">
        <v>1253</v>
      </c>
      <c r="BC3598" s="1005">
        <v>141</v>
      </c>
    </row>
    <row r="3599" spans="54:55" x14ac:dyDescent="0.2">
      <c r="BB3599" s="9" t="s">
        <v>1253</v>
      </c>
      <c r="BC3599" s="1005">
        <v>142</v>
      </c>
    </row>
    <row r="3600" spans="54:55" x14ac:dyDescent="0.2">
      <c r="BB3600" s="9" t="s">
        <v>1253</v>
      </c>
      <c r="BC3600" s="1005">
        <v>143</v>
      </c>
    </row>
    <row r="3601" spans="54:55" x14ac:dyDescent="0.2">
      <c r="BB3601" s="9" t="s">
        <v>1253</v>
      </c>
      <c r="BC3601" s="1005">
        <v>144</v>
      </c>
    </row>
    <row r="3602" spans="54:55" x14ac:dyDescent="0.2">
      <c r="BB3602" s="9" t="s">
        <v>1253</v>
      </c>
      <c r="BC3602" s="1005">
        <v>145</v>
      </c>
    </row>
    <row r="3603" spans="54:55" x14ac:dyDescent="0.2">
      <c r="BB3603" s="9" t="s">
        <v>1253</v>
      </c>
      <c r="BC3603" s="1005">
        <v>146</v>
      </c>
    </row>
    <row r="3604" spans="54:55" x14ac:dyDescent="0.2">
      <c r="BB3604" s="9" t="s">
        <v>1253</v>
      </c>
      <c r="BC3604" s="1005">
        <v>147</v>
      </c>
    </row>
    <row r="3605" spans="54:55" x14ac:dyDescent="0.2">
      <c r="BB3605" s="9" t="s">
        <v>1253</v>
      </c>
      <c r="BC3605" s="1005">
        <v>148</v>
      </c>
    </row>
    <row r="3606" spans="54:55" x14ac:dyDescent="0.2">
      <c r="BB3606" s="9" t="s">
        <v>1253</v>
      </c>
      <c r="BC3606" s="1005">
        <v>149</v>
      </c>
    </row>
    <row r="3607" spans="54:55" x14ac:dyDescent="0.2">
      <c r="BB3607" s="9" t="s">
        <v>1253</v>
      </c>
      <c r="BC3607" s="1005">
        <v>150</v>
      </c>
    </row>
    <row r="3608" spans="54:55" x14ac:dyDescent="0.2">
      <c r="BB3608" s="9" t="s">
        <v>1253</v>
      </c>
      <c r="BC3608" s="1005">
        <v>151</v>
      </c>
    </row>
    <row r="3609" spans="54:55" x14ac:dyDescent="0.2">
      <c r="BB3609" s="9" t="s">
        <v>1253</v>
      </c>
      <c r="BC3609" s="1005">
        <v>152</v>
      </c>
    </row>
    <row r="3610" spans="54:55" x14ac:dyDescent="0.2">
      <c r="BB3610" s="9" t="s">
        <v>1253</v>
      </c>
      <c r="BC3610" s="1005">
        <v>153</v>
      </c>
    </row>
    <row r="3611" spans="54:55" x14ac:dyDescent="0.2">
      <c r="BB3611" s="9" t="s">
        <v>1253</v>
      </c>
      <c r="BC3611" s="1005">
        <v>154</v>
      </c>
    </row>
    <row r="3612" spans="54:55" x14ac:dyDescent="0.2">
      <c r="BB3612" s="9" t="s">
        <v>1253</v>
      </c>
      <c r="BC3612" s="1005">
        <v>155</v>
      </c>
    </row>
    <row r="3613" spans="54:55" x14ac:dyDescent="0.2">
      <c r="BB3613" s="9" t="s">
        <v>1253</v>
      </c>
      <c r="BC3613" s="1005">
        <v>156</v>
      </c>
    </row>
    <row r="3614" spans="54:55" x14ac:dyDescent="0.2">
      <c r="BB3614" s="9" t="s">
        <v>1253</v>
      </c>
      <c r="BC3614" s="1005">
        <v>157</v>
      </c>
    </row>
    <row r="3615" spans="54:55" x14ac:dyDescent="0.2">
      <c r="BB3615" s="9" t="s">
        <v>1253</v>
      </c>
      <c r="BC3615" s="1005">
        <v>158</v>
      </c>
    </row>
    <row r="3616" spans="54:55" x14ac:dyDescent="0.2">
      <c r="BB3616" s="9" t="s">
        <v>1253</v>
      </c>
      <c r="BC3616" s="1005">
        <v>159</v>
      </c>
    </row>
    <row r="3617" spans="54:55" x14ac:dyDescent="0.2">
      <c r="BB3617" s="9" t="s">
        <v>1253</v>
      </c>
      <c r="BC3617" s="1005">
        <v>160</v>
      </c>
    </row>
    <row r="3618" spans="54:55" x14ac:dyDescent="0.2">
      <c r="BB3618" s="9" t="s">
        <v>1256</v>
      </c>
      <c r="BC3618" s="1005">
        <v>100</v>
      </c>
    </row>
    <row r="3619" spans="54:55" x14ac:dyDescent="0.2">
      <c r="BB3619" s="9" t="s">
        <v>1256</v>
      </c>
      <c r="BC3619" s="1005">
        <v>101</v>
      </c>
    </row>
    <row r="3620" spans="54:55" x14ac:dyDescent="0.2">
      <c r="BB3620" s="9" t="s">
        <v>1256</v>
      </c>
      <c r="BC3620" s="1005">
        <v>102</v>
      </c>
    </row>
    <row r="3621" spans="54:55" x14ac:dyDescent="0.2">
      <c r="BB3621" s="9" t="s">
        <v>1256</v>
      </c>
      <c r="BC3621" s="1005">
        <v>103</v>
      </c>
    </row>
    <row r="3622" spans="54:55" x14ac:dyDescent="0.2">
      <c r="BB3622" s="9" t="s">
        <v>1256</v>
      </c>
      <c r="BC3622" s="1005">
        <v>104</v>
      </c>
    </row>
    <row r="3623" spans="54:55" x14ac:dyDescent="0.2">
      <c r="BB3623" s="9" t="s">
        <v>1256</v>
      </c>
      <c r="BC3623" s="1005">
        <v>105</v>
      </c>
    </row>
    <row r="3624" spans="54:55" x14ac:dyDescent="0.2">
      <c r="BB3624" s="9" t="s">
        <v>1256</v>
      </c>
      <c r="BC3624" s="1005">
        <v>106</v>
      </c>
    </row>
    <row r="3625" spans="54:55" x14ac:dyDescent="0.2">
      <c r="BB3625" s="9" t="s">
        <v>1256</v>
      </c>
      <c r="BC3625" s="1005">
        <v>107</v>
      </c>
    </row>
    <row r="3626" spans="54:55" x14ac:dyDescent="0.2">
      <c r="BB3626" s="9" t="s">
        <v>1256</v>
      </c>
      <c r="BC3626" s="1005">
        <v>108</v>
      </c>
    </row>
    <row r="3627" spans="54:55" x14ac:dyDescent="0.2">
      <c r="BB3627" s="9" t="s">
        <v>1256</v>
      </c>
      <c r="BC3627" s="1005">
        <v>109</v>
      </c>
    </row>
    <row r="3628" spans="54:55" x14ac:dyDescent="0.2">
      <c r="BB3628" s="9" t="s">
        <v>1256</v>
      </c>
      <c r="BC3628" s="1005">
        <v>110</v>
      </c>
    </row>
    <row r="3629" spans="54:55" x14ac:dyDescent="0.2">
      <c r="BB3629" s="9" t="s">
        <v>1256</v>
      </c>
      <c r="BC3629" s="1005">
        <v>111</v>
      </c>
    </row>
    <row r="3630" spans="54:55" x14ac:dyDescent="0.2">
      <c r="BB3630" s="9" t="s">
        <v>1256</v>
      </c>
      <c r="BC3630" s="1005">
        <v>112</v>
      </c>
    </row>
    <row r="3631" spans="54:55" x14ac:dyDescent="0.2">
      <c r="BB3631" s="9" t="s">
        <v>1256</v>
      </c>
      <c r="BC3631" s="1005">
        <v>113</v>
      </c>
    </row>
    <row r="3632" spans="54:55" x14ac:dyDescent="0.2">
      <c r="BB3632" s="9" t="s">
        <v>1256</v>
      </c>
      <c r="BC3632" s="1005">
        <v>114</v>
      </c>
    </row>
    <row r="3633" spans="54:55" x14ac:dyDescent="0.2">
      <c r="BB3633" s="9" t="s">
        <v>1256</v>
      </c>
      <c r="BC3633" s="1005">
        <v>115</v>
      </c>
    </row>
    <row r="3634" spans="54:55" x14ac:dyDescent="0.2">
      <c r="BB3634" s="9" t="s">
        <v>1256</v>
      </c>
      <c r="BC3634" s="1005">
        <v>116</v>
      </c>
    </row>
    <row r="3635" spans="54:55" x14ac:dyDescent="0.2">
      <c r="BB3635" s="9" t="s">
        <v>1256</v>
      </c>
      <c r="BC3635" s="1005">
        <v>117</v>
      </c>
    </row>
    <row r="3636" spans="54:55" x14ac:dyDescent="0.2">
      <c r="BB3636" s="9" t="s">
        <v>1256</v>
      </c>
      <c r="BC3636" s="1005">
        <v>118</v>
      </c>
    </row>
    <row r="3637" spans="54:55" x14ac:dyDescent="0.2">
      <c r="BB3637" s="9" t="s">
        <v>1256</v>
      </c>
      <c r="BC3637" s="1005">
        <v>119</v>
      </c>
    </row>
    <row r="3638" spans="54:55" x14ac:dyDescent="0.2">
      <c r="BB3638" s="9" t="s">
        <v>1256</v>
      </c>
      <c r="BC3638" s="1005">
        <v>120</v>
      </c>
    </row>
    <row r="3639" spans="54:55" x14ac:dyDescent="0.2">
      <c r="BB3639" s="9" t="s">
        <v>1256</v>
      </c>
      <c r="BC3639" s="1005">
        <v>121</v>
      </c>
    </row>
    <row r="3640" spans="54:55" x14ac:dyDescent="0.2">
      <c r="BB3640" s="9" t="s">
        <v>1256</v>
      </c>
      <c r="BC3640" s="1005">
        <v>122</v>
      </c>
    </row>
    <row r="3641" spans="54:55" x14ac:dyDescent="0.2">
      <c r="BB3641" s="9" t="s">
        <v>1256</v>
      </c>
      <c r="BC3641" s="1005">
        <v>123</v>
      </c>
    </row>
    <row r="3642" spans="54:55" x14ac:dyDescent="0.2">
      <c r="BB3642" s="9" t="s">
        <v>1256</v>
      </c>
      <c r="BC3642" s="1005">
        <v>124</v>
      </c>
    </row>
    <row r="3643" spans="54:55" x14ac:dyDescent="0.2">
      <c r="BB3643" s="9" t="s">
        <v>1256</v>
      </c>
      <c r="BC3643" s="1005">
        <v>125</v>
      </c>
    </row>
    <row r="3644" spans="54:55" x14ac:dyDescent="0.2">
      <c r="BB3644" s="9" t="s">
        <v>1256</v>
      </c>
      <c r="BC3644" s="1005">
        <v>126</v>
      </c>
    </row>
    <row r="3645" spans="54:55" x14ac:dyDescent="0.2">
      <c r="BB3645" s="9" t="s">
        <v>1256</v>
      </c>
      <c r="BC3645" s="1005">
        <v>127</v>
      </c>
    </row>
    <row r="3646" spans="54:55" x14ac:dyDescent="0.2">
      <c r="BB3646" s="9" t="s">
        <v>1256</v>
      </c>
      <c r="BC3646" s="1005">
        <v>128</v>
      </c>
    </row>
    <row r="3647" spans="54:55" x14ac:dyDescent="0.2">
      <c r="BB3647" s="9" t="s">
        <v>1256</v>
      </c>
      <c r="BC3647" s="1005">
        <v>129</v>
      </c>
    </row>
    <row r="3648" spans="54:55" x14ac:dyDescent="0.2">
      <c r="BB3648" s="9" t="s">
        <v>1256</v>
      </c>
      <c r="BC3648" s="1005">
        <v>130</v>
      </c>
    </row>
    <row r="3649" spans="54:55" x14ac:dyDescent="0.2">
      <c r="BB3649" s="9" t="s">
        <v>1256</v>
      </c>
      <c r="BC3649" s="1005">
        <v>131</v>
      </c>
    </row>
    <row r="3650" spans="54:55" x14ac:dyDescent="0.2">
      <c r="BB3650" s="9" t="s">
        <v>1256</v>
      </c>
      <c r="BC3650" s="1005">
        <v>132</v>
      </c>
    </row>
    <row r="3651" spans="54:55" x14ac:dyDescent="0.2">
      <c r="BB3651" s="9" t="s">
        <v>1256</v>
      </c>
      <c r="BC3651" s="1005">
        <v>133</v>
      </c>
    </row>
    <row r="3652" spans="54:55" x14ac:dyDescent="0.2">
      <c r="BB3652" s="9" t="s">
        <v>1256</v>
      </c>
      <c r="BC3652" s="1005">
        <v>134</v>
      </c>
    </row>
    <row r="3653" spans="54:55" x14ac:dyDescent="0.2">
      <c r="BB3653" s="9" t="s">
        <v>1256</v>
      </c>
      <c r="BC3653" s="1005">
        <v>135</v>
      </c>
    </row>
    <row r="3654" spans="54:55" x14ac:dyDescent="0.2">
      <c r="BB3654" s="9" t="s">
        <v>1256</v>
      </c>
      <c r="BC3654" s="1005">
        <v>136</v>
      </c>
    </row>
    <row r="3655" spans="54:55" x14ac:dyDescent="0.2">
      <c r="BB3655" s="9" t="s">
        <v>1256</v>
      </c>
      <c r="BC3655" s="1005">
        <v>137</v>
      </c>
    </row>
    <row r="3656" spans="54:55" x14ac:dyDescent="0.2">
      <c r="BB3656" s="9" t="s">
        <v>1256</v>
      </c>
      <c r="BC3656" s="1005">
        <v>138</v>
      </c>
    </row>
    <row r="3657" spans="54:55" x14ac:dyDescent="0.2">
      <c r="BB3657" s="9" t="s">
        <v>1256</v>
      </c>
      <c r="BC3657" s="1005">
        <v>139</v>
      </c>
    </row>
    <row r="3658" spans="54:55" x14ac:dyDescent="0.2">
      <c r="BB3658" s="9" t="s">
        <v>1256</v>
      </c>
      <c r="BC3658" s="1005">
        <v>140</v>
      </c>
    </row>
    <row r="3659" spans="54:55" x14ac:dyDescent="0.2">
      <c r="BB3659" s="9" t="s">
        <v>1256</v>
      </c>
      <c r="BC3659" s="1005">
        <v>141</v>
      </c>
    </row>
    <row r="3660" spans="54:55" x14ac:dyDescent="0.2">
      <c r="BB3660" s="9" t="s">
        <v>1256</v>
      </c>
      <c r="BC3660" s="1005">
        <v>142</v>
      </c>
    </row>
    <row r="3661" spans="54:55" x14ac:dyDescent="0.2">
      <c r="BB3661" s="9" t="s">
        <v>1256</v>
      </c>
      <c r="BC3661" s="1005">
        <v>143</v>
      </c>
    </row>
    <row r="3662" spans="54:55" x14ac:dyDescent="0.2">
      <c r="BB3662" s="9" t="s">
        <v>1256</v>
      </c>
      <c r="BC3662" s="1005">
        <v>144</v>
      </c>
    </row>
    <row r="3663" spans="54:55" x14ac:dyDescent="0.2">
      <c r="BB3663" s="9" t="s">
        <v>1256</v>
      </c>
      <c r="BC3663" s="1005">
        <v>145</v>
      </c>
    </row>
    <row r="3664" spans="54:55" x14ac:dyDescent="0.2">
      <c r="BB3664" s="9" t="s">
        <v>1256</v>
      </c>
      <c r="BC3664" s="1005">
        <v>146</v>
      </c>
    </row>
    <row r="3665" spans="54:55" x14ac:dyDescent="0.2">
      <c r="BB3665" s="9" t="s">
        <v>1256</v>
      </c>
      <c r="BC3665" s="1005">
        <v>147</v>
      </c>
    </row>
    <row r="3666" spans="54:55" x14ac:dyDescent="0.2">
      <c r="BB3666" s="9" t="s">
        <v>1256</v>
      </c>
      <c r="BC3666" s="1005">
        <v>148</v>
      </c>
    </row>
    <row r="3667" spans="54:55" x14ac:dyDescent="0.2">
      <c r="BB3667" s="9" t="s">
        <v>1256</v>
      </c>
      <c r="BC3667" s="1005">
        <v>149</v>
      </c>
    </row>
    <row r="3668" spans="54:55" x14ac:dyDescent="0.2">
      <c r="BB3668" s="9" t="s">
        <v>1256</v>
      </c>
      <c r="BC3668" s="1005">
        <v>150</v>
      </c>
    </row>
    <row r="3669" spans="54:55" x14ac:dyDescent="0.2">
      <c r="BB3669" s="9" t="s">
        <v>1256</v>
      </c>
      <c r="BC3669" s="1005">
        <v>151</v>
      </c>
    </row>
    <row r="3670" spans="54:55" x14ac:dyDescent="0.2">
      <c r="BB3670" s="9" t="s">
        <v>1256</v>
      </c>
      <c r="BC3670" s="1005">
        <v>152</v>
      </c>
    </row>
    <row r="3671" spans="54:55" x14ac:dyDescent="0.2">
      <c r="BB3671" s="9" t="s">
        <v>1256</v>
      </c>
      <c r="BC3671" s="1005">
        <v>153</v>
      </c>
    </row>
    <row r="3672" spans="54:55" x14ac:dyDescent="0.2">
      <c r="BB3672" s="9" t="s">
        <v>1256</v>
      </c>
      <c r="BC3672" s="1005">
        <v>154</v>
      </c>
    </row>
    <row r="3673" spans="54:55" x14ac:dyDescent="0.2">
      <c r="BB3673" s="9" t="s">
        <v>1256</v>
      </c>
      <c r="BC3673" s="1005">
        <v>155</v>
      </c>
    </row>
    <row r="3674" spans="54:55" x14ac:dyDescent="0.2">
      <c r="BB3674" s="9" t="s">
        <v>1256</v>
      </c>
      <c r="BC3674" s="1005">
        <v>156</v>
      </c>
    </row>
    <row r="3675" spans="54:55" x14ac:dyDescent="0.2">
      <c r="BB3675" s="9" t="s">
        <v>1256</v>
      </c>
      <c r="BC3675" s="1005">
        <v>157</v>
      </c>
    </row>
    <row r="3676" spans="54:55" x14ac:dyDescent="0.2">
      <c r="BB3676" s="9" t="s">
        <v>1256</v>
      </c>
      <c r="BC3676" s="1005">
        <v>158</v>
      </c>
    </row>
    <row r="3677" spans="54:55" x14ac:dyDescent="0.2">
      <c r="BB3677" s="9" t="s">
        <v>1256</v>
      </c>
      <c r="BC3677" s="1005">
        <v>159</v>
      </c>
    </row>
    <row r="3678" spans="54:55" x14ac:dyDescent="0.2">
      <c r="BB3678" s="9" t="s">
        <v>1256</v>
      </c>
      <c r="BC3678" s="1005">
        <v>160</v>
      </c>
    </row>
    <row r="3679" spans="54:55" x14ac:dyDescent="0.2">
      <c r="BB3679" s="9" t="s">
        <v>1256</v>
      </c>
      <c r="BC3679" s="1005">
        <v>161</v>
      </c>
    </row>
    <row r="3680" spans="54:55" x14ac:dyDescent="0.2">
      <c r="BB3680" s="9" t="s">
        <v>1256</v>
      </c>
      <c r="BC3680" s="1005">
        <v>162</v>
      </c>
    </row>
    <row r="3681" spans="54:55" x14ac:dyDescent="0.2">
      <c r="BB3681" s="9" t="s">
        <v>1256</v>
      </c>
      <c r="BC3681" s="1005">
        <v>163</v>
      </c>
    </row>
    <row r="3682" spans="54:55" x14ac:dyDescent="0.2">
      <c r="BB3682" s="9" t="s">
        <v>1256</v>
      </c>
      <c r="BC3682" s="1005">
        <v>164</v>
      </c>
    </row>
    <row r="3683" spans="54:55" x14ac:dyDescent="0.2">
      <c r="BB3683" s="9" t="s">
        <v>1256</v>
      </c>
      <c r="BC3683" s="1005">
        <v>165</v>
      </c>
    </row>
    <row r="3684" spans="54:55" x14ac:dyDescent="0.2">
      <c r="BB3684" s="9" t="s">
        <v>1256</v>
      </c>
      <c r="BC3684" s="1005">
        <v>166</v>
      </c>
    </row>
    <row r="3685" spans="54:55" x14ac:dyDescent="0.2">
      <c r="BB3685" s="9" t="s">
        <v>1256</v>
      </c>
      <c r="BC3685" s="1005">
        <v>167</v>
      </c>
    </row>
    <row r="3686" spans="54:55" x14ac:dyDescent="0.2">
      <c r="BB3686" s="9" t="s">
        <v>1256</v>
      </c>
      <c r="BC3686" s="1005">
        <v>168</v>
      </c>
    </row>
    <row r="3687" spans="54:55" x14ac:dyDescent="0.2">
      <c r="BB3687" s="9" t="s">
        <v>1256</v>
      </c>
      <c r="BC3687" s="1005">
        <v>169</v>
      </c>
    </row>
    <row r="3688" spans="54:55" x14ac:dyDescent="0.2">
      <c r="BB3688" s="9" t="s">
        <v>1256</v>
      </c>
      <c r="BC3688" s="1005">
        <v>170</v>
      </c>
    </row>
    <row r="3689" spans="54:55" x14ac:dyDescent="0.2">
      <c r="BB3689" s="9" t="s">
        <v>1256</v>
      </c>
      <c r="BC3689" s="1005">
        <v>171</v>
      </c>
    </row>
    <row r="3690" spans="54:55" x14ac:dyDescent="0.2">
      <c r="BB3690" s="9" t="s">
        <v>1256</v>
      </c>
      <c r="BC3690" s="1005">
        <v>172</v>
      </c>
    </row>
    <row r="3691" spans="54:55" x14ac:dyDescent="0.2">
      <c r="BB3691" s="9" t="s">
        <v>1256</v>
      </c>
      <c r="BC3691" s="1005">
        <v>173</v>
      </c>
    </row>
    <row r="3692" spans="54:55" x14ac:dyDescent="0.2">
      <c r="BB3692" s="9" t="s">
        <v>1256</v>
      </c>
      <c r="BC3692" s="1005">
        <v>174</v>
      </c>
    </row>
    <row r="3693" spans="54:55" x14ac:dyDescent="0.2">
      <c r="BB3693" s="9" t="s">
        <v>1256</v>
      </c>
      <c r="BC3693" s="1005">
        <v>175</v>
      </c>
    </row>
    <row r="3694" spans="54:55" x14ac:dyDescent="0.2">
      <c r="BB3694" s="9" t="s">
        <v>1256</v>
      </c>
      <c r="BC3694" s="1005">
        <v>176</v>
      </c>
    </row>
    <row r="3695" spans="54:55" x14ac:dyDescent="0.2">
      <c r="BB3695" s="9" t="s">
        <v>1256</v>
      </c>
      <c r="BC3695" s="1005">
        <v>177</v>
      </c>
    </row>
    <row r="3696" spans="54:55" x14ac:dyDescent="0.2">
      <c r="BB3696" s="9" t="s">
        <v>1256</v>
      </c>
      <c r="BC3696" s="1005">
        <v>178</v>
      </c>
    </row>
    <row r="3697" spans="54:55" x14ac:dyDescent="0.2">
      <c r="BB3697" s="9" t="s">
        <v>1256</v>
      </c>
      <c r="BC3697" s="1005">
        <v>179</v>
      </c>
    </row>
    <row r="3698" spans="54:55" x14ac:dyDescent="0.2">
      <c r="BB3698" s="9" t="s">
        <v>1256</v>
      </c>
      <c r="BC3698" s="1005">
        <v>180</v>
      </c>
    </row>
    <row r="3699" spans="54:55" x14ac:dyDescent="0.2">
      <c r="BB3699" s="9" t="s">
        <v>1256</v>
      </c>
      <c r="BC3699" s="1005">
        <v>181</v>
      </c>
    </row>
    <row r="3700" spans="54:55" x14ac:dyDescent="0.2">
      <c r="BB3700" s="9" t="s">
        <v>1256</v>
      </c>
      <c r="BC3700" s="1005">
        <v>182</v>
      </c>
    </row>
    <row r="3701" spans="54:55" x14ac:dyDescent="0.2">
      <c r="BB3701" s="9" t="s">
        <v>1256</v>
      </c>
      <c r="BC3701" s="1005">
        <v>183</v>
      </c>
    </row>
    <row r="3702" spans="54:55" x14ac:dyDescent="0.2">
      <c r="BB3702" s="9" t="s">
        <v>1256</v>
      </c>
      <c r="BC3702" s="1005">
        <v>184</v>
      </c>
    </row>
    <row r="3703" spans="54:55" x14ac:dyDescent="0.2">
      <c r="BB3703" s="9" t="s">
        <v>1256</v>
      </c>
      <c r="BC3703" s="1005">
        <v>185</v>
      </c>
    </row>
    <row r="3704" spans="54:55" x14ac:dyDescent="0.2">
      <c r="BB3704" s="9" t="s">
        <v>1256</v>
      </c>
      <c r="BC3704" s="1005">
        <v>186</v>
      </c>
    </row>
    <row r="3705" spans="54:55" x14ac:dyDescent="0.2">
      <c r="BB3705" s="9" t="s">
        <v>1256</v>
      </c>
      <c r="BC3705" s="1005">
        <v>187</v>
      </c>
    </row>
    <row r="3706" spans="54:55" x14ac:dyDescent="0.2">
      <c r="BB3706" s="9" t="s">
        <v>1256</v>
      </c>
      <c r="BC3706" s="1005">
        <v>188</v>
      </c>
    </row>
    <row r="3707" spans="54:55" x14ac:dyDescent="0.2">
      <c r="BB3707" s="9" t="s">
        <v>1256</v>
      </c>
      <c r="BC3707" s="1005">
        <v>189</v>
      </c>
    </row>
    <row r="3708" spans="54:55" x14ac:dyDescent="0.2">
      <c r="BB3708" s="9" t="s">
        <v>1256</v>
      </c>
      <c r="BC3708" s="1005">
        <v>190</v>
      </c>
    </row>
    <row r="3709" spans="54:55" x14ac:dyDescent="0.2">
      <c r="BB3709" s="9" t="s">
        <v>1256</v>
      </c>
      <c r="BC3709" s="1005">
        <v>191</v>
      </c>
    </row>
    <row r="3710" spans="54:55" x14ac:dyDescent="0.2">
      <c r="BB3710" s="9" t="s">
        <v>1256</v>
      </c>
      <c r="BC3710" s="1005">
        <v>192</v>
      </c>
    </row>
    <row r="3711" spans="54:55" x14ac:dyDescent="0.2">
      <c r="BB3711" s="9" t="s">
        <v>1256</v>
      </c>
      <c r="BC3711" s="1005">
        <v>193</v>
      </c>
    </row>
    <row r="3712" spans="54:55" x14ac:dyDescent="0.2">
      <c r="BB3712" s="9" t="s">
        <v>1256</v>
      </c>
      <c r="BC3712" s="1005">
        <v>194</v>
      </c>
    </row>
    <row r="3713" spans="54:55" x14ac:dyDescent="0.2">
      <c r="BB3713" s="9" t="s">
        <v>1256</v>
      </c>
      <c r="BC3713" s="1005">
        <v>195</v>
      </c>
    </row>
    <row r="3714" spans="54:55" x14ac:dyDescent="0.2">
      <c r="BB3714" s="9" t="s">
        <v>1256</v>
      </c>
      <c r="BC3714" s="1005">
        <v>196</v>
      </c>
    </row>
    <row r="3715" spans="54:55" x14ac:dyDescent="0.2">
      <c r="BB3715" s="9" t="s">
        <v>1256</v>
      </c>
      <c r="BC3715" s="1005">
        <v>197</v>
      </c>
    </row>
    <row r="3716" spans="54:55" x14ac:dyDescent="0.2">
      <c r="BB3716" s="9" t="s">
        <v>1256</v>
      </c>
      <c r="BC3716" s="1005">
        <v>198</v>
      </c>
    </row>
    <row r="3717" spans="54:55" x14ac:dyDescent="0.2">
      <c r="BB3717" s="9" t="s">
        <v>1256</v>
      </c>
      <c r="BC3717" s="1005">
        <v>199</v>
      </c>
    </row>
    <row r="3718" spans="54:55" x14ac:dyDescent="0.2">
      <c r="BB3718" s="9" t="s">
        <v>1256</v>
      </c>
      <c r="BC3718" s="1005">
        <v>200</v>
      </c>
    </row>
    <row r="3719" spans="54:55" x14ac:dyDescent="0.2">
      <c r="BB3719" s="9" t="s">
        <v>1256</v>
      </c>
      <c r="BC3719" s="1005">
        <v>201</v>
      </c>
    </row>
    <row r="3720" spans="54:55" x14ac:dyDescent="0.2">
      <c r="BB3720" s="9" t="s">
        <v>1256</v>
      </c>
      <c r="BC3720" s="1005">
        <v>202</v>
      </c>
    </row>
    <row r="3721" spans="54:55" x14ac:dyDescent="0.2">
      <c r="BB3721" s="9" t="s">
        <v>1256</v>
      </c>
      <c r="BC3721" s="1005">
        <v>203</v>
      </c>
    </row>
    <row r="3722" spans="54:55" x14ac:dyDescent="0.2">
      <c r="BB3722" s="9" t="s">
        <v>1256</v>
      </c>
      <c r="BC3722" s="1005">
        <v>204</v>
      </c>
    </row>
    <row r="3723" spans="54:55" x14ac:dyDescent="0.2">
      <c r="BB3723" s="9" t="s">
        <v>1256</v>
      </c>
      <c r="BC3723" s="1005">
        <v>205</v>
      </c>
    </row>
    <row r="3724" spans="54:55" x14ac:dyDescent="0.2">
      <c r="BB3724" s="9" t="s">
        <v>1256</v>
      </c>
      <c r="BC3724" s="1005">
        <v>206</v>
      </c>
    </row>
    <row r="3725" spans="54:55" x14ac:dyDescent="0.2">
      <c r="BB3725" s="9" t="s">
        <v>1256</v>
      </c>
      <c r="BC3725" s="1005">
        <v>207</v>
      </c>
    </row>
    <row r="3726" spans="54:55" x14ac:dyDescent="0.2">
      <c r="BB3726" s="9" t="s">
        <v>1256</v>
      </c>
      <c r="BC3726" s="1005">
        <v>208</v>
      </c>
    </row>
    <row r="3727" spans="54:55" x14ac:dyDescent="0.2">
      <c r="BB3727" s="9" t="s">
        <v>1256</v>
      </c>
      <c r="BC3727" s="1005">
        <v>209</v>
      </c>
    </row>
    <row r="3728" spans="54:55" x14ac:dyDescent="0.2">
      <c r="BB3728" s="9" t="s">
        <v>1256</v>
      </c>
      <c r="BC3728" s="1005">
        <v>210</v>
      </c>
    </row>
    <row r="3729" spans="54:55" x14ac:dyDescent="0.2">
      <c r="BB3729" s="9" t="s">
        <v>1256</v>
      </c>
      <c r="BC3729" s="1005">
        <v>211</v>
      </c>
    </row>
    <row r="3730" spans="54:55" x14ac:dyDescent="0.2">
      <c r="BB3730" s="9" t="s">
        <v>1256</v>
      </c>
      <c r="BC3730" s="1005">
        <v>212</v>
      </c>
    </row>
    <row r="3731" spans="54:55" x14ac:dyDescent="0.2">
      <c r="BB3731" s="9" t="s">
        <v>1256</v>
      </c>
      <c r="BC3731" s="1005">
        <v>213</v>
      </c>
    </row>
    <row r="3732" spans="54:55" x14ac:dyDescent="0.2">
      <c r="BB3732" s="9" t="s">
        <v>1256</v>
      </c>
      <c r="BC3732" s="1005">
        <v>214</v>
      </c>
    </row>
    <row r="3733" spans="54:55" x14ac:dyDescent="0.2">
      <c r="BB3733" s="9" t="s">
        <v>1256</v>
      </c>
      <c r="BC3733" s="1005">
        <v>215</v>
      </c>
    </row>
    <row r="3734" spans="54:55" x14ac:dyDescent="0.2">
      <c r="BB3734" s="9" t="s">
        <v>1256</v>
      </c>
      <c r="BC3734" s="1005">
        <v>216</v>
      </c>
    </row>
    <row r="3735" spans="54:55" x14ac:dyDescent="0.2">
      <c r="BB3735" s="9" t="s">
        <v>1256</v>
      </c>
      <c r="BC3735" s="1005">
        <v>217</v>
      </c>
    </row>
    <row r="3736" spans="54:55" x14ac:dyDescent="0.2">
      <c r="BB3736" s="9" t="s">
        <v>1256</v>
      </c>
      <c r="BC3736" s="1005">
        <v>218</v>
      </c>
    </row>
    <row r="3737" spans="54:55" x14ac:dyDescent="0.2">
      <c r="BB3737" s="9" t="s">
        <v>1256</v>
      </c>
      <c r="BC3737" s="1005">
        <v>219</v>
      </c>
    </row>
    <row r="3738" spans="54:55" x14ac:dyDescent="0.2">
      <c r="BB3738" s="9" t="s">
        <v>1256</v>
      </c>
      <c r="BC3738" s="1005">
        <v>220</v>
      </c>
    </row>
    <row r="3739" spans="54:55" x14ac:dyDescent="0.2">
      <c r="BB3739" s="9" t="s">
        <v>1256</v>
      </c>
      <c r="BC3739" s="1005">
        <v>221</v>
      </c>
    </row>
    <row r="3740" spans="54:55" x14ac:dyDescent="0.2">
      <c r="BB3740" s="9" t="s">
        <v>1256</v>
      </c>
      <c r="BC3740" s="1005">
        <v>222</v>
      </c>
    </row>
    <row r="3741" spans="54:55" x14ac:dyDescent="0.2">
      <c r="BB3741" s="9" t="s">
        <v>1256</v>
      </c>
      <c r="BC3741" s="1005">
        <v>223</v>
      </c>
    </row>
    <row r="3742" spans="54:55" x14ac:dyDescent="0.2">
      <c r="BB3742" s="9" t="s">
        <v>1256</v>
      </c>
      <c r="BC3742" s="1005">
        <v>224</v>
      </c>
    </row>
    <row r="3743" spans="54:55" x14ac:dyDescent="0.2">
      <c r="BB3743" s="9" t="s">
        <v>1256</v>
      </c>
      <c r="BC3743" s="1005">
        <v>225</v>
      </c>
    </row>
    <row r="3744" spans="54:55" x14ac:dyDescent="0.2">
      <c r="BB3744" s="9" t="s">
        <v>1256</v>
      </c>
      <c r="BC3744" s="1005">
        <v>226</v>
      </c>
    </row>
    <row r="3745" spans="54:55" x14ac:dyDescent="0.2">
      <c r="BB3745" s="9" t="s">
        <v>1256</v>
      </c>
      <c r="BC3745" s="1005">
        <v>227</v>
      </c>
    </row>
    <row r="3746" spans="54:55" x14ac:dyDescent="0.2">
      <c r="BB3746" s="9" t="s">
        <v>1256</v>
      </c>
      <c r="BC3746" s="1005">
        <v>228</v>
      </c>
    </row>
    <row r="3747" spans="54:55" x14ac:dyDescent="0.2">
      <c r="BB3747" s="9" t="s">
        <v>1256</v>
      </c>
      <c r="BC3747" s="1005">
        <v>229</v>
      </c>
    </row>
    <row r="3748" spans="54:55" x14ac:dyDescent="0.2">
      <c r="BB3748" s="9" t="s">
        <v>1256</v>
      </c>
      <c r="BC3748" s="1005">
        <v>230</v>
      </c>
    </row>
    <row r="3749" spans="54:55" x14ac:dyDescent="0.2">
      <c r="BB3749" s="9" t="s">
        <v>1256</v>
      </c>
      <c r="BC3749" s="1005">
        <v>231</v>
      </c>
    </row>
    <row r="3750" spans="54:55" x14ac:dyDescent="0.2">
      <c r="BB3750" s="9" t="s">
        <v>1256</v>
      </c>
      <c r="BC3750" s="1005">
        <v>232</v>
      </c>
    </row>
    <row r="3751" spans="54:55" x14ac:dyDescent="0.2">
      <c r="BB3751" s="9" t="s">
        <v>1256</v>
      </c>
      <c r="BC3751" s="1005">
        <v>233</v>
      </c>
    </row>
    <row r="3752" spans="54:55" x14ac:dyDescent="0.2">
      <c r="BB3752" s="9" t="s">
        <v>1256</v>
      </c>
      <c r="BC3752" s="1005">
        <v>234</v>
      </c>
    </row>
    <row r="3753" spans="54:55" x14ac:dyDescent="0.2">
      <c r="BB3753" s="9" t="s">
        <v>1256</v>
      </c>
      <c r="BC3753" s="1005">
        <v>235</v>
      </c>
    </row>
    <row r="3754" spans="54:55" x14ac:dyDescent="0.2">
      <c r="BB3754" s="9" t="s">
        <v>1256</v>
      </c>
      <c r="BC3754" s="1005">
        <v>236</v>
      </c>
    </row>
    <row r="3755" spans="54:55" x14ac:dyDescent="0.2">
      <c r="BB3755" s="9" t="s">
        <v>1256</v>
      </c>
      <c r="BC3755" s="1005">
        <v>237</v>
      </c>
    </row>
    <row r="3756" spans="54:55" x14ac:dyDescent="0.2">
      <c r="BB3756" s="9" t="s">
        <v>1256</v>
      </c>
      <c r="BC3756" s="1005">
        <v>238</v>
      </c>
    </row>
    <row r="3757" spans="54:55" x14ac:dyDescent="0.2">
      <c r="BB3757" s="9" t="s">
        <v>1256</v>
      </c>
      <c r="BC3757" s="1005">
        <v>239</v>
      </c>
    </row>
    <row r="3758" spans="54:55" x14ac:dyDescent="0.2">
      <c r="BB3758" s="9" t="s">
        <v>1256</v>
      </c>
      <c r="BC3758" s="1005">
        <v>240</v>
      </c>
    </row>
    <row r="3759" spans="54:55" x14ac:dyDescent="0.2">
      <c r="BB3759" s="9" t="s">
        <v>1256</v>
      </c>
      <c r="BC3759" s="1005">
        <v>241</v>
      </c>
    </row>
    <row r="3760" spans="54:55" x14ac:dyDescent="0.2">
      <c r="BB3760" s="9" t="s">
        <v>1256</v>
      </c>
      <c r="BC3760" s="1005">
        <v>242</v>
      </c>
    </row>
    <row r="3761" spans="54:55" x14ac:dyDescent="0.2">
      <c r="BB3761" s="9" t="s">
        <v>1256</v>
      </c>
      <c r="BC3761" s="1005">
        <v>243</v>
      </c>
    </row>
    <row r="3762" spans="54:55" x14ac:dyDescent="0.2">
      <c r="BB3762" s="9" t="s">
        <v>1256</v>
      </c>
      <c r="BC3762" s="1005">
        <v>244</v>
      </c>
    </row>
    <row r="3763" spans="54:55" x14ac:dyDescent="0.2">
      <c r="BB3763" s="9" t="s">
        <v>1256</v>
      </c>
      <c r="BC3763" s="1005">
        <v>245</v>
      </c>
    </row>
    <row r="3764" spans="54:55" x14ac:dyDescent="0.2">
      <c r="BB3764" s="9" t="s">
        <v>1256</v>
      </c>
      <c r="BC3764" s="1005">
        <v>246</v>
      </c>
    </row>
    <row r="3765" spans="54:55" x14ac:dyDescent="0.2">
      <c r="BB3765" s="9" t="s">
        <v>1256</v>
      </c>
      <c r="BC3765" s="1005">
        <v>247</v>
      </c>
    </row>
    <row r="3766" spans="54:55" x14ac:dyDescent="0.2">
      <c r="BB3766" s="9" t="s">
        <v>1256</v>
      </c>
      <c r="BC3766" s="1005">
        <v>248</v>
      </c>
    </row>
    <row r="3767" spans="54:55" x14ac:dyDescent="0.2">
      <c r="BB3767" s="9" t="s">
        <v>1256</v>
      </c>
      <c r="BC3767" s="1005">
        <v>249</v>
      </c>
    </row>
    <row r="3768" spans="54:55" x14ac:dyDescent="0.2">
      <c r="BB3768" s="9" t="s">
        <v>1256</v>
      </c>
      <c r="BC3768" s="1005">
        <v>250</v>
      </c>
    </row>
    <row r="3769" spans="54:55" x14ac:dyDescent="0.2">
      <c r="BB3769" s="9" t="s">
        <v>1259</v>
      </c>
      <c r="BC3769" s="1005">
        <v>160</v>
      </c>
    </row>
    <row r="3770" spans="54:55" x14ac:dyDescent="0.2">
      <c r="BB3770" s="9" t="s">
        <v>1259</v>
      </c>
      <c r="BC3770" s="1005">
        <v>161</v>
      </c>
    </row>
    <row r="3771" spans="54:55" x14ac:dyDescent="0.2">
      <c r="BB3771" s="9" t="s">
        <v>1259</v>
      </c>
      <c r="BC3771" s="1005">
        <v>162</v>
      </c>
    </row>
    <row r="3772" spans="54:55" x14ac:dyDescent="0.2">
      <c r="BB3772" s="9" t="s">
        <v>1259</v>
      </c>
      <c r="BC3772" s="1005">
        <v>163</v>
      </c>
    </row>
    <row r="3773" spans="54:55" x14ac:dyDescent="0.2">
      <c r="BB3773" s="9" t="s">
        <v>1259</v>
      </c>
      <c r="BC3773" s="1005">
        <v>164</v>
      </c>
    </row>
    <row r="3774" spans="54:55" x14ac:dyDescent="0.2">
      <c r="BB3774" s="9" t="s">
        <v>1259</v>
      </c>
      <c r="BC3774" s="1005">
        <v>165</v>
      </c>
    </row>
    <row r="3775" spans="54:55" x14ac:dyDescent="0.2">
      <c r="BB3775" s="9" t="s">
        <v>1259</v>
      </c>
      <c r="BC3775" s="1005">
        <v>166</v>
      </c>
    </row>
    <row r="3776" spans="54:55" x14ac:dyDescent="0.2">
      <c r="BB3776" s="9" t="s">
        <v>1259</v>
      </c>
      <c r="BC3776" s="1005">
        <v>167</v>
      </c>
    </row>
    <row r="3777" spans="54:55" x14ac:dyDescent="0.2">
      <c r="BB3777" s="9" t="s">
        <v>1259</v>
      </c>
      <c r="BC3777" s="1005">
        <v>168</v>
      </c>
    </row>
    <row r="3778" spans="54:55" x14ac:dyDescent="0.2">
      <c r="BB3778" s="9" t="s">
        <v>1259</v>
      </c>
      <c r="BC3778" s="1005">
        <v>169</v>
      </c>
    </row>
    <row r="3779" spans="54:55" x14ac:dyDescent="0.2">
      <c r="BB3779" s="9" t="s">
        <v>1259</v>
      </c>
      <c r="BC3779" s="1005">
        <v>170</v>
      </c>
    </row>
    <row r="3780" spans="54:55" x14ac:dyDescent="0.2">
      <c r="BB3780" s="9" t="s">
        <v>1259</v>
      </c>
      <c r="BC3780" s="1005">
        <v>171</v>
      </c>
    </row>
    <row r="3781" spans="54:55" x14ac:dyDescent="0.2">
      <c r="BB3781" s="9" t="s">
        <v>1259</v>
      </c>
      <c r="BC3781" s="1005">
        <v>172</v>
      </c>
    </row>
    <row r="3782" spans="54:55" x14ac:dyDescent="0.2">
      <c r="BB3782" s="9" t="s">
        <v>1259</v>
      </c>
      <c r="BC3782" s="1005">
        <v>173</v>
      </c>
    </row>
    <row r="3783" spans="54:55" x14ac:dyDescent="0.2">
      <c r="BB3783" s="9" t="s">
        <v>1259</v>
      </c>
      <c r="BC3783" s="1005">
        <v>174</v>
      </c>
    </row>
    <row r="3784" spans="54:55" x14ac:dyDescent="0.2">
      <c r="BB3784" s="9" t="s">
        <v>1259</v>
      </c>
      <c r="BC3784" s="1005">
        <v>175</v>
      </c>
    </row>
    <row r="3785" spans="54:55" x14ac:dyDescent="0.2">
      <c r="BB3785" s="9" t="s">
        <v>1259</v>
      </c>
      <c r="BC3785" s="1005">
        <v>176</v>
      </c>
    </row>
    <row r="3786" spans="54:55" x14ac:dyDescent="0.2">
      <c r="BB3786" s="9" t="s">
        <v>1259</v>
      </c>
      <c r="BC3786" s="1005">
        <v>177</v>
      </c>
    </row>
    <row r="3787" spans="54:55" x14ac:dyDescent="0.2">
      <c r="BB3787" s="9" t="s">
        <v>1259</v>
      </c>
      <c r="BC3787" s="1005">
        <v>178</v>
      </c>
    </row>
    <row r="3788" spans="54:55" x14ac:dyDescent="0.2">
      <c r="BB3788" s="9" t="s">
        <v>1259</v>
      </c>
      <c r="BC3788" s="1005">
        <v>179</v>
      </c>
    </row>
    <row r="3789" spans="54:55" x14ac:dyDescent="0.2">
      <c r="BB3789" s="9" t="s">
        <v>1259</v>
      </c>
      <c r="BC3789" s="1005">
        <v>180</v>
      </c>
    </row>
    <row r="3790" spans="54:55" x14ac:dyDescent="0.2">
      <c r="BB3790" s="9" t="s">
        <v>1259</v>
      </c>
      <c r="BC3790" s="1005">
        <v>181</v>
      </c>
    </row>
    <row r="3791" spans="54:55" x14ac:dyDescent="0.2">
      <c r="BB3791" s="9" t="s">
        <v>1259</v>
      </c>
      <c r="BC3791" s="1005">
        <v>182</v>
      </c>
    </row>
    <row r="3792" spans="54:55" x14ac:dyDescent="0.2">
      <c r="BB3792" s="9" t="s">
        <v>1259</v>
      </c>
      <c r="BC3792" s="1005">
        <v>183</v>
      </c>
    </row>
    <row r="3793" spans="54:55" x14ac:dyDescent="0.2">
      <c r="BB3793" s="9" t="s">
        <v>1259</v>
      </c>
      <c r="BC3793" s="1005">
        <v>184</v>
      </c>
    </row>
    <row r="3794" spans="54:55" x14ac:dyDescent="0.2">
      <c r="BB3794" s="9" t="s">
        <v>1259</v>
      </c>
      <c r="BC3794" s="1005">
        <v>185</v>
      </c>
    </row>
    <row r="3795" spans="54:55" x14ac:dyDescent="0.2">
      <c r="BB3795" s="9" t="s">
        <v>1259</v>
      </c>
      <c r="BC3795" s="1005">
        <v>186</v>
      </c>
    </row>
    <row r="3796" spans="54:55" x14ac:dyDescent="0.2">
      <c r="BB3796" s="9" t="s">
        <v>1259</v>
      </c>
      <c r="BC3796" s="1005">
        <v>187</v>
      </c>
    </row>
    <row r="3797" spans="54:55" x14ac:dyDescent="0.2">
      <c r="BB3797" s="9" t="s">
        <v>1259</v>
      </c>
      <c r="BC3797" s="1005">
        <v>188</v>
      </c>
    </row>
    <row r="3798" spans="54:55" x14ac:dyDescent="0.2">
      <c r="BB3798" s="9" t="s">
        <v>1259</v>
      </c>
      <c r="BC3798" s="1005">
        <v>189</v>
      </c>
    </row>
    <row r="3799" spans="54:55" x14ac:dyDescent="0.2">
      <c r="BB3799" s="9" t="s">
        <v>1259</v>
      </c>
      <c r="BC3799" s="1005">
        <v>190</v>
      </c>
    </row>
    <row r="3800" spans="54:55" x14ac:dyDescent="0.2">
      <c r="BB3800" s="9" t="s">
        <v>1259</v>
      </c>
      <c r="BC3800" s="1005">
        <v>191</v>
      </c>
    </row>
    <row r="3801" spans="54:55" x14ac:dyDescent="0.2">
      <c r="BB3801" s="9" t="s">
        <v>1259</v>
      </c>
      <c r="BC3801" s="1005">
        <v>192</v>
      </c>
    </row>
    <row r="3802" spans="54:55" x14ac:dyDescent="0.2">
      <c r="BB3802" s="9" t="s">
        <v>1259</v>
      </c>
      <c r="BC3802" s="1005">
        <v>193</v>
      </c>
    </row>
    <row r="3803" spans="54:55" x14ac:dyDescent="0.2">
      <c r="BB3803" s="9" t="s">
        <v>1259</v>
      </c>
      <c r="BC3803" s="1005">
        <v>194</v>
      </c>
    </row>
    <row r="3804" spans="54:55" x14ac:dyDescent="0.2">
      <c r="BB3804" s="9" t="s">
        <v>1259</v>
      </c>
      <c r="BC3804" s="1005">
        <v>195</v>
      </c>
    </row>
    <row r="3805" spans="54:55" x14ac:dyDescent="0.2">
      <c r="BB3805" s="9" t="s">
        <v>1259</v>
      </c>
      <c r="BC3805" s="1005">
        <v>196</v>
      </c>
    </row>
    <row r="3806" spans="54:55" x14ac:dyDescent="0.2">
      <c r="BB3806" s="9" t="s">
        <v>1259</v>
      </c>
      <c r="BC3806" s="1005">
        <v>197</v>
      </c>
    </row>
    <row r="3807" spans="54:55" x14ac:dyDescent="0.2">
      <c r="BB3807" s="9" t="s">
        <v>1259</v>
      </c>
      <c r="BC3807" s="1005">
        <v>198</v>
      </c>
    </row>
    <row r="3808" spans="54:55" x14ac:dyDescent="0.2">
      <c r="BB3808" s="9" t="s">
        <v>1259</v>
      </c>
      <c r="BC3808" s="1005">
        <v>199</v>
      </c>
    </row>
    <row r="3809" spans="54:55" x14ac:dyDescent="0.2">
      <c r="BB3809" s="9" t="s">
        <v>1259</v>
      </c>
      <c r="BC3809" s="1005">
        <v>200</v>
      </c>
    </row>
    <row r="3810" spans="54:55" x14ac:dyDescent="0.2">
      <c r="BB3810" s="9" t="s">
        <v>1259</v>
      </c>
      <c r="BC3810" s="1005">
        <v>201</v>
      </c>
    </row>
    <row r="3811" spans="54:55" x14ac:dyDescent="0.2">
      <c r="BB3811" s="9" t="s">
        <v>1259</v>
      </c>
      <c r="BC3811" s="1005">
        <v>202</v>
      </c>
    </row>
    <row r="3812" spans="54:55" x14ac:dyDescent="0.2">
      <c r="BB3812" s="9" t="s">
        <v>1259</v>
      </c>
      <c r="BC3812" s="1005">
        <v>203</v>
      </c>
    </row>
    <row r="3813" spans="54:55" x14ac:dyDescent="0.2">
      <c r="BB3813" s="9" t="s">
        <v>1259</v>
      </c>
      <c r="BC3813" s="1005">
        <v>204</v>
      </c>
    </row>
    <row r="3814" spans="54:55" x14ac:dyDescent="0.2">
      <c r="BB3814" s="9" t="s">
        <v>1259</v>
      </c>
      <c r="BC3814" s="1005">
        <v>205</v>
      </c>
    </row>
    <row r="3815" spans="54:55" x14ac:dyDescent="0.2">
      <c r="BB3815" s="9" t="s">
        <v>1259</v>
      </c>
      <c r="BC3815" s="1005">
        <v>206</v>
      </c>
    </row>
    <row r="3816" spans="54:55" x14ac:dyDescent="0.2">
      <c r="BB3816" s="9" t="s">
        <v>1259</v>
      </c>
      <c r="BC3816" s="1005">
        <v>207</v>
      </c>
    </row>
    <row r="3817" spans="54:55" x14ac:dyDescent="0.2">
      <c r="BB3817" s="9" t="s">
        <v>1259</v>
      </c>
      <c r="BC3817" s="1005">
        <v>208</v>
      </c>
    </row>
    <row r="3818" spans="54:55" x14ac:dyDescent="0.2">
      <c r="BB3818" s="9" t="s">
        <v>1259</v>
      </c>
      <c r="BC3818" s="1005">
        <v>209</v>
      </c>
    </row>
    <row r="3819" spans="54:55" x14ac:dyDescent="0.2">
      <c r="BB3819" s="9" t="s">
        <v>1259</v>
      </c>
      <c r="BC3819" s="1005">
        <v>210</v>
      </c>
    </row>
    <row r="3820" spans="54:55" x14ac:dyDescent="0.2">
      <c r="BB3820" s="9" t="s">
        <v>1259</v>
      </c>
      <c r="BC3820" s="1005">
        <v>211</v>
      </c>
    </row>
    <row r="3821" spans="54:55" x14ac:dyDescent="0.2">
      <c r="BB3821" s="9" t="s">
        <v>1259</v>
      </c>
      <c r="BC3821" s="1005">
        <v>212</v>
      </c>
    </row>
    <row r="3822" spans="54:55" x14ac:dyDescent="0.2">
      <c r="BB3822" s="9" t="s">
        <v>1259</v>
      </c>
      <c r="BC3822" s="1005">
        <v>213</v>
      </c>
    </row>
    <row r="3823" spans="54:55" x14ac:dyDescent="0.2">
      <c r="BB3823" s="9" t="s">
        <v>1259</v>
      </c>
      <c r="BC3823" s="1005">
        <v>214</v>
      </c>
    </row>
    <row r="3824" spans="54:55" x14ac:dyDescent="0.2">
      <c r="BB3824" s="9" t="s">
        <v>1259</v>
      </c>
      <c r="BC3824" s="1005">
        <v>215</v>
      </c>
    </row>
    <row r="3825" spans="54:55" x14ac:dyDescent="0.2">
      <c r="BB3825" s="9" t="s">
        <v>1259</v>
      </c>
      <c r="BC3825" s="1005">
        <v>216</v>
      </c>
    </row>
    <row r="3826" spans="54:55" x14ac:dyDescent="0.2">
      <c r="BB3826" s="9" t="s">
        <v>1259</v>
      </c>
      <c r="BC3826" s="1005">
        <v>217</v>
      </c>
    </row>
    <row r="3827" spans="54:55" x14ac:dyDescent="0.2">
      <c r="BB3827" s="9" t="s">
        <v>1259</v>
      </c>
      <c r="BC3827" s="1005">
        <v>218</v>
      </c>
    </row>
    <row r="3828" spans="54:55" x14ac:dyDescent="0.2">
      <c r="BB3828" s="9" t="s">
        <v>1259</v>
      </c>
      <c r="BC3828" s="1005">
        <v>219</v>
      </c>
    </row>
    <row r="3829" spans="54:55" x14ac:dyDescent="0.2">
      <c r="BB3829" s="9" t="s">
        <v>1259</v>
      </c>
      <c r="BC3829" s="1005">
        <v>220</v>
      </c>
    </row>
    <row r="3830" spans="54:55" x14ac:dyDescent="0.2">
      <c r="BB3830" s="9" t="s">
        <v>1259</v>
      </c>
      <c r="BC3830" s="1005">
        <v>221</v>
      </c>
    </row>
    <row r="3831" spans="54:55" x14ac:dyDescent="0.2">
      <c r="BB3831" s="9" t="s">
        <v>1259</v>
      </c>
      <c r="BC3831" s="1005">
        <v>222</v>
      </c>
    </row>
    <row r="3832" spans="54:55" x14ac:dyDescent="0.2">
      <c r="BB3832" s="9" t="s">
        <v>1259</v>
      </c>
      <c r="BC3832" s="1005">
        <v>223</v>
      </c>
    </row>
    <row r="3833" spans="54:55" x14ac:dyDescent="0.2">
      <c r="BB3833" s="9" t="s">
        <v>1259</v>
      </c>
      <c r="BC3833" s="1005">
        <v>224</v>
      </c>
    </row>
    <row r="3834" spans="54:55" x14ac:dyDescent="0.2">
      <c r="BB3834" s="9" t="s">
        <v>1259</v>
      </c>
      <c r="BC3834" s="1005">
        <v>225</v>
      </c>
    </row>
    <row r="3835" spans="54:55" x14ac:dyDescent="0.2">
      <c r="BB3835" s="9" t="s">
        <v>1259</v>
      </c>
      <c r="BC3835" s="1005">
        <v>226</v>
      </c>
    </row>
    <row r="3836" spans="54:55" x14ac:dyDescent="0.2">
      <c r="BB3836" s="9" t="s">
        <v>1259</v>
      </c>
      <c r="BC3836" s="1005">
        <v>227</v>
      </c>
    </row>
    <row r="3837" spans="54:55" x14ac:dyDescent="0.2">
      <c r="BB3837" s="9" t="s">
        <v>1259</v>
      </c>
      <c r="BC3837" s="1005">
        <v>228</v>
      </c>
    </row>
    <row r="3838" spans="54:55" x14ac:dyDescent="0.2">
      <c r="BB3838" s="9" t="s">
        <v>1259</v>
      </c>
      <c r="BC3838" s="1005">
        <v>229</v>
      </c>
    </row>
    <row r="3839" spans="54:55" x14ac:dyDescent="0.2">
      <c r="BB3839" s="9" t="s">
        <v>1259</v>
      </c>
      <c r="BC3839" s="1005">
        <v>230</v>
      </c>
    </row>
    <row r="3840" spans="54:55" x14ac:dyDescent="0.2">
      <c r="BB3840" s="9" t="s">
        <v>1259</v>
      </c>
      <c r="BC3840" s="1005">
        <v>231</v>
      </c>
    </row>
    <row r="3841" spans="54:55" x14ac:dyDescent="0.2">
      <c r="BB3841" s="9" t="s">
        <v>1259</v>
      </c>
      <c r="BC3841" s="1005">
        <v>232</v>
      </c>
    </row>
    <row r="3842" spans="54:55" x14ac:dyDescent="0.2">
      <c r="BB3842" s="9" t="s">
        <v>1259</v>
      </c>
      <c r="BC3842" s="1005">
        <v>233</v>
      </c>
    </row>
    <row r="3843" spans="54:55" x14ac:dyDescent="0.2">
      <c r="BB3843" s="9" t="s">
        <v>1259</v>
      </c>
      <c r="BC3843" s="1005">
        <v>234</v>
      </c>
    </row>
    <row r="3844" spans="54:55" x14ac:dyDescent="0.2">
      <c r="BB3844" s="9" t="s">
        <v>1259</v>
      </c>
      <c r="BC3844" s="1005">
        <v>235</v>
      </c>
    </row>
    <row r="3845" spans="54:55" x14ac:dyDescent="0.2">
      <c r="BB3845" s="9" t="s">
        <v>1259</v>
      </c>
      <c r="BC3845" s="1005">
        <v>236</v>
      </c>
    </row>
    <row r="3846" spans="54:55" x14ac:dyDescent="0.2">
      <c r="BB3846" s="9" t="s">
        <v>1259</v>
      </c>
      <c r="BC3846" s="1005">
        <v>237</v>
      </c>
    </row>
    <row r="3847" spans="54:55" x14ac:dyDescent="0.2">
      <c r="BB3847" s="9" t="s">
        <v>1259</v>
      </c>
      <c r="BC3847" s="1005">
        <v>238</v>
      </c>
    </row>
    <row r="3848" spans="54:55" x14ac:dyDescent="0.2">
      <c r="BB3848" s="9" t="s">
        <v>1259</v>
      </c>
      <c r="BC3848" s="1005">
        <v>239</v>
      </c>
    </row>
    <row r="3849" spans="54:55" x14ac:dyDescent="0.2">
      <c r="BB3849" s="9" t="s">
        <v>1259</v>
      </c>
      <c r="BC3849" s="1005">
        <v>240</v>
      </c>
    </row>
    <row r="3850" spans="54:55" x14ac:dyDescent="0.2">
      <c r="BB3850" s="9" t="s">
        <v>1259</v>
      </c>
      <c r="BC3850" s="1005">
        <v>241</v>
      </c>
    </row>
    <row r="3851" spans="54:55" x14ac:dyDescent="0.2">
      <c r="BB3851" s="9" t="s">
        <v>1259</v>
      </c>
      <c r="BC3851" s="1005">
        <v>242</v>
      </c>
    </row>
    <row r="3852" spans="54:55" x14ac:dyDescent="0.2">
      <c r="BB3852" s="9" t="s">
        <v>1259</v>
      </c>
      <c r="BC3852" s="1005">
        <v>243</v>
      </c>
    </row>
    <row r="3853" spans="54:55" x14ac:dyDescent="0.2">
      <c r="BB3853" s="9" t="s">
        <v>1259</v>
      </c>
      <c r="BC3853" s="1005">
        <v>244</v>
      </c>
    </row>
    <row r="3854" spans="54:55" x14ac:dyDescent="0.2">
      <c r="BB3854" s="9" t="s">
        <v>1259</v>
      </c>
      <c r="BC3854" s="1005">
        <v>245</v>
      </c>
    </row>
    <row r="3855" spans="54:55" x14ac:dyDescent="0.2">
      <c r="BB3855" s="9" t="s">
        <v>1259</v>
      </c>
      <c r="BC3855" s="1005">
        <v>246</v>
      </c>
    </row>
    <row r="3856" spans="54:55" x14ac:dyDescent="0.2">
      <c r="BB3856" s="9" t="s">
        <v>1259</v>
      </c>
      <c r="BC3856" s="1005">
        <v>247</v>
      </c>
    </row>
    <row r="3857" spans="54:55" x14ac:dyDescent="0.2">
      <c r="BB3857" s="9" t="s">
        <v>1259</v>
      </c>
      <c r="BC3857" s="1005">
        <v>248</v>
      </c>
    </row>
    <row r="3858" spans="54:55" x14ac:dyDescent="0.2">
      <c r="BB3858" s="9" t="s">
        <v>1259</v>
      </c>
      <c r="BC3858" s="1005">
        <v>249</v>
      </c>
    </row>
    <row r="3859" spans="54:55" x14ac:dyDescent="0.2">
      <c r="BB3859" s="9" t="s">
        <v>1259</v>
      </c>
      <c r="BC3859" s="1005">
        <v>250</v>
      </c>
    </row>
    <row r="3860" spans="54:55" x14ac:dyDescent="0.2">
      <c r="BB3860" s="9" t="s">
        <v>1259</v>
      </c>
      <c r="BC3860" s="1005">
        <v>251</v>
      </c>
    </row>
    <row r="3861" spans="54:55" x14ac:dyDescent="0.2">
      <c r="BB3861" s="9" t="s">
        <v>1259</v>
      </c>
      <c r="BC3861" s="1005">
        <v>252</v>
      </c>
    </row>
    <row r="3862" spans="54:55" x14ac:dyDescent="0.2">
      <c r="BB3862" s="9" t="s">
        <v>1259</v>
      </c>
      <c r="BC3862" s="1005">
        <v>253</v>
      </c>
    </row>
    <row r="3863" spans="54:55" x14ac:dyDescent="0.2">
      <c r="BB3863" s="9" t="s">
        <v>1259</v>
      </c>
      <c r="BC3863" s="1005">
        <v>254</v>
      </c>
    </row>
    <row r="3864" spans="54:55" x14ac:dyDescent="0.2">
      <c r="BB3864" s="9" t="s">
        <v>1259</v>
      </c>
      <c r="BC3864" s="1005">
        <v>255</v>
      </c>
    </row>
    <row r="3865" spans="54:55" x14ac:dyDescent="0.2">
      <c r="BB3865" s="9" t="s">
        <v>1259</v>
      </c>
      <c r="BC3865" s="1005">
        <v>256</v>
      </c>
    </row>
    <row r="3866" spans="54:55" x14ac:dyDescent="0.2">
      <c r="BB3866" s="9" t="s">
        <v>1259</v>
      </c>
      <c r="BC3866" s="1005">
        <v>257</v>
      </c>
    </row>
    <row r="3867" spans="54:55" x14ac:dyDescent="0.2">
      <c r="BB3867" s="9" t="s">
        <v>1259</v>
      </c>
      <c r="BC3867" s="1005">
        <v>258</v>
      </c>
    </row>
    <row r="3868" spans="54:55" x14ac:dyDescent="0.2">
      <c r="BB3868" s="9" t="s">
        <v>1259</v>
      </c>
      <c r="BC3868" s="1005">
        <v>259</v>
      </c>
    </row>
    <row r="3869" spans="54:55" x14ac:dyDescent="0.2">
      <c r="BB3869" s="9" t="s">
        <v>1259</v>
      </c>
      <c r="BC3869" s="1005">
        <v>260</v>
      </c>
    </row>
    <row r="3870" spans="54:55" x14ac:dyDescent="0.2">
      <c r="BB3870" s="9" t="s">
        <v>1259</v>
      </c>
      <c r="BC3870" s="1005">
        <v>261</v>
      </c>
    </row>
    <row r="3871" spans="54:55" x14ac:dyDescent="0.2">
      <c r="BB3871" s="9" t="s">
        <v>1259</v>
      </c>
      <c r="BC3871" s="1005">
        <v>262</v>
      </c>
    </row>
    <row r="3872" spans="54:55" x14ac:dyDescent="0.2">
      <c r="BB3872" s="9" t="s">
        <v>1259</v>
      </c>
      <c r="BC3872" s="1005">
        <v>263</v>
      </c>
    </row>
    <row r="3873" spans="54:55" x14ac:dyDescent="0.2">
      <c r="BB3873" s="9" t="s">
        <v>1259</v>
      </c>
      <c r="BC3873" s="1005">
        <v>264</v>
      </c>
    </row>
    <row r="3874" spans="54:55" x14ac:dyDescent="0.2">
      <c r="BB3874" s="9" t="s">
        <v>1259</v>
      </c>
      <c r="BC3874" s="1005">
        <v>265</v>
      </c>
    </row>
    <row r="3875" spans="54:55" x14ac:dyDescent="0.2">
      <c r="BB3875" s="9" t="s">
        <v>1259</v>
      </c>
      <c r="BC3875" s="1005">
        <v>266</v>
      </c>
    </row>
    <row r="3876" spans="54:55" x14ac:dyDescent="0.2">
      <c r="BB3876" s="9" t="s">
        <v>1259</v>
      </c>
      <c r="BC3876" s="1005">
        <v>267</v>
      </c>
    </row>
    <row r="3877" spans="54:55" x14ac:dyDescent="0.2">
      <c r="BB3877" s="9" t="s">
        <v>1259</v>
      </c>
      <c r="BC3877" s="1005">
        <v>268</v>
      </c>
    </row>
    <row r="3878" spans="54:55" x14ac:dyDescent="0.2">
      <c r="BB3878" s="9" t="s">
        <v>1259</v>
      </c>
      <c r="BC3878" s="1005">
        <v>269</v>
      </c>
    </row>
    <row r="3879" spans="54:55" x14ac:dyDescent="0.2">
      <c r="BB3879" s="9" t="s">
        <v>1259</v>
      </c>
      <c r="BC3879" s="1005">
        <v>270</v>
      </c>
    </row>
    <row r="3880" spans="54:55" x14ac:dyDescent="0.2">
      <c r="BB3880" s="9" t="s">
        <v>1259</v>
      </c>
      <c r="BC3880" s="1005">
        <v>271</v>
      </c>
    </row>
    <row r="3881" spans="54:55" x14ac:dyDescent="0.2">
      <c r="BB3881" s="9" t="s">
        <v>1259</v>
      </c>
      <c r="BC3881" s="1005">
        <v>272</v>
      </c>
    </row>
    <row r="3882" spans="54:55" x14ac:dyDescent="0.2">
      <c r="BB3882" s="9" t="s">
        <v>1259</v>
      </c>
      <c r="BC3882" s="1005">
        <v>273</v>
      </c>
    </row>
    <row r="3883" spans="54:55" x14ac:dyDescent="0.2">
      <c r="BB3883" s="9" t="s">
        <v>1259</v>
      </c>
      <c r="BC3883" s="1005">
        <v>274</v>
      </c>
    </row>
    <row r="3884" spans="54:55" x14ac:dyDescent="0.2">
      <c r="BB3884" s="9" t="s">
        <v>1259</v>
      </c>
      <c r="BC3884" s="1005">
        <v>275</v>
      </c>
    </row>
    <row r="3885" spans="54:55" x14ac:dyDescent="0.2">
      <c r="BB3885" s="9" t="s">
        <v>1259</v>
      </c>
      <c r="BC3885" s="1005">
        <v>276</v>
      </c>
    </row>
    <row r="3886" spans="54:55" x14ac:dyDescent="0.2">
      <c r="BB3886" s="9" t="s">
        <v>1259</v>
      </c>
      <c r="BC3886" s="1005">
        <v>277</v>
      </c>
    </row>
    <row r="3887" spans="54:55" x14ac:dyDescent="0.2">
      <c r="BB3887" s="9" t="s">
        <v>1259</v>
      </c>
      <c r="BC3887" s="1005">
        <v>278</v>
      </c>
    </row>
    <row r="3888" spans="54:55" x14ac:dyDescent="0.2">
      <c r="BB3888" s="9" t="s">
        <v>1259</v>
      </c>
      <c r="BC3888" s="1005">
        <v>279</v>
      </c>
    </row>
    <row r="3889" spans="54:55" x14ac:dyDescent="0.2">
      <c r="BB3889" s="9" t="s">
        <v>1259</v>
      </c>
      <c r="BC3889" s="1005">
        <v>280</v>
      </c>
    </row>
    <row r="3890" spans="54:55" x14ac:dyDescent="0.2">
      <c r="BB3890" s="9" t="s">
        <v>1259</v>
      </c>
      <c r="BC3890" s="1005">
        <v>281</v>
      </c>
    </row>
    <row r="3891" spans="54:55" x14ac:dyDescent="0.2">
      <c r="BB3891" s="9" t="s">
        <v>1259</v>
      </c>
      <c r="BC3891" s="1005">
        <v>282</v>
      </c>
    </row>
    <row r="3892" spans="54:55" x14ac:dyDescent="0.2">
      <c r="BB3892" s="9" t="s">
        <v>1259</v>
      </c>
      <c r="BC3892" s="1005">
        <v>283</v>
      </c>
    </row>
    <row r="3893" spans="54:55" x14ac:dyDescent="0.2">
      <c r="BB3893" s="9" t="s">
        <v>1259</v>
      </c>
      <c r="BC3893" s="1005">
        <v>284</v>
      </c>
    </row>
    <row r="3894" spans="54:55" x14ac:dyDescent="0.2">
      <c r="BB3894" s="9" t="s">
        <v>1259</v>
      </c>
      <c r="BC3894" s="1005">
        <v>285</v>
      </c>
    </row>
    <row r="3895" spans="54:55" x14ac:dyDescent="0.2">
      <c r="BB3895" s="9" t="s">
        <v>1259</v>
      </c>
      <c r="BC3895" s="1005">
        <v>286</v>
      </c>
    </row>
    <row r="3896" spans="54:55" x14ac:dyDescent="0.2">
      <c r="BB3896" s="9" t="s">
        <v>1259</v>
      </c>
      <c r="BC3896" s="1005">
        <v>287</v>
      </c>
    </row>
    <row r="3897" spans="54:55" x14ac:dyDescent="0.2">
      <c r="BB3897" s="9" t="s">
        <v>1259</v>
      </c>
      <c r="BC3897" s="1005">
        <v>288</v>
      </c>
    </row>
    <row r="3898" spans="54:55" x14ac:dyDescent="0.2">
      <c r="BB3898" s="9" t="s">
        <v>1259</v>
      </c>
      <c r="BC3898" s="1005">
        <v>289</v>
      </c>
    </row>
    <row r="3899" spans="54:55" x14ac:dyDescent="0.2">
      <c r="BB3899" s="9" t="s">
        <v>1259</v>
      </c>
      <c r="BC3899" s="1005">
        <v>290</v>
      </c>
    </row>
    <row r="3900" spans="54:55" x14ac:dyDescent="0.2">
      <c r="BB3900" s="9" t="s">
        <v>1259</v>
      </c>
      <c r="BC3900" s="1005">
        <v>291</v>
      </c>
    </row>
    <row r="3901" spans="54:55" x14ac:dyDescent="0.2">
      <c r="BB3901" s="9" t="s">
        <v>1259</v>
      </c>
      <c r="BC3901" s="1005">
        <v>292</v>
      </c>
    </row>
    <row r="3902" spans="54:55" x14ac:dyDescent="0.2">
      <c r="BB3902" s="9" t="s">
        <v>1259</v>
      </c>
      <c r="BC3902" s="1005">
        <v>293</v>
      </c>
    </row>
    <row r="3903" spans="54:55" x14ac:dyDescent="0.2">
      <c r="BB3903" s="9" t="s">
        <v>1259</v>
      </c>
      <c r="BC3903" s="1005">
        <v>294</v>
      </c>
    </row>
    <row r="3904" spans="54:55" x14ac:dyDescent="0.2">
      <c r="BB3904" s="9" t="s">
        <v>1259</v>
      </c>
      <c r="BC3904" s="1005">
        <v>295</v>
      </c>
    </row>
    <row r="3905" spans="54:55" x14ac:dyDescent="0.2">
      <c r="BB3905" s="9" t="s">
        <v>1259</v>
      </c>
      <c r="BC3905" s="1005">
        <v>296</v>
      </c>
    </row>
    <row r="3906" spans="54:55" x14ac:dyDescent="0.2">
      <c r="BB3906" s="9" t="s">
        <v>1259</v>
      </c>
      <c r="BC3906" s="1005">
        <v>297</v>
      </c>
    </row>
    <row r="3907" spans="54:55" x14ac:dyDescent="0.2">
      <c r="BB3907" s="9" t="s">
        <v>1259</v>
      </c>
      <c r="BC3907" s="1005">
        <v>298</v>
      </c>
    </row>
    <row r="3908" spans="54:55" x14ac:dyDescent="0.2">
      <c r="BB3908" s="9" t="s">
        <v>1259</v>
      </c>
      <c r="BC3908" s="1005">
        <v>299</v>
      </c>
    </row>
    <row r="3909" spans="54:55" x14ac:dyDescent="0.2">
      <c r="BB3909" s="9" t="s">
        <v>1259</v>
      </c>
      <c r="BC3909" s="1005">
        <v>300</v>
      </c>
    </row>
    <row r="3910" spans="54:55" x14ac:dyDescent="0.2">
      <c r="BB3910" s="9" t="s">
        <v>1259</v>
      </c>
      <c r="BC3910" s="1005">
        <v>301</v>
      </c>
    </row>
    <row r="3911" spans="54:55" x14ac:dyDescent="0.2">
      <c r="BB3911" s="9" t="s">
        <v>1259</v>
      </c>
      <c r="BC3911" s="1005">
        <v>302</v>
      </c>
    </row>
    <row r="3912" spans="54:55" x14ac:dyDescent="0.2">
      <c r="BB3912" s="9" t="s">
        <v>1259</v>
      </c>
      <c r="BC3912" s="1005">
        <v>303</v>
      </c>
    </row>
    <row r="3913" spans="54:55" x14ac:dyDescent="0.2">
      <c r="BB3913" s="9" t="s">
        <v>1259</v>
      </c>
      <c r="BC3913" s="1005">
        <v>304</v>
      </c>
    </row>
    <row r="3914" spans="54:55" x14ac:dyDescent="0.2">
      <c r="BB3914" s="9" t="s">
        <v>1259</v>
      </c>
      <c r="BC3914" s="1005">
        <v>305</v>
      </c>
    </row>
    <row r="3915" spans="54:55" x14ac:dyDescent="0.2">
      <c r="BB3915" s="9" t="s">
        <v>1259</v>
      </c>
      <c r="BC3915" s="1005">
        <v>306</v>
      </c>
    </row>
    <row r="3916" spans="54:55" x14ac:dyDescent="0.2">
      <c r="BB3916" s="9" t="s">
        <v>1259</v>
      </c>
      <c r="BC3916" s="1005">
        <v>307</v>
      </c>
    </row>
    <row r="3917" spans="54:55" x14ac:dyDescent="0.2">
      <c r="BB3917" s="9" t="s">
        <v>1259</v>
      </c>
      <c r="BC3917" s="1005">
        <v>308</v>
      </c>
    </row>
    <row r="3918" spans="54:55" x14ac:dyDescent="0.2">
      <c r="BB3918" s="9" t="s">
        <v>1259</v>
      </c>
      <c r="BC3918" s="1005">
        <v>309</v>
      </c>
    </row>
    <row r="3919" spans="54:55" x14ac:dyDescent="0.2">
      <c r="BB3919" s="9" t="s">
        <v>1259</v>
      </c>
      <c r="BC3919" s="1005">
        <v>310</v>
      </c>
    </row>
    <row r="3920" spans="54:55" x14ac:dyDescent="0.2">
      <c r="BB3920" s="9" t="s">
        <v>1259</v>
      </c>
      <c r="BC3920" s="1005">
        <v>311</v>
      </c>
    </row>
    <row r="3921" spans="54:55" x14ac:dyDescent="0.2">
      <c r="BB3921" s="9" t="s">
        <v>1259</v>
      </c>
      <c r="BC3921" s="1005">
        <v>312</v>
      </c>
    </row>
    <row r="3922" spans="54:55" x14ac:dyDescent="0.2">
      <c r="BB3922" s="9" t="s">
        <v>1259</v>
      </c>
      <c r="BC3922" s="1005">
        <v>313</v>
      </c>
    </row>
    <row r="3923" spans="54:55" x14ac:dyDescent="0.2">
      <c r="BB3923" s="9" t="s">
        <v>1259</v>
      </c>
      <c r="BC3923" s="1005">
        <v>314</v>
      </c>
    </row>
    <row r="3924" spans="54:55" x14ac:dyDescent="0.2">
      <c r="BB3924" s="9" t="s">
        <v>1259</v>
      </c>
      <c r="BC3924" s="1005">
        <v>315</v>
      </c>
    </row>
    <row r="3925" spans="54:55" x14ac:dyDescent="0.2">
      <c r="BB3925" s="9" t="s">
        <v>1259</v>
      </c>
      <c r="BC3925" s="1005">
        <v>316</v>
      </c>
    </row>
    <row r="3926" spans="54:55" x14ac:dyDescent="0.2">
      <c r="BB3926" s="9" t="s">
        <v>1259</v>
      </c>
      <c r="BC3926" s="1005">
        <v>317</v>
      </c>
    </row>
    <row r="3927" spans="54:55" x14ac:dyDescent="0.2">
      <c r="BB3927" s="9" t="s">
        <v>1259</v>
      </c>
      <c r="BC3927" s="1005">
        <v>318</v>
      </c>
    </row>
    <row r="3928" spans="54:55" x14ac:dyDescent="0.2">
      <c r="BB3928" s="9" t="s">
        <v>1259</v>
      </c>
      <c r="BC3928" s="1005">
        <v>319</v>
      </c>
    </row>
    <row r="3929" spans="54:55" x14ac:dyDescent="0.2">
      <c r="BB3929" s="9" t="s">
        <v>1259</v>
      </c>
      <c r="BC3929" s="1005">
        <v>320</v>
      </c>
    </row>
    <row r="3930" spans="54:55" x14ac:dyDescent="0.2">
      <c r="BB3930" s="9" t="s">
        <v>1259</v>
      </c>
      <c r="BC3930" s="1005">
        <v>321</v>
      </c>
    </row>
    <row r="3931" spans="54:55" x14ac:dyDescent="0.2">
      <c r="BB3931" s="9" t="s">
        <v>1259</v>
      </c>
      <c r="BC3931" s="1005">
        <v>322</v>
      </c>
    </row>
    <row r="3932" spans="54:55" x14ac:dyDescent="0.2">
      <c r="BB3932" s="9" t="s">
        <v>1259</v>
      </c>
      <c r="BC3932" s="1005">
        <v>323</v>
      </c>
    </row>
    <row r="3933" spans="54:55" x14ac:dyDescent="0.2">
      <c r="BB3933" s="9" t="s">
        <v>1259</v>
      </c>
      <c r="BC3933" s="1005">
        <v>324</v>
      </c>
    </row>
    <row r="3934" spans="54:55" x14ac:dyDescent="0.2">
      <c r="BB3934" s="9" t="s">
        <v>1259</v>
      </c>
      <c r="BC3934" s="1005">
        <v>325</v>
      </c>
    </row>
    <row r="3935" spans="54:55" x14ac:dyDescent="0.2">
      <c r="BB3935" s="9" t="s">
        <v>1259</v>
      </c>
      <c r="BC3935" s="1005">
        <v>326</v>
      </c>
    </row>
    <row r="3936" spans="54:55" x14ac:dyDescent="0.2">
      <c r="BB3936" s="9" t="s">
        <v>1259</v>
      </c>
      <c r="BC3936" s="1005">
        <v>327</v>
      </c>
    </row>
    <row r="3937" spans="54:55" x14ac:dyDescent="0.2">
      <c r="BB3937" s="9" t="s">
        <v>1259</v>
      </c>
      <c r="BC3937" s="1005">
        <v>328</v>
      </c>
    </row>
    <row r="3938" spans="54:55" x14ac:dyDescent="0.2">
      <c r="BB3938" s="9" t="s">
        <v>1259</v>
      </c>
      <c r="BC3938" s="1005">
        <v>329</v>
      </c>
    </row>
    <row r="3939" spans="54:55" x14ac:dyDescent="0.2">
      <c r="BB3939" s="9" t="s">
        <v>1259</v>
      </c>
      <c r="BC3939" s="1005">
        <v>330</v>
      </c>
    </row>
    <row r="3940" spans="54:55" x14ac:dyDescent="0.2">
      <c r="BB3940" s="9" t="s">
        <v>1259</v>
      </c>
      <c r="BC3940" s="1005">
        <v>331</v>
      </c>
    </row>
    <row r="3941" spans="54:55" x14ac:dyDescent="0.2">
      <c r="BB3941" s="9" t="s">
        <v>1259</v>
      </c>
      <c r="BC3941" s="1005">
        <v>332</v>
      </c>
    </row>
    <row r="3942" spans="54:55" x14ac:dyDescent="0.2">
      <c r="BB3942" s="9" t="s">
        <v>1259</v>
      </c>
      <c r="BC3942" s="1005">
        <v>333</v>
      </c>
    </row>
    <row r="3943" spans="54:55" x14ac:dyDescent="0.2">
      <c r="BB3943" s="9" t="s">
        <v>1259</v>
      </c>
      <c r="BC3943" s="1005">
        <v>334</v>
      </c>
    </row>
    <row r="3944" spans="54:55" x14ac:dyDescent="0.2">
      <c r="BB3944" s="9" t="s">
        <v>1259</v>
      </c>
      <c r="BC3944" s="1005">
        <v>335</v>
      </c>
    </row>
    <row r="3945" spans="54:55" x14ac:dyDescent="0.2">
      <c r="BB3945" s="9" t="s">
        <v>1259</v>
      </c>
      <c r="BC3945" s="1005">
        <v>336</v>
      </c>
    </row>
    <row r="3946" spans="54:55" x14ac:dyDescent="0.2">
      <c r="BB3946" s="9" t="s">
        <v>1259</v>
      </c>
      <c r="BC3946" s="1005">
        <v>337</v>
      </c>
    </row>
    <row r="3947" spans="54:55" x14ac:dyDescent="0.2">
      <c r="BB3947" s="9" t="s">
        <v>1259</v>
      </c>
      <c r="BC3947" s="1005">
        <v>338</v>
      </c>
    </row>
    <row r="3948" spans="54:55" x14ac:dyDescent="0.2">
      <c r="BB3948" s="9" t="s">
        <v>1259</v>
      </c>
      <c r="BC3948" s="1005">
        <v>339</v>
      </c>
    </row>
    <row r="3949" spans="54:55" x14ac:dyDescent="0.2">
      <c r="BB3949" s="9" t="s">
        <v>1259</v>
      </c>
      <c r="BC3949" s="1005">
        <v>340</v>
      </c>
    </row>
    <row r="3950" spans="54:55" x14ac:dyDescent="0.2">
      <c r="BB3950" s="9" t="s">
        <v>1259</v>
      </c>
      <c r="BC3950" s="1005">
        <v>341</v>
      </c>
    </row>
    <row r="3951" spans="54:55" x14ac:dyDescent="0.2">
      <c r="BB3951" s="9" t="s">
        <v>1259</v>
      </c>
      <c r="BC3951" s="1005">
        <v>342</v>
      </c>
    </row>
    <row r="3952" spans="54:55" x14ac:dyDescent="0.2">
      <c r="BB3952" s="9" t="s">
        <v>1259</v>
      </c>
      <c r="BC3952" s="1005">
        <v>343</v>
      </c>
    </row>
    <row r="3953" spans="54:55" x14ac:dyDescent="0.2">
      <c r="BB3953" s="9" t="s">
        <v>1259</v>
      </c>
      <c r="BC3953" s="1005">
        <v>344</v>
      </c>
    </row>
    <row r="3954" spans="54:55" x14ac:dyDescent="0.2">
      <c r="BB3954" s="9" t="s">
        <v>1259</v>
      </c>
      <c r="BC3954" s="1005">
        <v>345</v>
      </c>
    </row>
    <row r="3955" spans="54:55" x14ac:dyDescent="0.2">
      <c r="BB3955" s="9" t="s">
        <v>1259</v>
      </c>
      <c r="BC3955" s="1005">
        <v>346</v>
      </c>
    </row>
    <row r="3956" spans="54:55" x14ac:dyDescent="0.2">
      <c r="BB3956" s="9" t="s">
        <v>1259</v>
      </c>
      <c r="BC3956" s="1005">
        <v>347</v>
      </c>
    </row>
    <row r="3957" spans="54:55" x14ac:dyDescent="0.2">
      <c r="BB3957" s="9" t="s">
        <v>1259</v>
      </c>
      <c r="BC3957" s="1005">
        <v>348</v>
      </c>
    </row>
    <row r="3958" spans="54:55" x14ac:dyDescent="0.2">
      <c r="BB3958" s="9" t="s">
        <v>1259</v>
      </c>
      <c r="BC3958" s="1005">
        <v>349</v>
      </c>
    </row>
    <row r="3959" spans="54:55" x14ac:dyDescent="0.2">
      <c r="BB3959" s="9" t="s">
        <v>1259</v>
      </c>
      <c r="BC3959" s="1005">
        <v>350</v>
      </c>
    </row>
    <row r="3960" spans="54:55" x14ac:dyDescent="0.2">
      <c r="BB3960" s="9" t="s">
        <v>1259</v>
      </c>
      <c r="BC3960" s="1005">
        <v>351</v>
      </c>
    </row>
    <row r="3961" spans="54:55" x14ac:dyDescent="0.2">
      <c r="BB3961" s="9" t="s">
        <v>1259</v>
      </c>
      <c r="BC3961" s="1005">
        <v>352</v>
      </c>
    </row>
    <row r="3962" spans="54:55" x14ac:dyDescent="0.2">
      <c r="BB3962" s="9" t="s">
        <v>1259</v>
      </c>
      <c r="BC3962" s="1005">
        <v>353</v>
      </c>
    </row>
    <row r="3963" spans="54:55" x14ac:dyDescent="0.2">
      <c r="BB3963" s="9" t="s">
        <v>1259</v>
      </c>
      <c r="BC3963" s="1005">
        <v>354</v>
      </c>
    </row>
    <row r="3964" spans="54:55" x14ac:dyDescent="0.2">
      <c r="BB3964" s="9" t="s">
        <v>1259</v>
      </c>
      <c r="BC3964" s="1005">
        <v>355</v>
      </c>
    </row>
    <row r="3965" spans="54:55" x14ac:dyDescent="0.2">
      <c r="BB3965" s="9" t="s">
        <v>1259</v>
      </c>
      <c r="BC3965" s="1005">
        <v>356</v>
      </c>
    </row>
    <row r="3966" spans="54:55" x14ac:dyDescent="0.2">
      <c r="BB3966" s="9" t="s">
        <v>1259</v>
      </c>
      <c r="BC3966" s="1005">
        <v>357</v>
      </c>
    </row>
    <row r="3967" spans="54:55" x14ac:dyDescent="0.2">
      <c r="BB3967" s="9" t="s">
        <v>1259</v>
      </c>
      <c r="BC3967" s="1005">
        <v>358</v>
      </c>
    </row>
    <row r="3968" spans="54:55" x14ac:dyDescent="0.2">
      <c r="BB3968" s="9" t="s">
        <v>1259</v>
      </c>
      <c r="BC3968" s="1005">
        <v>359</v>
      </c>
    </row>
    <row r="3969" spans="54:55" x14ac:dyDescent="0.2">
      <c r="BB3969" s="9" t="s">
        <v>1259</v>
      </c>
      <c r="BC3969" s="1005">
        <v>360</v>
      </c>
    </row>
    <row r="3970" spans="54:55" x14ac:dyDescent="0.2">
      <c r="BB3970" s="9" t="s">
        <v>1259</v>
      </c>
      <c r="BC3970" s="1005">
        <v>361</v>
      </c>
    </row>
    <row r="3971" spans="54:55" x14ac:dyDescent="0.2">
      <c r="BB3971" s="9" t="s">
        <v>1259</v>
      </c>
      <c r="BC3971" s="1005">
        <v>362</v>
      </c>
    </row>
    <row r="3972" spans="54:55" x14ac:dyDescent="0.2">
      <c r="BB3972" s="9" t="s">
        <v>1259</v>
      </c>
      <c r="BC3972" s="1005">
        <v>363</v>
      </c>
    </row>
    <row r="3973" spans="54:55" x14ac:dyDescent="0.2">
      <c r="BB3973" s="9" t="s">
        <v>1259</v>
      </c>
      <c r="BC3973" s="1005">
        <v>364</v>
      </c>
    </row>
    <row r="3974" spans="54:55" x14ac:dyDescent="0.2">
      <c r="BB3974" s="9" t="s">
        <v>1259</v>
      </c>
      <c r="BC3974" s="1005">
        <v>365</v>
      </c>
    </row>
    <row r="3975" spans="54:55" x14ac:dyDescent="0.2">
      <c r="BB3975" s="9" t="s">
        <v>1259</v>
      </c>
      <c r="BC3975" s="1005">
        <v>366</v>
      </c>
    </row>
    <row r="3976" spans="54:55" x14ac:dyDescent="0.2">
      <c r="BB3976" s="9" t="s">
        <v>1259</v>
      </c>
      <c r="BC3976" s="1005">
        <v>367</v>
      </c>
    </row>
    <row r="3977" spans="54:55" x14ac:dyDescent="0.2">
      <c r="BB3977" s="9" t="s">
        <v>1259</v>
      </c>
      <c r="BC3977" s="1005">
        <v>368</v>
      </c>
    </row>
    <row r="3978" spans="54:55" x14ac:dyDescent="0.2">
      <c r="BB3978" s="9" t="s">
        <v>1259</v>
      </c>
      <c r="BC3978" s="1005">
        <v>369</v>
      </c>
    </row>
    <row r="3979" spans="54:55" x14ac:dyDescent="0.2">
      <c r="BB3979" s="9" t="s">
        <v>1259</v>
      </c>
      <c r="BC3979" s="1005">
        <v>370</v>
      </c>
    </row>
    <row r="3980" spans="54:55" x14ac:dyDescent="0.2">
      <c r="BB3980" s="9" t="s">
        <v>1259</v>
      </c>
      <c r="BC3980" s="1005">
        <v>371</v>
      </c>
    </row>
    <row r="3981" spans="54:55" x14ac:dyDescent="0.2">
      <c r="BB3981" s="9" t="s">
        <v>1259</v>
      </c>
      <c r="BC3981" s="1005">
        <v>372</v>
      </c>
    </row>
    <row r="3982" spans="54:55" x14ac:dyDescent="0.2">
      <c r="BB3982" s="9" t="s">
        <v>1259</v>
      </c>
      <c r="BC3982" s="1005">
        <v>373</v>
      </c>
    </row>
    <row r="3983" spans="54:55" x14ac:dyDescent="0.2">
      <c r="BB3983" s="9" t="s">
        <v>1259</v>
      </c>
      <c r="BC3983" s="1005">
        <v>374</v>
      </c>
    </row>
    <row r="3984" spans="54:55" x14ac:dyDescent="0.2">
      <c r="BB3984" s="9" t="s">
        <v>1259</v>
      </c>
      <c r="BC3984" s="1005">
        <v>375</v>
      </c>
    </row>
    <row r="3985" spans="54:55" x14ac:dyDescent="0.2">
      <c r="BB3985" s="9" t="s">
        <v>1259</v>
      </c>
      <c r="BC3985" s="1005">
        <v>376</v>
      </c>
    </row>
    <row r="3986" spans="54:55" x14ac:dyDescent="0.2">
      <c r="BB3986" s="9" t="s">
        <v>1259</v>
      </c>
      <c r="BC3986" s="1005">
        <v>377</v>
      </c>
    </row>
    <row r="3987" spans="54:55" x14ac:dyDescent="0.2">
      <c r="BB3987" s="9" t="s">
        <v>1259</v>
      </c>
      <c r="BC3987" s="1005">
        <v>378</v>
      </c>
    </row>
    <row r="3988" spans="54:55" x14ac:dyDescent="0.2">
      <c r="BB3988" s="9" t="s">
        <v>1259</v>
      </c>
      <c r="BC3988" s="1005">
        <v>379</v>
      </c>
    </row>
    <row r="3989" spans="54:55" x14ac:dyDescent="0.2">
      <c r="BB3989" s="9" t="s">
        <v>1259</v>
      </c>
      <c r="BC3989" s="1005">
        <v>380</v>
      </c>
    </row>
    <row r="3990" spans="54:55" x14ac:dyDescent="0.2">
      <c r="BB3990" s="9" t="s">
        <v>1259</v>
      </c>
      <c r="BC3990" s="1005">
        <v>381</v>
      </c>
    </row>
    <row r="3991" spans="54:55" x14ac:dyDescent="0.2">
      <c r="BB3991" s="9" t="s">
        <v>1259</v>
      </c>
      <c r="BC3991" s="1005">
        <v>382</v>
      </c>
    </row>
    <row r="3992" spans="54:55" x14ac:dyDescent="0.2">
      <c r="BB3992" s="9" t="s">
        <v>1259</v>
      </c>
      <c r="BC3992" s="1005">
        <v>383</v>
      </c>
    </row>
    <row r="3993" spans="54:55" x14ac:dyDescent="0.2">
      <c r="BB3993" s="9" t="s">
        <v>1259</v>
      </c>
      <c r="BC3993" s="1005">
        <v>384</v>
      </c>
    </row>
    <row r="3994" spans="54:55" x14ac:dyDescent="0.2">
      <c r="BB3994" s="9" t="s">
        <v>1259</v>
      </c>
      <c r="BC3994" s="1005">
        <v>385</v>
      </c>
    </row>
    <row r="3995" spans="54:55" x14ac:dyDescent="0.2">
      <c r="BB3995" s="9" t="s">
        <v>1259</v>
      </c>
      <c r="BC3995" s="1005">
        <v>386</v>
      </c>
    </row>
    <row r="3996" spans="54:55" x14ac:dyDescent="0.2">
      <c r="BB3996" s="9" t="s">
        <v>1259</v>
      </c>
      <c r="BC3996" s="1005">
        <v>387</v>
      </c>
    </row>
    <row r="3997" spans="54:55" x14ac:dyDescent="0.2">
      <c r="BB3997" s="9" t="s">
        <v>1259</v>
      </c>
      <c r="BC3997" s="1005">
        <v>388</v>
      </c>
    </row>
    <row r="3998" spans="54:55" x14ac:dyDescent="0.2">
      <c r="BB3998" s="9" t="s">
        <v>1259</v>
      </c>
      <c r="BC3998" s="1005">
        <v>389</v>
      </c>
    </row>
    <row r="3999" spans="54:55" x14ac:dyDescent="0.2">
      <c r="BB3999" s="9" t="s">
        <v>1259</v>
      </c>
      <c r="BC3999" s="1005">
        <v>390</v>
      </c>
    </row>
    <row r="4000" spans="54:55" x14ac:dyDescent="0.2">
      <c r="BB4000" s="9" t="s">
        <v>1259</v>
      </c>
      <c r="BC4000" s="1005">
        <v>391</v>
      </c>
    </row>
    <row r="4001" spans="54:55" x14ac:dyDescent="0.2">
      <c r="BB4001" s="9" t="s">
        <v>1259</v>
      </c>
      <c r="BC4001" s="1005">
        <v>392</v>
      </c>
    </row>
    <row r="4002" spans="54:55" x14ac:dyDescent="0.2">
      <c r="BB4002" s="9" t="s">
        <v>1259</v>
      </c>
      <c r="BC4002" s="1005">
        <v>393</v>
      </c>
    </row>
    <row r="4003" spans="54:55" x14ac:dyDescent="0.2">
      <c r="BB4003" s="9" t="s">
        <v>1259</v>
      </c>
      <c r="BC4003" s="1005">
        <v>394</v>
      </c>
    </row>
    <row r="4004" spans="54:55" x14ac:dyDescent="0.2">
      <c r="BB4004" s="9" t="s">
        <v>1259</v>
      </c>
      <c r="BC4004" s="1005">
        <v>395</v>
      </c>
    </row>
    <row r="4005" spans="54:55" x14ac:dyDescent="0.2">
      <c r="BB4005" s="9" t="s">
        <v>1259</v>
      </c>
      <c r="BC4005" s="1005">
        <v>396</v>
      </c>
    </row>
    <row r="4006" spans="54:55" x14ac:dyDescent="0.2">
      <c r="BB4006" s="9" t="s">
        <v>1259</v>
      </c>
      <c r="BC4006" s="1005">
        <v>397</v>
      </c>
    </row>
    <row r="4007" spans="54:55" x14ac:dyDescent="0.2">
      <c r="BB4007" s="9" t="s">
        <v>1259</v>
      </c>
      <c r="BC4007" s="1005">
        <v>398</v>
      </c>
    </row>
    <row r="4008" spans="54:55" x14ac:dyDescent="0.2">
      <c r="BB4008" s="9" t="s">
        <v>1259</v>
      </c>
      <c r="BC4008" s="1005">
        <v>399</v>
      </c>
    </row>
    <row r="4009" spans="54:55" x14ac:dyDescent="0.2">
      <c r="BB4009" s="9" t="s">
        <v>1259</v>
      </c>
      <c r="BC4009" s="1005">
        <v>400</v>
      </c>
    </row>
    <row r="4010" spans="54:55" x14ac:dyDescent="0.2">
      <c r="BB4010" s="9" t="s">
        <v>1262</v>
      </c>
      <c r="BC4010" s="1005">
        <v>250</v>
      </c>
    </row>
    <row r="4011" spans="54:55" x14ac:dyDescent="0.2">
      <c r="BB4011" s="9" t="s">
        <v>1262</v>
      </c>
      <c r="BC4011" s="1005">
        <v>251</v>
      </c>
    </row>
    <row r="4012" spans="54:55" x14ac:dyDescent="0.2">
      <c r="BB4012" s="9" t="s">
        <v>1262</v>
      </c>
      <c r="BC4012" s="1005">
        <v>252</v>
      </c>
    </row>
    <row r="4013" spans="54:55" x14ac:dyDescent="0.2">
      <c r="BB4013" s="9" t="s">
        <v>1262</v>
      </c>
      <c r="BC4013" s="1005">
        <v>253</v>
      </c>
    </row>
    <row r="4014" spans="54:55" x14ac:dyDescent="0.2">
      <c r="BB4014" s="9" t="s">
        <v>1262</v>
      </c>
      <c r="BC4014" s="1005">
        <v>254</v>
      </c>
    </row>
    <row r="4015" spans="54:55" x14ac:dyDescent="0.2">
      <c r="BB4015" s="9" t="s">
        <v>1262</v>
      </c>
      <c r="BC4015" s="1005">
        <v>255</v>
      </c>
    </row>
    <row r="4016" spans="54:55" x14ac:dyDescent="0.2">
      <c r="BB4016" s="9" t="s">
        <v>1262</v>
      </c>
      <c r="BC4016" s="1005">
        <v>256</v>
      </c>
    </row>
    <row r="4017" spans="54:55" x14ac:dyDescent="0.2">
      <c r="BB4017" s="9" t="s">
        <v>1262</v>
      </c>
      <c r="BC4017" s="1005">
        <v>257</v>
      </c>
    </row>
    <row r="4018" spans="54:55" x14ac:dyDescent="0.2">
      <c r="BB4018" s="9" t="s">
        <v>1262</v>
      </c>
      <c r="BC4018" s="1005">
        <v>258</v>
      </c>
    </row>
    <row r="4019" spans="54:55" x14ac:dyDescent="0.2">
      <c r="BB4019" s="9" t="s">
        <v>1262</v>
      </c>
      <c r="BC4019" s="1005">
        <v>259</v>
      </c>
    </row>
    <row r="4020" spans="54:55" x14ac:dyDescent="0.2">
      <c r="BB4020" s="9" t="s">
        <v>1262</v>
      </c>
      <c r="BC4020" s="1005">
        <v>260</v>
      </c>
    </row>
    <row r="4021" spans="54:55" x14ac:dyDescent="0.2">
      <c r="BB4021" s="9" t="s">
        <v>1262</v>
      </c>
      <c r="BC4021" s="1005">
        <v>261</v>
      </c>
    </row>
    <row r="4022" spans="54:55" x14ac:dyDescent="0.2">
      <c r="BB4022" s="9" t="s">
        <v>1262</v>
      </c>
      <c r="BC4022" s="1005">
        <v>262</v>
      </c>
    </row>
    <row r="4023" spans="54:55" x14ac:dyDescent="0.2">
      <c r="BB4023" s="9" t="s">
        <v>1262</v>
      </c>
      <c r="BC4023" s="1005">
        <v>263</v>
      </c>
    </row>
    <row r="4024" spans="54:55" x14ac:dyDescent="0.2">
      <c r="BB4024" s="9" t="s">
        <v>1262</v>
      </c>
      <c r="BC4024" s="1005">
        <v>264</v>
      </c>
    </row>
    <row r="4025" spans="54:55" x14ac:dyDescent="0.2">
      <c r="BB4025" s="9" t="s">
        <v>1262</v>
      </c>
      <c r="BC4025" s="1005">
        <v>265</v>
      </c>
    </row>
    <row r="4026" spans="54:55" x14ac:dyDescent="0.2">
      <c r="BB4026" s="9" t="s">
        <v>1262</v>
      </c>
      <c r="BC4026" s="1005">
        <v>266</v>
      </c>
    </row>
    <row r="4027" spans="54:55" x14ac:dyDescent="0.2">
      <c r="BB4027" s="9" t="s">
        <v>1262</v>
      </c>
      <c r="BC4027" s="1005">
        <v>267</v>
      </c>
    </row>
    <row r="4028" spans="54:55" x14ac:dyDescent="0.2">
      <c r="BB4028" s="9" t="s">
        <v>1262</v>
      </c>
      <c r="BC4028" s="1005">
        <v>268</v>
      </c>
    </row>
    <row r="4029" spans="54:55" x14ac:dyDescent="0.2">
      <c r="BB4029" s="9" t="s">
        <v>1262</v>
      </c>
      <c r="BC4029" s="1005">
        <v>269</v>
      </c>
    </row>
    <row r="4030" spans="54:55" x14ac:dyDescent="0.2">
      <c r="BB4030" s="9" t="s">
        <v>1262</v>
      </c>
      <c r="BC4030" s="1005">
        <v>270</v>
      </c>
    </row>
    <row r="4031" spans="54:55" x14ac:dyDescent="0.2">
      <c r="BB4031" s="9" t="s">
        <v>1262</v>
      </c>
      <c r="BC4031" s="1005">
        <v>271</v>
      </c>
    </row>
    <row r="4032" spans="54:55" x14ac:dyDescent="0.2">
      <c r="BB4032" s="9" t="s">
        <v>1262</v>
      </c>
      <c r="BC4032" s="1005">
        <v>272</v>
      </c>
    </row>
    <row r="4033" spans="54:55" x14ac:dyDescent="0.2">
      <c r="BB4033" s="9" t="s">
        <v>1262</v>
      </c>
      <c r="BC4033" s="1005">
        <v>273</v>
      </c>
    </row>
    <row r="4034" spans="54:55" x14ac:dyDescent="0.2">
      <c r="BB4034" s="9" t="s">
        <v>1262</v>
      </c>
      <c r="BC4034" s="1005">
        <v>274</v>
      </c>
    </row>
    <row r="4035" spans="54:55" x14ac:dyDescent="0.2">
      <c r="BB4035" s="9" t="s">
        <v>1262</v>
      </c>
      <c r="BC4035" s="1005">
        <v>275</v>
      </c>
    </row>
    <row r="4036" spans="54:55" x14ac:dyDescent="0.2">
      <c r="BB4036" s="9" t="s">
        <v>1262</v>
      </c>
      <c r="BC4036" s="1005">
        <v>276</v>
      </c>
    </row>
    <row r="4037" spans="54:55" x14ac:dyDescent="0.2">
      <c r="BB4037" s="9" t="s">
        <v>1262</v>
      </c>
      <c r="BC4037" s="1005">
        <v>277</v>
      </c>
    </row>
    <row r="4038" spans="54:55" x14ac:dyDescent="0.2">
      <c r="BB4038" s="9" t="s">
        <v>1262</v>
      </c>
      <c r="BC4038" s="1005">
        <v>278</v>
      </c>
    </row>
    <row r="4039" spans="54:55" x14ac:dyDescent="0.2">
      <c r="BB4039" s="9" t="s">
        <v>1262</v>
      </c>
      <c r="BC4039" s="1005">
        <v>279</v>
      </c>
    </row>
    <row r="4040" spans="54:55" x14ac:dyDescent="0.2">
      <c r="BB4040" s="9" t="s">
        <v>1262</v>
      </c>
      <c r="BC4040" s="1005">
        <v>280</v>
      </c>
    </row>
    <row r="4041" spans="54:55" x14ac:dyDescent="0.2">
      <c r="BB4041" s="9" t="s">
        <v>1262</v>
      </c>
      <c r="BC4041" s="1005">
        <v>281</v>
      </c>
    </row>
    <row r="4042" spans="54:55" x14ac:dyDescent="0.2">
      <c r="BB4042" s="9" t="s">
        <v>1262</v>
      </c>
      <c r="BC4042" s="1005">
        <v>282</v>
      </c>
    </row>
    <row r="4043" spans="54:55" x14ac:dyDescent="0.2">
      <c r="BB4043" s="9" t="s">
        <v>1262</v>
      </c>
      <c r="BC4043" s="1005">
        <v>283</v>
      </c>
    </row>
    <row r="4044" spans="54:55" x14ac:dyDescent="0.2">
      <c r="BB4044" s="9" t="s">
        <v>1262</v>
      </c>
      <c r="BC4044" s="1005">
        <v>284</v>
      </c>
    </row>
    <row r="4045" spans="54:55" x14ac:dyDescent="0.2">
      <c r="BB4045" s="9" t="s">
        <v>1262</v>
      </c>
      <c r="BC4045" s="1005">
        <v>285</v>
      </c>
    </row>
    <row r="4046" spans="54:55" x14ac:dyDescent="0.2">
      <c r="BB4046" s="9" t="s">
        <v>1262</v>
      </c>
      <c r="BC4046" s="1005">
        <v>286</v>
      </c>
    </row>
    <row r="4047" spans="54:55" x14ac:dyDescent="0.2">
      <c r="BB4047" s="9" t="s">
        <v>1262</v>
      </c>
      <c r="BC4047" s="1005">
        <v>287</v>
      </c>
    </row>
    <row r="4048" spans="54:55" x14ac:dyDescent="0.2">
      <c r="BB4048" s="9" t="s">
        <v>1262</v>
      </c>
      <c r="BC4048" s="1005">
        <v>288</v>
      </c>
    </row>
    <row r="4049" spans="54:55" x14ac:dyDescent="0.2">
      <c r="BB4049" s="9" t="s">
        <v>1262</v>
      </c>
      <c r="BC4049" s="1005">
        <v>289</v>
      </c>
    </row>
    <row r="4050" spans="54:55" x14ac:dyDescent="0.2">
      <c r="BB4050" s="9" t="s">
        <v>1262</v>
      </c>
      <c r="BC4050" s="1005">
        <v>290</v>
      </c>
    </row>
    <row r="4051" spans="54:55" x14ac:dyDescent="0.2">
      <c r="BB4051" s="9" t="s">
        <v>1262</v>
      </c>
      <c r="BC4051" s="1005">
        <v>291</v>
      </c>
    </row>
    <row r="4052" spans="54:55" x14ac:dyDescent="0.2">
      <c r="BB4052" s="9" t="s">
        <v>1262</v>
      </c>
      <c r="BC4052" s="1005">
        <v>292</v>
      </c>
    </row>
    <row r="4053" spans="54:55" x14ac:dyDescent="0.2">
      <c r="BB4053" s="9" t="s">
        <v>1262</v>
      </c>
      <c r="BC4053" s="1005">
        <v>293</v>
      </c>
    </row>
    <row r="4054" spans="54:55" x14ac:dyDescent="0.2">
      <c r="BB4054" s="9" t="s">
        <v>1262</v>
      </c>
      <c r="BC4054" s="1005">
        <v>294</v>
      </c>
    </row>
    <row r="4055" spans="54:55" x14ac:dyDescent="0.2">
      <c r="BB4055" s="9" t="s">
        <v>1262</v>
      </c>
      <c r="BC4055" s="1005">
        <v>295</v>
      </c>
    </row>
    <row r="4056" spans="54:55" x14ac:dyDescent="0.2">
      <c r="BB4056" s="9" t="s">
        <v>1262</v>
      </c>
      <c r="BC4056" s="1005">
        <v>296</v>
      </c>
    </row>
    <row r="4057" spans="54:55" x14ac:dyDescent="0.2">
      <c r="BB4057" s="9" t="s">
        <v>1262</v>
      </c>
      <c r="BC4057" s="1005">
        <v>297</v>
      </c>
    </row>
    <row r="4058" spans="54:55" x14ac:dyDescent="0.2">
      <c r="BB4058" s="9" t="s">
        <v>1262</v>
      </c>
      <c r="BC4058" s="1005">
        <v>298</v>
      </c>
    </row>
    <row r="4059" spans="54:55" x14ac:dyDescent="0.2">
      <c r="BB4059" s="9" t="s">
        <v>1262</v>
      </c>
      <c r="BC4059" s="1005">
        <v>299</v>
      </c>
    </row>
    <row r="4060" spans="54:55" x14ac:dyDescent="0.2">
      <c r="BB4060" s="9" t="s">
        <v>1262</v>
      </c>
      <c r="BC4060" s="1005">
        <v>300</v>
      </c>
    </row>
    <row r="4061" spans="54:55" x14ac:dyDescent="0.2">
      <c r="BB4061" s="9" t="s">
        <v>1262</v>
      </c>
      <c r="BC4061" s="1005">
        <v>301</v>
      </c>
    </row>
    <row r="4062" spans="54:55" x14ac:dyDescent="0.2">
      <c r="BB4062" s="9" t="s">
        <v>1262</v>
      </c>
      <c r="BC4062" s="1005">
        <v>302</v>
      </c>
    </row>
    <row r="4063" spans="54:55" x14ac:dyDescent="0.2">
      <c r="BB4063" s="9" t="s">
        <v>1262</v>
      </c>
      <c r="BC4063" s="1005">
        <v>303</v>
      </c>
    </row>
    <row r="4064" spans="54:55" x14ac:dyDescent="0.2">
      <c r="BB4064" s="9" t="s">
        <v>1262</v>
      </c>
      <c r="BC4064" s="1005">
        <v>304</v>
      </c>
    </row>
    <row r="4065" spans="54:55" x14ac:dyDescent="0.2">
      <c r="BB4065" s="9" t="s">
        <v>1262</v>
      </c>
      <c r="BC4065" s="1005">
        <v>305</v>
      </c>
    </row>
    <row r="4066" spans="54:55" x14ac:dyDescent="0.2">
      <c r="BB4066" s="9" t="s">
        <v>1262</v>
      </c>
      <c r="BC4066" s="1005">
        <v>306</v>
      </c>
    </row>
    <row r="4067" spans="54:55" x14ac:dyDescent="0.2">
      <c r="BB4067" s="9" t="s">
        <v>1262</v>
      </c>
      <c r="BC4067" s="1005">
        <v>307</v>
      </c>
    </row>
    <row r="4068" spans="54:55" x14ac:dyDescent="0.2">
      <c r="BB4068" s="9" t="s">
        <v>1262</v>
      </c>
      <c r="BC4068" s="1005">
        <v>308</v>
      </c>
    </row>
    <row r="4069" spans="54:55" x14ac:dyDescent="0.2">
      <c r="BB4069" s="9" t="s">
        <v>1262</v>
      </c>
      <c r="BC4069" s="1005">
        <v>309</v>
      </c>
    </row>
    <row r="4070" spans="54:55" x14ac:dyDescent="0.2">
      <c r="BB4070" s="9" t="s">
        <v>1262</v>
      </c>
      <c r="BC4070" s="1005">
        <v>310</v>
      </c>
    </row>
    <row r="4071" spans="54:55" x14ac:dyDescent="0.2">
      <c r="BB4071" s="9" t="s">
        <v>1262</v>
      </c>
      <c r="BC4071" s="1005">
        <v>311</v>
      </c>
    </row>
    <row r="4072" spans="54:55" x14ac:dyDescent="0.2">
      <c r="BB4072" s="9" t="s">
        <v>1262</v>
      </c>
      <c r="BC4072" s="1005">
        <v>312</v>
      </c>
    </row>
    <row r="4073" spans="54:55" x14ac:dyDescent="0.2">
      <c r="BB4073" s="9" t="s">
        <v>1262</v>
      </c>
      <c r="BC4073" s="1005">
        <v>313</v>
      </c>
    </row>
    <row r="4074" spans="54:55" x14ac:dyDescent="0.2">
      <c r="BB4074" s="9" t="s">
        <v>1262</v>
      </c>
      <c r="BC4074" s="1005">
        <v>314</v>
      </c>
    </row>
    <row r="4075" spans="54:55" x14ac:dyDescent="0.2">
      <c r="BB4075" s="9" t="s">
        <v>1262</v>
      </c>
      <c r="BC4075" s="1005">
        <v>315</v>
      </c>
    </row>
    <row r="4076" spans="54:55" x14ac:dyDescent="0.2">
      <c r="BB4076" s="9" t="s">
        <v>1262</v>
      </c>
      <c r="BC4076" s="1005">
        <v>316</v>
      </c>
    </row>
    <row r="4077" spans="54:55" x14ac:dyDescent="0.2">
      <c r="BB4077" s="9" t="s">
        <v>1262</v>
      </c>
      <c r="BC4077" s="1005">
        <v>317</v>
      </c>
    </row>
    <row r="4078" spans="54:55" x14ac:dyDescent="0.2">
      <c r="BB4078" s="9" t="s">
        <v>1262</v>
      </c>
      <c r="BC4078" s="1005">
        <v>318</v>
      </c>
    </row>
    <row r="4079" spans="54:55" x14ac:dyDescent="0.2">
      <c r="BB4079" s="9" t="s">
        <v>1262</v>
      </c>
      <c r="BC4079" s="1005">
        <v>319</v>
      </c>
    </row>
    <row r="4080" spans="54:55" x14ac:dyDescent="0.2">
      <c r="BB4080" s="9" t="s">
        <v>1262</v>
      </c>
      <c r="BC4080" s="1005">
        <v>320</v>
      </c>
    </row>
    <row r="4081" spans="54:55" x14ac:dyDescent="0.2">
      <c r="BB4081" s="9" t="s">
        <v>1262</v>
      </c>
      <c r="BC4081" s="1005">
        <v>321</v>
      </c>
    </row>
    <row r="4082" spans="54:55" x14ac:dyDescent="0.2">
      <c r="BB4082" s="9" t="s">
        <v>1262</v>
      </c>
      <c r="BC4082" s="1005">
        <v>322</v>
      </c>
    </row>
    <row r="4083" spans="54:55" x14ac:dyDescent="0.2">
      <c r="BB4083" s="9" t="s">
        <v>1262</v>
      </c>
      <c r="BC4083" s="1005">
        <v>323</v>
      </c>
    </row>
    <row r="4084" spans="54:55" x14ac:dyDescent="0.2">
      <c r="BB4084" s="9" t="s">
        <v>1262</v>
      </c>
      <c r="BC4084" s="1005">
        <v>324</v>
      </c>
    </row>
    <row r="4085" spans="54:55" x14ac:dyDescent="0.2">
      <c r="BB4085" s="9" t="s">
        <v>1262</v>
      </c>
      <c r="BC4085" s="1005">
        <v>325</v>
      </c>
    </row>
    <row r="4086" spans="54:55" x14ac:dyDescent="0.2">
      <c r="BB4086" s="9" t="s">
        <v>1262</v>
      </c>
      <c r="BC4086" s="1005">
        <v>326</v>
      </c>
    </row>
    <row r="4087" spans="54:55" x14ac:dyDescent="0.2">
      <c r="BB4087" s="9" t="s">
        <v>1262</v>
      </c>
      <c r="BC4087" s="1005">
        <v>327</v>
      </c>
    </row>
    <row r="4088" spans="54:55" x14ac:dyDescent="0.2">
      <c r="BB4088" s="9" t="s">
        <v>1262</v>
      </c>
      <c r="BC4088" s="1005">
        <v>328</v>
      </c>
    </row>
    <row r="4089" spans="54:55" x14ac:dyDescent="0.2">
      <c r="BB4089" s="9" t="s">
        <v>1262</v>
      </c>
      <c r="BC4089" s="1005">
        <v>329</v>
      </c>
    </row>
    <row r="4090" spans="54:55" x14ac:dyDescent="0.2">
      <c r="BB4090" s="9" t="s">
        <v>1262</v>
      </c>
      <c r="BC4090" s="1005">
        <v>330</v>
      </c>
    </row>
    <row r="4091" spans="54:55" x14ac:dyDescent="0.2">
      <c r="BB4091" s="9" t="s">
        <v>1262</v>
      </c>
      <c r="BC4091" s="1005">
        <v>331</v>
      </c>
    </row>
    <row r="4092" spans="54:55" x14ac:dyDescent="0.2">
      <c r="BB4092" s="9" t="s">
        <v>1262</v>
      </c>
      <c r="BC4092" s="1005">
        <v>332</v>
      </c>
    </row>
    <row r="4093" spans="54:55" x14ac:dyDescent="0.2">
      <c r="BB4093" s="9" t="s">
        <v>1262</v>
      </c>
      <c r="BC4093" s="1005">
        <v>333</v>
      </c>
    </row>
    <row r="4094" spans="54:55" x14ac:dyDescent="0.2">
      <c r="BB4094" s="9" t="s">
        <v>1262</v>
      </c>
      <c r="BC4094" s="1005">
        <v>334</v>
      </c>
    </row>
    <row r="4095" spans="54:55" x14ac:dyDescent="0.2">
      <c r="BB4095" s="9" t="s">
        <v>1262</v>
      </c>
      <c r="BC4095" s="1005">
        <v>335</v>
      </c>
    </row>
    <row r="4096" spans="54:55" x14ac:dyDescent="0.2">
      <c r="BB4096" s="9" t="s">
        <v>1262</v>
      </c>
      <c r="BC4096" s="1005">
        <v>336</v>
      </c>
    </row>
    <row r="4097" spans="54:55" x14ac:dyDescent="0.2">
      <c r="BB4097" s="9" t="s">
        <v>1262</v>
      </c>
      <c r="BC4097" s="1005">
        <v>337</v>
      </c>
    </row>
    <row r="4098" spans="54:55" x14ac:dyDescent="0.2">
      <c r="BB4098" s="9" t="s">
        <v>1262</v>
      </c>
      <c r="BC4098" s="1005">
        <v>338</v>
      </c>
    </row>
    <row r="4099" spans="54:55" x14ac:dyDescent="0.2">
      <c r="BB4099" s="9" t="s">
        <v>1262</v>
      </c>
      <c r="BC4099" s="1005">
        <v>339</v>
      </c>
    </row>
    <row r="4100" spans="54:55" x14ac:dyDescent="0.2">
      <c r="BB4100" s="9" t="s">
        <v>1262</v>
      </c>
      <c r="BC4100" s="1005">
        <v>340</v>
      </c>
    </row>
    <row r="4101" spans="54:55" x14ac:dyDescent="0.2">
      <c r="BB4101" s="9" t="s">
        <v>1262</v>
      </c>
      <c r="BC4101" s="1005">
        <v>341</v>
      </c>
    </row>
    <row r="4102" spans="54:55" x14ac:dyDescent="0.2">
      <c r="BB4102" s="9" t="s">
        <v>1262</v>
      </c>
      <c r="BC4102" s="1005">
        <v>342</v>
      </c>
    </row>
    <row r="4103" spans="54:55" x14ac:dyDescent="0.2">
      <c r="BB4103" s="9" t="s">
        <v>1262</v>
      </c>
      <c r="BC4103" s="1005">
        <v>343</v>
      </c>
    </row>
    <row r="4104" spans="54:55" x14ac:dyDescent="0.2">
      <c r="BB4104" s="9" t="s">
        <v>1262</v>
      </c>
      <c r="BC4104" s="1005">
        <v>344</v>
      </c>
    </row>
    <row r="4105" spans="54:55" x14ac:dyDescent="0.2">
      <c r="BB4105" s="9" t="s">
        <v>1262</v>
      </c>
      <c r="BC4105" s="1005">
        <v>345</v>
      </c>
    </row>
    <row r="4106" spans="54:55" x14ac:dyDescent="0.2">
      <c r="BB4106" s="9" t="s">
        <v>1262</v>
      </c>
      <c r="BC4106" s="1005">
        <v>346</v>
      </c>
    </row>
    <row r="4107" spans="54:55" x14ac:dyDescent="0.2">
      <c r="BB4107" s="9" t="s">
        <v>1262</v>
      </c>
      <c r="BC4107" s="1005">
        <v>347</v>
      </c>
    </row>
    <row r="4108" spans="54:55" x14ac:dyDescent="0.2">
      <c r="BB4108" s="9" t="s">
        <v>1262</v>
      </c>
      <c r="BC4108" s="1005">
        <v>348</v>
      </c>
    </row>
    <row r="4109" spans="54:55" x14ac:dyDescent="0.2">
      <c r="BB4109" s="9" t="s">
        <v>1262</v>
      </c>
      <c r="BC4109" s="1005">
        <v>349</v>
      </c>
    </row>
    <row r="4110" spans="54:55" x14ac:dyDescent="0.2">
      <c r="BB4110" s="9" t="s">
        <v>1262</v>
      </c>
      <c r="BC4110" s="1005">
        <v>350</v>
      </c>
    </row>
    <row r="4111" spans="54:55" x14ac:dyDescent="0.2">
      <c r="BB4111" s="9" t="s">
        <v>1262</v>
      </c>
      <c r="BC4111" s="1005">
        <v>351</v>
      </c>
    </row>
    <row r="4112" spans="54:55" x14ac:dyDescent="0.2">
      <c r="BB4112" s="9" t="s">
        <v>1262</v>
      </c>
      <c r="BC4112" s="1005">
        <v>352</v>
      </c>
    </row>
    <row r="4113" spans="54:55" x14ac:dyDescent="0.2">
      <c r="BB4113" s="9" t="s">
        <v>1262</v>
      </c>
      <c r="BC4113" s="1005">
        <v>353</v>
      </c>
    </row>
    <row r="4114" spans="54:55" x14ac:dyDescent="0.2">
      <c r="BB4114" s="9" t="s">
        <v>1262</v>
      </c>
      <c r="BC4114" s="1005">
        <v>354</v>
      </c>
    </row>
    <row r="4115" spans="54:55" x14ac:dyDescent="0.2">
      <c r="BB4115" s="9" t="s">
        <v>1262</v>
      </c>
      <c r="BC4115" s="1005">
        <v>355</v>
      </c>
    </row>
    <row r="4116" spans="54:55" x14ac:dyDescent="0.2">
      <c r="BB4116" s="9" t="s">
        <v>1262</v>
      </c>
      <c r="BC4116" s="1005">
        <v>356</v>
      </c>
    </row>
    <row r="4117" spans="54:55" x14ac:dyDescent="0.2">
      <c r="BB4117" s="9" t="s">
        <v>1262</v>
      </c>
      <c r="BC4117" s="1005">
        <v>357</v>
      </c>
    </row>
    <row r="4118" spans="54:55" x14ac:dyDescent="0.2">
      <c r="BB4118" s="9" t="s">
        <v>1262</v>
      </c>
      <c r="BC4118" s="1005">
        <v>358</v>
      </c>
    </row>
    <row r="4119" spans="54:55" x14ac:dyDescent="0.2">
      <c r="BB4119" s="9" t="s">
        <v>1262</v>
      </c>
      <c r="BC4119" s="1005">
        <v>359</v>
      </c>
    </row>
    <row r="4120" spans="54:55" x14ac:dyDescent="0.2">
      <c r="BB4120" s="9" t="s">
        <v>1262</v>
      </c>
      <c r="BC4120" s="1005">
        <v>360</v>
      </c>
    </row>
    <row r="4121" spans="54:55" x14ac:dyDescent="0.2">
      <c r="BB4121" s="9" t="s">
        <v>1262</v>
      </c>
      <c r="BC4121" s="1005">
        <v>361</v>
      </c>
    </row>
    <row r="4122" spans="54:55" x14ac:dyDescent="0.2">
      <c r="BB4122" s="9" t="s">
        <v>1262</v>
      </c>
      <c r="BC4122" s="1005">
        <v>362</v>
      </c>
    </row>
    <row r="4123" spans="54:55" x14ac:dyDescent="0.2">
      <c r="BB4123" s="9" t="s">
        <v>1262</v>
      </c>
      <c r="BC4123" s="1005">
        <v>363</v>
      </c>
    </row>
    <row r="4124" spans="54:55" x14ac:dyDescent="0.2">
      <c r="BB4124" s="9" t="s">
        <v>1262</v>
      </c>
      <c r="BC4124" s="1005">
        <v>364</v>
      </c>
    </row>
    <row r="4125" spans="54:55" x14ac:dyDescent="0.2">
      <c r="BB4125" s="9" t="s">
        <v>1262</v>
      </c>
      <c r="BC4125" s="1005">
        <v>365</v>
      </c>
    </row>
    <row r="4126" spans="54:55" x14ac:dyDescent="0.2">
      <c r="BB4126" s="9" t="s">
        <v>1262</v>
      </c>
      <c r="BC4126" s="1005">
        <v>366</v>
      </c>
    </row>
    <row r="4127" spans="54:55" x14ac:dyDescent="0.2">
      <c r="BB4127" s="9" t="s">
        <v>1262</v>
      </c>
      <c r="BC4127" s="1005">
        <v>367</v>
      </c>
    </row>
    <row r="4128" spans="54:55" x14ac:dyDescent="0.2">
      <c r="BB4128" s="9" t="s">
        <v>1262</v>
      </c>
      <c r="BC4128" s="1005">
        <v>368</v>
      </c>
    </row>
    <row r="4129" spans="54:55" x14ac:dyDescent="0.2">
      <c r="BB4129" s="9" t="s">
        <v>1262</v>
      </c>
      <c r="BC4129" s="1005">
        <v>369</v>
      </c>
    </row>
    <row r="4130" spans="54:55" x14ac:dyDescent="0.2">
      <c r="BB4130" s="9" t="s">
        <v>1262</v>
      </c>
      <c r="BC4130" s="1005">
        <v>370</v>
      </c>
    </row>
    <row r="4131" spans="54:55" x14ac:dyDescent="0.2">
      <c r="BB4131" s="9" t="s">
        <v>1262</v>
      </c>
      <c r="BC4131" s="1005">
        <v>371</v>
      </c>
    </row>
    <row r="4132" spans="54:55" x14ac:dyDescent="0.2">
      <c r="BB4132" s="9" t="s">
        <v>1262</v>
      </c>
      <c r="BC4132" s="1005">
        <v>372</v>
      </c>
    </row>
    <row r="4133" spans="54:55" x14ac:dyDescent="0.2">
      <c r="BB4133" s="9" t="s">
        <v>1262</v>
      </c>
      <c r="BC4133" s="1005">
        <v>373</v>
      </c>
    </row>
    <row r="4134" spans="54:55" x14ac:dyDescent="0.2">
      <c r="BB4134" s="9" t="s">
        <v>1262</v>
      </c>
      <c r="BC4134" s="1005">
        <v>374</v>
      </c>
    </row>
    <row r="4135" spans="54:55" x14ac:dyDescent="0.2">
      <c r="BB4135" s="9" t="s">
        <v>1262</v>
      </c>
      <c r="BC4135" s="1005">
        <v>375</v>
      </c>
    </row>
    <row r="4136" spans="54:55" x14ac:dyDescent="0.2">
      <c r="BB4136" s="9" t="s">
        <v>1262</v>
      </c>
      <c r="BC4136" s="1005">
        <v>376</v>
      </c>
    </row>
    <row r="4137" spans="54:55" x14ac:dyDescent="0.2">
      <c r="BB4137" s="9" t="s">
        <v>1262</v>
      </c>
      <c r="BC4137" s="1005">
        <v>377</v>
      </c>
    </row>
    <row r="4138" spans="54:55" x14ac:dyDescent="0.2">
      <c r="BB4138" s="9" t="s">
        <v>1262</v>
      </c>
      <c r="BC4138" s="1005">
        <v>378</v>
      </c>
    </row>
    <row r="4139" spans="54:55" x14ac:dyDescent="0.2">
      <c r="BB4139" s="9" t="s">
        <v>1262</v>
      </c>
      <c r="BC4139" s="1005">
        <v>379</v>
      </c>
    </row>
    <row r="4140" spans="54:55" x14ac:dyDescent="0.2">
      <c r="BB4140" s="9" t="s">
        <v>1262</v>
      </c>
      <c r="BC4140" s="1005">
        <v>380</v>
      </c>
    </row>
    <row r="4141" spans="54:55" x14ac:dyDescent="0.2">
      <c r="BB4141" s="9" t="s">
        <v>1262</v>
      </c>
      <c r="BC4141" s="1005">
        <v>381</v>
      </c>
    </row>
    <row r="4142" spans="54:55" x14ac:dyDescent="0.2">
      <c r="BB4142" s="9" t="s">
        <v>1262</v>
      </c>
      <c r="BC4142" s="1005">
        <v>382</v>
      </c>
    </row>
    <row r="4143" spans="54:55" x14ac:dyDescent="0.2">
      <c r="BB4143" s="9" t="s">
        <v>1262</v>
      </c>
      <c r="BC4143" s="1005">
        <v>383</v>
      </c>
    </row>
    <row r="4144" spans="54:55" x14ac:dyDescent="0.2">
      <c r="BB4144" s="9" t="s">
        <v>1262</v>
      </c>
      <c r="BC4144" s="1005">
        <v>384</v>
      </c>
    </row>
    <row r="4145" spans="54:55" x14ac:dyDescent="0.2">
      <c r="BB4145" s="9" t="s">
        <v>1262</v>
      </c>
      <c r="BC4145" s="1005">
        <v>385</v>
      </c>
    </row>
    <row r="4146" spans="54:55" x14ac:dyDescent="0.2">
      <c r="BB4146" s="9" t="s">
        <v>1262</v>
      </c>
      <c r="BC4146" s="1005">
        <v>386</v>
      </c>
    </row>
    <row r="4147" spans="54:55" x14ac:dyDescent="0.2">
      <c r="BB4147" s="9" t="s">
        <v>1262</v>
      </c>
      <c r="BC4147" s="1005">
        <v>387</v>
      </c>
    </row>
    <row r="4148" spans="54:55" x14ac:dyDescent="0.2">
      <c r="BB4148" s="9" t="s">
        <v>1262</v>
      </c>
      <c r="BC4148" s="1005">
        <v>388</v>
      </c>
    </row>
    <row r="4149" spans="54:55" x14ac:dyDescent="0.2">
      <c r="BB4149" s="9" t="s">
        <v>1262</v>
      </c>
      <c r="BC4149" s="1005">
        <v>389</v>
      </c>
    </row>
    <row r="4150" spans="54:55" x14ac:dyDescent="0.2">
      <c r="BB4150" s="9" t="s">
        <v>1262</v>
      </c>
      <c r="BC4150" s="1005">
        <v>390</v>
      </c>
    </row>
    <row r="4151" spans="54:55" x14ac:dyDescent="0.2">
      <c r="BB4151" s="9" t="s">
        <v>1262</v>
      </c>
      <c r="BC4151" s="1005">
        <v>391</v>
      </c>
    </row>
    <row r="4152" spans="54:55" x14ac:dyDescent="0.2">
      <c r="BB4152" s="9" t="s">
        <v>1262</v>
      </c>
      <c r="BC4152" s="1005">
        <v>392</v>
      </c>
    </row>
    <row r="4153" spans="54:55" x14ac:dyDescent="0.2">
      <c r="BB4153" s="9" t="s">
        <v>1262</v>
      </c>
      <c r="BC4153" s="1005">
        <v>393</v>
      </c>
    </row>
    <row r="4154" spans="54:55" x14ac:dyDescent="0.2">
      <c r="BB4154" s="9" t="s">
        <v>1262</v>
      </c>
      <c r="BC4154" s="1005">
        <v>394</v>
      </c>
    </row>
    <row r="4155" spans="54:55" x14ac:dyDescent="0.2">
      <c r="BB4155" s="9" t="s">
        <v>1262</v>
      </c>
      <c r="BC4155" s="1005">
        <v>395</v>
      </c>
    </row>
    <row r="4156" spans="54:55" x14ac:dyDescent="0.2">
      <c r="BB4156" s="9" t="s">
        <v>1262</v>
      </c>
      <c r="BC4156" s="1005">
        <v>396</v>
      </c>
    </row>
    <row r="4157" spans="54:55" x14ac:dyDescent="0.2">
      <c r="BB4157" s="9" t="s">
        <v>1262</v>
      </c>
      <c r="BC4157" s="1005">
        <v>397</v>
      </c>
    </row>
    <row r="4158" spans="54:55" x14ac:dyDescent="0.2">
      <c r="BB4158" s="9" t="s">
        <v>1262</v>
      </c>
      <c r="BC4158" s="1005">
        <v>398</v>
      </c>
    </row>
    <row r="4159" spans="54:55" x14ac:dyDescent="0.2">
      <c r="BB4159" s="9" t="s">
        <v>1262</v>
      </c>
      <c r="BC4159" s="1005">
        <v>399</v>
      </c>
    </row>
    <row r="4160" spans="54:55" x14ac:dyDescent="0.2">
      <c r="BB4160" s="9" t="s">
        <v>1262</v>
      </c>
      <c r="BC4160" s="1005">
        <v>400</v>
      </c>
    </row>
    <row r="4161" spans="54:55" x14ac:dyDescent="0.2">
      <c r="BB4161" s="9" t="s">
        <v>1262</v>
      </c>
      <c r="BC4161" s="1005">
        <v>401</v>
      </c>
    </row>
    <row r="4162" spans="54:55" x14ac:dyDescent="0.2">
      <c r="BB4162" s="9" t="s">
        <v>1262</v>
      </c>
      <c r="BC4162" s="1005">
        <v>402</v>
      </c>
    </row>
    <row r="4163" spans="54:55" x14ac:dyDescent="0.2">
      <c r="BB4163" s="9" t="s">
        <v>1262</v>
      </c>
      <c r="BC4163" s="1005">
        <v>403</v>
      </c>
    </row>
    <row r="4164" spans="54:55" x14ac:dyDescent="0.2">
      <c r="BB4164" s="9" t="s">
        <v>1262</v>
      </c>
      <c r="BC4164" s="1005">
        <v>404</v>
      </c>
    </row>
    <row r="4165" spans="54:55" x14ac:dyDescent="0.2">
      <c r="BB4165" s="9" t="s">
        <v>1262</v>
      </c>
      <c r="BC4165" s="1005">
        <v>405</v>
      </c>
    </row>
    <row r="4166" spans="54:55" x14ac:dyDescent="0.2">
      <c r="BB4166" s="9" t="s">
        <v>1262</v>
      </c>
      <c r="BC4166" s="1005">
        <v>406</v>
      </c>
    </row>
    <row r="4167" spans="54:55" x14ac:dyDescent="0.2">
      <c r="BB4167" s="9" t="s">
        <v>1262</v>
      </c>
      <c r="BC4167" s="1005">
        <v>407</v>
      </c>
    </row>
    <row r="4168" spans="54:55" x14ac:dyDescent="0.2">
      <c r="BB4168" s="9" t="s">
        <v>1262</v>
      </c>
      <c r="BC4168" s="1005">
        <v>408</v>
      </c>
    </row>
    <row r="4169" spans="54:55" x14ac:dyDescent="0.2">
      <c r="BB4169" s="9" t="s">
        <v>1262</v>
      </c>
      <c r="BC4169" s="1005">
        <v>409</v>
      </c>
    </row>
    <row r="4170" spans="54:55" x14ac:dyDescent="0.2">
      <c r="BB4170" s="9" t="s">
        <v>1262</v>
      </c>
      <c r="BC4170" s="1005">
        <v>410</v>
      </c>
    </row>
    <row r="4171" spans="54:55" x14ac:dyDescent="0.2">
      <c r="BB4171" s="9" t="s">
        <v>1262</v>
      </c>
      <c r="BC4171" s="1005">
        <v>411</v>
      </c>
    </row>
    <row r="4172" spans="54:55" x14ac:dyDescent="0.2">
      <c r="BB4172" s="9" t="s">
        <v>1262</v>
      </c>
      <c r="BC4172" s="1005">
        <v>412</v>
      </c>
    </row>
    <row r="4173" spans="54:55" x14ac:dyDescent="0.2">
      <c r="BB4173" s="9" t="s">
        <v>1262</v>
      </c>
      <c r="BC4173" s="1005">
        <v>413</v>
      </c>
    </row>
    <row r="4174" spans="54:55" x14ac:dyDescent="0.2">
      <c r="BB4174" s="9" t="s">
        <v>1262</v>
      </c>
      <c r="BC4174" s="1005">
        <v>414</v>
      </c>
    </row>
    <row r="4175" spans="54:55" x14ac:dyDescent="0.2">
      <c r="BB4175" s="9" t="s">
        <v>1262</v>
      </c>
      <c r="BC4175" s="1005">
        <v>415</v>
      </c>
    </row>
    <row r="4176" spans="54:55" x14ac:dyDescent="0.2">
      <c r="BB4176" s="9" t="s">
        <v>1262</v>
      </c>
      <c r="BC4176" s="1005">
        <v>416</v>
      </c>
    </row>
    <row r="4177" spans="54:55" x14ac:dyDescent="0.2">
      <c r="BB4177" s="9" t="s">
        <v>1262</v>
      </c>
      <c r="BC4177" s="1005">
        <v>417</v>
      </c>
    </row>
    <row r="4178" spans="54:55" x14ac:dyDescent="0.2">
      <c r="BB4178" s="9" t="s">
        <v>1262</v>
      </c>
      <c r="BC4178" s="1005">
        <v>418</v>
      </c>
    </row>
    <row r="4179" spans="54:55" x14ac:dyDescent="0.2">
      <c r="BB4179" s="9" t="s">
        <v>1262</v>
      </c>
      <c r="BC4179" s="1005">
        <v>419</v>
      </c>
    </row>
    <row r="4180" spans="54:55" x14ac:dyDescent="0.2">
      <c r="BB4180" s="9" t="s">
        <v>1262</v>
      </c>
      <c r="BC4180" s="1005">
        <v>420</v>
      </c>
    </row>
    <row r="4181" spans="54:55" x14ac:dyDescent="0.2">
      <c r="BB4181" s="9" t="s">
        <v>1262</v>
      </c>
      <c r="BC4181" s="1005">
        <v>421</v>
      </c>
    </row>
    <row r="4182" spans="54:55" x14ac:dyDescent="0.2">
      <c r="BB4182" s="9" t="s">
        <v>1262</v>
      </c>
      <c r="BC4182" s="1005">
        <v>422</v>
      </c>
    </row>
    <row r="4183" spans="54:55" x14ac:dyDescent="0.2">
      <c r="BB4183" s="9" t="s">
        <v>1262</v>
      </c>
      <c r="BC4183" s="1005">
        <v>423</v>
      </c>
    </row>
    <row r="4184" spans="54:55" x14ac:dyDescent="0.2">
      <c r="BB4184" s="9" t="s">
        <v>1262</v>
      </c>
      <c r="BC4184" s="1005">
        <v>424</v>
      </c>
    </row>
    <row r="4185" spans="54:55" x14ac:dyDescent="0.2">
      <c r="BB4185" s="9" t="s">
        <v>1262</v>
      </c>
      <c r="BC4185" s="1005">
        <v>425</v>
      </c>
    </row>
    <row r="4186" spans="54:55" x14ac:dyDescent="0.2">
      <c r="BB4186" s="9" t="s">
        <v>1262</v>
      </c>
      <c r="BC4186" s="1005">
        <v>426</v>
      </c>
    </row>
    <row r="4187" spans="54:55" x14ac:dyDescent="0.2">
      <c r="BB4187" s="9" t="s">
        <v>1262</v>
      </c>
      <c r="BC4187" s="1005">
        <v>427</v>
      </c>
    </row>
    <row r="4188" spans="54:55" x14ac:dyDescent="0.2">
      <c r="BB4188" s="9" t="s">
        <v>1262</v>
      </c>
      <c r="BC4188" s="1005">
        <v>428</v>
      </c>
    </row>
    <row r="4189" spans="54:55" x14ac:dyDescent="0.2">
      <c r="BB4189" s="9" t="s">
        <v>1262</v>
      </c>
      <c r="BC4189" s="1005">
        <v>429</v>
      </c>
    </row>
    <row r="4190" spans="54:55" x14ac:dyDescent="0.2">
      <c r="BB4190" s="9" t="s">
        <v>1262</v>
      </c>
      <c r="BC4190" s="1005">
        <v>430</v>
      </c>
    </row>
    <row r="4191" spans="54:55" x14ac:dyDescent="0.2">
      <c r="BB4191" s="9" t="s">
        <v>1262</v>
      </c>
      <c r="BC4191" s="1005">
        <v>431</v>
      </c>
    </row>
    <row r="4192" spans="54:55" x14ac:dyDescent="0.2">
      <c r="BB4192" s="9" t="s">
        <v>1262</v>
      </c>
      <c r="BC4192" s="1005">
        <v>432</v>
      </c>
    </row>
    <row r="4193" spans="54:55" x14ac:dyDescent="0.2">
      <c r="BB4193" s="9" t="s">
        <v>1262</v>
      </c>
      <c r="BC4193" s="1005">
        <v>433</v>
      </c>
    </row>
    <row r="4194" spans="54:55" x14ac:dyDescent="0.2">
      <c r="BB4194" s="9" t="s">
        <v>1262</v>
      </c>
      <c r="BC4194" s="1005">
        <v>434</v>
      </c>
    </row>
    <row r="4195" spans="54:55" x14ac:dyDescent="0.2">
      <c r="BB4195" s="9" t="s">
        <v>1262</v>
      </c>
      <c r="BC4195" s="1005">
        <v>435</v>
      </c>
    </row>
    <row r="4196" spans="54:55" x14ac:dyDescent="0.2">
      <c r="BB4196" s="9" t="s">
        <v>1262</v>
      </c>
      <c r="BC4196" s="1005">
        <v>436</v>
      </c>
    </row>
    <row r="4197" spans="54:55" x14ac:dyDescent="0.2">
      <c r="BB4197" s="9" t="s">
        <v>1262</v>
      </c>
      <c r="BC4197" s="1005">
        <v>437</v>
      </c>
    </row>
    <row r="4198" spans="54:55" x14ac:dyDescent="0.2">
      <c r="BB4198" s="9" t="s">
        <v>1262</v>
      </c>
      <c r="BC4198" s="1005">
        <v>438</v>
      </c>
    </row>
    <row r="4199" spans="54:55" x14ac:dyDescent="0.2">
      <c r="BB4199" s="9" t="s">
        <v>1262</v>
      </c>
      <c r="BC4199" s="1005">
        <v>439</v>
      </c>
    </row>
    <row r="4200" spans="54:55" x14ac:dyDescent="0.2">
      <c r="BB4200" s="9" t="s">
        <v>1262</v>
      </c>
      <c r="BC4200" s="1005">
        <v>440</v>
      </c>
    </row>
    <row r="4201" spans="54:55" x14ac:dyDescent="0.2">
      <c r="BB4201" s="9" t="s">
        <v>1262</v>
      </c>
      <c r="BC4201" s="1005">
        <v>441</v>
      </c>
    </row>
    <row r="4202" spans="54:55" x14ac:dyDescent="0.2">
      <c r="BB4202" s="9" t="s">
        <v>1262</v>
      </c>
      <c r="BC4202" s="1005">
        <v>442</v>
      </c>
    </row>
    <row r="4203" spans="54:55" x14ac:dyDescent="0.2">
      <c r="BB4203" s="9" t="s">
        <v>1262</v>
      </c>
      <c r="BC4203" s="1005">
        <v>443</v>
      </c>
    </row>
    <row r="4204" spans="54:55" x14ac:dyDescent="0.2">
      <c r="BB4204" s="9" t="s">
        <v>1262</v>
      </c>
      <c r="BC4204" s="1005">
        <v>444</v>
      </c>
    </row>
    <row r="4205" spans="54:55" x14ac:dyDescent="0.2">
      <c r="BB4205" s="9" t="s">
        <v>1262</v>
      </c>
      <c r="BC4205" s="1005">
        <v>445</v>
      </c>
    </row>
    <row r="4206" spans="54:55" x14ac:dyDescent="0.2">
      <c r="BB4206" s="9" t="s">
        <v>1262</v>
      </c>
      <c r="BC4206" s="1005">
        <v>446</v>
      </c>
    </row>
    <row r="4207" spans="54:55" x14ac:dyDescent="0.2">
      <c r="BB4207" s="9" t="s">
        <v>1262</v>
      </c>
      <c r="BC4207" s="1005">
        <v>447</v>
      </c>
    </row>
    <row r="4208" spans="54:55" x14ac:dyDescent="0.2">
      <c r="BB4208" s="9" t="s">
        <v>1262</v>
      </c>
      <c r="BC4208" s="1005">
        <v>448</v>
      </c>
    </row>
    <row r="4209" spans="54:55" x14ac:dyDescent="0.2">
      <c r="BB4209" s="9" t="s">
        <v>1262</v>
      </c>
      <c r="BC4209" s="1005">
        <v>449</v>
      </c>
    </row>
    <row r="4210" spans="54:55" x14ac:dyDescent="0.2">
      <c r="BB4210" s="9" t="s">
        <v>1262</v>
      </c>
      <c r="BC4210" s="1005">
        <v>450</v>
      </c>
    </row>
    <row r="4211" spans="54:55" x14ac:dyDescent="0.2">
      <c r="BB4211" s="9" t="s">
        <v>1262</v>
      </c>
      <c r="BC4211" s="1005">
        <v>451</v>
      </c>
    </row>
    <row r="4212" spans="54:55" x14ac:dyDescent="0.2">
      <c r="BB4212" s="9" t="s">
        <v>1262</v>
      </c>
      <c r="BC4212" s="1005">
        <v>452</v>
      </c>
    </row>
    <row r="4213" spans="54:55" x14ac:dyDescent="0.2">
      <c r="BB4213" s="9" t="s">
        <v>1262</v>
      </c>
      <c r="BC4213" s="1005">
        <v>453</v>
      </c>
    </row>
    <row r="4214" spans="54:55" x14ac:dyDescent="0.2">
      <c r="BB4214" s="9" t="s">
        <v>1262</v>
      </c>
      <c r="BC4214" s="1005">
        <v>454</v>
      </c>
    </row>
    <row r="4215" spans="54:55" x14ac:dyDescent="0.2">
      <c r="BB4215" s="9" t="s">
        <v>1262</v>
      </c>
      <c r="BC4215" s="1005">
        <v>455</v>
      </c>
    </row>
    <row r="4216" spans="54:55" x14ac:dyDescent="0.2">
      <c r="BB4216" s="9" t="s">
        <v>1262</v>
      </c>
      <c r="BC4216" s="1005">
        <v>456</v>
      </c>
    </row>
    <row r="4217" spans="54:55" x14ac:dyDescent="0.2">
      <c r="BB4217" s="9" t="s">
        <v>1262</v>
      </c>
      <c r="BC4217" s="1005">
        <v>457</v>
      </c>
    </row>
    <row r="4218" spans="54:55" x14ac:dyDescent="0.2">
      <c r="BB4218" s="9" t="s">
        <v>1262</v>
      </c>
      <c r="BC4218" s="1005">
        <v>458</v>
      </c>
    </row>
    <row r="4219" spans="54:55" x14ac:dyDescent="0.2">
      <c r="BB4219" s="9" t="s">
        <v>1262</v>
      </c>
      <c r="BC4219" s="1005">
        <v>459</v>
      </c>
    </row>
    <row r="4220" spans="54:55" x14ac:dyDescent="0.2">
      <c r="BB4220" s="9" t="s">
        <v>1262</v>
      </c>
      <c r="BC4220" s="1005">
        <v>460</v>
      </c>
    </row>
    <row r="4221" spans="54:55" x14ac:dyDescent="0.2">
      <c r="BB4221" s="9" t="s">
        <v>1262</v>
      </c>
      <c r="BC4221" s="1005">
        <v>461</v>
      </c>
    </row>
    <row r="4222" spans="54:55" x14ac:dyDescent="0.2">
      <c r="BB4222" s="9" t="s">
        <v>1262</v>
      </c>
      <c r="BC4222" s="1005">
        <v>462</v>
      </c>
    </row>
    <row r="4223" spans="54:55" x14ac:dyDescent="0.2">
      <c r="BB4223" s="9" t="s">
        <v>1262</v>
      </c>
      <c r="BC4223" s="1005">
        <v>463</v>
      </c>
    </row>
    <row r="4224" spans="54:55" x14ac:dyDescent="0.2">
      <c r="BB4224" s="9" t="s">
        <v>1262</v>
      </c>
      <c r="BC4224" s="1005">
        <v>464</v>
      </c>
    </row>
    <row r="4225" spans="54:55" x14ac:dyDescent="0.2">
      <c r="BB4225" s="9" t="s">
        <v>1262</v>
      </c>
      <c r="BC4225" s="1005">
        <v>465</v>
      </c>
    </row>
    <row r="4226" spans="54:55" x14ac:dyDescent="0.2">
      <c r="BB4226" s="9" t="s">
        <v>1262</v>
      </c>
      <c r="BC4226" s="1005">
        <v>466</v>
      </c>
    </row>
    <row r="4227" spans="54:55" x14ac:dyDescent="0.2">
      <c r="BB4227" s="9" t="s">
        <v>1262</v>
      </c>
      <c r="BC4227" s="1005">
        <v>467</v>
      </c>
    </row>
    <row r="4228" spans="54:55" x14ac:dyDescent="0.2">
      <c r="BB4228" s="9" t="s">
        <v>1262</v>
      </c>
      <c r="BC4228" s="1005">
        <v>468</v>
      </c>
    </row>
    <row r="4229" spans="54:55" x14ac:dyDescent="0.2">
      <c r="BB4229" s="9" t="s">
        <v>1262</v>
      </c>
      <c r="BC4229" s="1005">
        <v>469</v>
      </c>
    </row>
    <row r="4230" spans="54:55" x14ac:dyDescent="0.2">
      <c r="BB4230" s="9" t="s">
        <v>1262</v>
      </c>
      <c r="BC4230" s="1005">
        <v>470</v>
      </c>
    </row>
    <row r="4231" spans="54:55" x14ac:dyDescent="0.2">
      <c r="BB4231" s="9" t="s">
        <v>1262</v>
      </c>
      <c r="BC4231" s="1005">
        <v>471</v>
      </c>
    </row>
    <row r="4232" spans="54:55" x14ac:dyDescent="0.2">
      <c r="BB4232" s="9" t="s">
        <v>1262</v>
      </c>
      <c r="BC4232" s="1005">
        <v>472</v>
      </c>
    </row>
    <row r="4233" spans="54:55" x14ac:dyDescent="0.2">
      <c r="BB4233" s="9" t="s">
        <v>1262</v>
      </c>
      <c r="BC4233" s="1005">
        <v>473</v>
      </c>
    </row>
    <row r="4234" spans="54:55" x14ac:dyDescent="0.2">
      <c r="BB4234" s="9" t="s">
        <v>1262</v>
      </c>
      <c r="BC4234" s="1005">
        <v>474</v>
      </c>
    </row>
    <row r="4235" spans="54:55" x14ac:dyDescent="0.2">
      <c r="BB4235" s="9" t="s">
        <v>1262</v>
      </c>
      <c r="BC4235" s="1005">
        <v>475</v>
      </c>
    </row>
    <row r="4236" spans="54:55" x14ac:dyDescent="0.2">
      <c r="BB4236" s="9" t="s">
        <v>1262</v>
      </c>
      <c r="BC4236" s="1005">
        <v>476</v>
      </c>
    </row>
    <row r="4237" spans="54:55" x14ac:dyDescent="0.2">
      <c r="BB4237" s="9" t="s">
        <v>1262</v>
      </c>
      <c r="BC4237" s="1005">
        <v>477</v>
      </c>
    </row>
    <row r="4238" spans="54:55" x14ac:dyDescent="0.2">
      <c r="BB4238" s="9" t="s">
        <v>1262</v>
      </c>
      <c r="BC4238" s="1005">
        <v>478</v>
      </c>
    </row>
    <row r="4239" spans="54:55" x14ac:dyDescent="0.2">
      <c r="BB4239" s="9" t="s">
        <v>1262</v>
      </c>
      <c r="BC4239" s="1005">
        <v>479</v>
      </c>
    </row>
    <row r="4240" spans="54:55" x14ac:dyDescent="0.2">
      <c r="BB4240" s="9" t="s">
        <v>1262</v>
      </c>
      <c r="BC4240" s="1005">
        <v>480</v>
      </c>
    </row>
    <row r="4241" spans="54:55" x14ac:dyDescent="0.2">
      <c r="BB4241" s="9" t="s">
        <v>1262</v>
      </c>
      <c r="BC4241" s="1005">
        <v>481</v>
      </c>
    </row>
    <row r="4242" spans="54:55" x14ac:dyDescent="0.2">
      <c r="BB4242" s="9" t="s">
        <v>1262</v>
      </c>
      <c r="BC4242" s="1005">
        <v>482</v>
      </c>
    </row>
    <row r="4243" spans="54:55" x14ac:dyDescent="0.2">
      <c r="BB4243" s="9" t="s">
        <v>1262</v>
      </c>
      <c r="BC4243" s="1005">
        <v>483</v>
      </c>
    </row>
    <row r="4244" spans="54:55" x14ac:dyDescent="0.2">
      <c r="BB4244" s="9" t="s">
        <v>1262</v>
      </c>
      <c r="BC4244" s="1005">
        <v>484</v>
      </c>
    </row>
    <row r="4245" spans="54:55" x14ac:dyDescent="0.2">
      <c r="BB4245" s="9" t="s">
        <v>1262</v>
      </c>
      <c r="BC4245" s="1005">
        <v>485</v>
      </c>
    </row>
    <row r="4246" spans="54:55" x14ac:dyDescent="0.2">
      <c r="BB4246" s="9" t="s">
        <v>1262</v>
      </c>
      <c r="BC4246" s="1005">
        <v>486</v>
      </c>
    </row>
    <row r="4247" spans="54:55" x14ac:dyDescent="0.2">
      <c r="BB4247" s="9" t="s">
        <v>1262</v>
      </c>
      <c r="BC4247" s="1005">
        <v>487</v>
      </c>
    </row>
    <row r="4248" spans="54:55" x14ac:dyDescent="0.2">
      <c r="BB4248" s="9" t="s">
        <v>1262</v>
      </c>
      <c r="BC4248" s="1005">
        <v>488</v>
      </c>
    </row>
    <row r="4249" spans="54:55" x14ac:dyDescent="0.2">
      <c r="BB4249" s="9" t="s">
        <v>1262</v>
      </c>
      <c r="BC4249" s="1005">
        <v>489</v>
      </c>
    </row>
    <row r="4250" spans="54:55" x14ac:dyDescent="0.2">
      <c r="BB4250" s="9" t="s">
        <v>1262</v>
      </c>
      <c r="BC4250" s="1005">
        <v>490</v>
      </c>
    </row>
    <row r="4251" spans="54:55" x14ac:dyDescent="0.2">
      <c r="BB4251" s="9" t="s">
        <v>1262</v>
      </c>
      <c r="BC4251" s="1005">
        <v>491</v>
      </c>
    </row>
    <row r="4252" spans="54:55" x14ac:dyDescent="0.2">
      <c r="BB4252" s="9" t="s">
        <v>1262</v>
      </c>
      <c r="BC4252" s="1005">
        <v>492</v>
      </c>
    </row>
    <row r="4253" spans="54:55" x14ac:dyDescent="0.2">
      <c r="BB4253" s="9" t="s">
        <v>1262</v>
      </c>
      <c r="BC4253" s="1005">
        <v>493</v>
      </c>
    </row>
    <row r="4254" spans="54:55" x14ac:dyDescent="0.2">
      <c r="BB4254" s="9" t="s">
        <v>1262</v>
      </c>
      <c r="BC4254" s="1005">
        <v>494</v>
      </c>
    </row>
    <row r="4255" spans="54:55" x14ac:dyDescent="0.2">
      <c r="BB4255" s="9" t="s">
        <v>1262</v>
      </c>
      <c r="BC4255" s="1005">
        <v>495</v>
      </c>
    </row>
    <row r="4256" spans="54:55" x14ac:dyDescent="0.2">
      <c r="BB4256" s="9" t="s">
        <v>1262</v>
      </c>
      <c r="BC4256" s="1005">
        <v>496</v>
      </c>
    </row>
    <row r="4257" spans="54:55" x14ac:dyDescent="0.2">
      <c r="BB4257" s="9" t="s">
        <v>1262</v>
      </c>
      <c r="BC4257" s="1005">
        <v>497</v>
      </c>
    </row>
    <row r="4258" spans="54:55" x14ac:dyDescent="0.2">
      <c r="BB4258" s="9" t="s">
        <v>1262</v>
      </c>
      <c r="BC4258" s="1005">
        <v>498</v>
      </c>
    </row>
    <row r="4259" spans="54:55" x14ac:dyDescent="0.2">
      <c r="BB4259" s="9" t="s">
        <v>1262</v>
      </c>
      <c r="BC4259" s="1005">
        <v>499</v>
      </c>
    </row>
    <row r="4260" spans="54:55" x14ac:dyDescent="0.2">
      <c r="BB4260" s="9" t="s">
        <v>1262</v>
      </c>
      <c r="BC4260" s="1005">
        <v>500</v>
      </c>
    </row>
    <row r="4261" spans="54:55" x14ac:dyDescent="0.2">
      <c r="BB4261" s="9" t="s">
        <v>1262</v>
      </c>
      <c r="BC4261" s="1005">
        <v>501</v>
      </c>
    </row>
    <row r="4262" spans="54:55" x14ac:dyDescent="0.2">
      <c r="BB4262" s="9" t="s">
        <v>1262</v>
      </c>
      <c r="BC4262" s="1005">
        <v>502</v>
      </c>
    </row>
    <row r="4263" spans="54:55" x14ac:dyDescent="0.2">
      <c r="BB4263" s="9" t="s">
        <v>1262</v>
      </c>
      <c r="BC4263" s="1005">
        <v>503</v>
      </c>
    </row>
    <row r="4264" spans="54:55" x14ac:dyDescent="0.2">
      <c r="BB4264" s="9" t="s">
        <v>1262</v>
      </c>
      <c r="BC4264" s="1005">
        <v>504</v>
      </c>
    </row>
    <row r="4265" spans="54:55" x14ac:dyDescent="0.2">
      <c r="BB4265" s="9" t="s">
        <v>1262</v>
      </c>
      <c r="BC4265" s="1005">
        <v>505</v>
      </c>
    </row>
    <row r="4266" spans="54:55" x14ac:dyDescent="0.2">
      <c r="BB4266" s="9" t="s">
        <v>1262</v>
      </c>
      <c r="BC4266" s="1005">
        <v>506</v>
      </c>
    </row>
    <row r="4267" spans="54:55" x14ac:dyDescent="0.2">
      <c r="BB4267" s="9" t="s">
        <v>1262</v>
      </c>
      <c r="BC4267" s="1005">
        <v>507</v>
      </c>
    </row>
    <row r="4268" spans="54:55" x14ac:dyDescent="0.2">
      <c r="BB4268" s="9" t="s">
        <v>1262</v>
      </c>
      <c r="BC4268" s="1005">
        <v>508</v>
      </c>
    </row>
    <row r="4269" spans="54:55" x14ac:dyDescent="0.2">
      <c r="BB4269" s="9" t="s">
        <v>1262</v>
      </c>
      <c r="BC4269" s="1005">
        <v>509</v>
      </c>
    </row>
    <row r="4270" spans="54:55" x14ac:dyDescent="0.2">
      <c r="BB4270" s="9" t="s">
        <v>1262</v>
      </c>
      <c r="BC4270" s="1005">
        <v>510</v>
      </c>
    </row>
    <row r="4271" spans="54:55" x14ac:dyDescent="0.2">
      <c r="BB4271" s="9" t="s">
        <v>1262</v>
      </c>
      <c r="BC4271" s="1005">
        <v>511</v>
      </c>
    </row>
    <row r="4272" spans="54:55" x14ac:dyDescent="0.2">
      <c r="BB4272" s="9" t="s">
        <v>1262</v>
      </c>
      <c r="BC4272" s="1005">
        <v>512</v>
      </c>
    </row>
    <row r="4273" spans="54:55" x14ac:dyDescent="0.2">
      <c r="BB4273" s="9" t="s">
        <v>1262</v>
      </c>
      <c r="BC4273" s="1005">
        <v>513</v>
      </c>
    </row>
    <row r="4274" spans="54:55" x14ac:dyDescent="0.2">
      <c r="BB4274" s="9" t="s">
        <v>1262</v>
      </c>
      <c r="BC4274" s="1005">
        <v>514</v>
      </c>
    </row>
    <row r="4275" spans="54:55" x14ac:dyDescent="0.2">
      <c r="BB4275" s="9" t="s">
        <v>1262</v>
      </c>
      <c r="BC4275" s="1005">
        <v>515</v>
      </c>
    </row>
    <row r="4276" spans="54:55" x14ac:dyDescent="0.2">
      <c r="BB4276" s="9" t="s">
        <v>1262</v>
      </c>
      <c r="BC4276" s="1005">
        <v>516</v>
      </c>
    </row>
    <row r="4277" spans="54:55" x14ac:dyDescent="0.2">
      <c r="BB4277" s="9" t="s">
        <v>1262</v>
      </c>
      <c r="BC4277" s="1005">
        <v>517</v>
      </c>
    </row>
    <row r="4278" spans="54:55" x14ac:dyDescent="0.2">
      <c r="BB4278" s="9" t="s">
        <v>1262</v>
      </c>
      <c r="BC4278" s="1005">
        <v>518</v>
      </c>
    </row>
    <row r="4279" spans="54:55" x14ac:dyDescent="0.2">
      <c r="BB4279" s="9" t="s">
        <v>1262</v>
      </c>
      <c r="BC4279" s="1005">
        <v>519</v>
      </c>
    </row>
    <row r="4280" spans="54:55" x14ac:dyDescent="0.2">
      <c r="BB4280" s="9" t="s">
        <v>1262</v>
      </c>
      <c r="BC4280" s="1005">
        <v>520</v>
      </c>
    </row>
    <row r="4281" spans="54:55" x14ac:dyDescent="0.2">
      <c r="BB4281" s="9" t="s">
        <v>1262</v>
      </c>
      <c r="BC4281" s="1005">
        <v>521</v>
      </c>
    </row>
    <row r="4282" spans="54:55" x14ac:dyDescent="0.2">
      <c r="BB4282" s="9" t="s">
        <v>1262</v>
      </c>
      <c r="BC4282" s="1005">
        <v>522</v>
      </c>
    </row>
    <row r="4283" spans="54:55" x14ac:dyDescent="0.2">
      <c r="BB4283" s="9" t="s">
        <v>1262</v>
      </c>
      <c r="BC4283" s="1005">
        <v>523</v>
      </c>
    </row>
    <row r="4284" spans="54:55" x14ac:dyDescent="0.2">
      <c r="BB4284" s="9" t="s">
        <v>1262</v>
      </c>
      <c r="BC4284" s="1005">
        <v>524</v>
      </c>
    </row>
    <row r="4285" spans="54:55" x14ac:dyDescent="0.2">
      <c r="BB4285" s="9" t="s">
        <v>1262</v>
      </c>
      <c r="BC4285" s="1005">
        <v>525</v>
      </c>
    </row>
    <row r="4286" spans="54:55" x14ac:dyDescent="0.2">
      <c r="BB4286" s="9" t="s">
        <v>1262</v>
      </c>
      <c r="BC4286" s="1005">
        <v>526</v>
      </c>
    </row>
    <row r="4287" spans="54:55" x14ac:dyDescent="0.2">
      <c r="BB4287" s="9" t="s">
        <v>1262</v>
      </c>
      <c r="BC4287" s="1005">
        <v>527</v>
      </c>
    </row>
    <row r="4288" spans="54:55" x14ac:dyDescent="0.2">
      <c r="BB4288" s="9" t="s">
        <v>1262</v>
      </c>
      <c r="BC4288" s="1005">
        <v>528</v>
      </c>
    </row>
    <row r="4289" spans="54:55" x14ac:dyDescent="0.2">
      <c r="BB4289" s="9" t="s">
        <v>1262</v>
      </c>
      <c r="BC4289" s="1005">
        <v>529</v>
      </c>
    </row>
    <row r="4290" spans="54:55" x14ac:dyDescent="0.2">
      <c r="BB4290" s="9" t="s">
        <v>1262</v>
      </c>
      <c r="BC4290" s="1005">
        <v>530</v>
      </c>
    </row>
    <row r="4291" spans="54:55" x14ac:dyDescent="0.2">
      <c r="BB4291" s="9" t="s">
        <v>1262</v>
      </c>
      <c r="BC4291" s="1005">
        <v>531</v>
      </c>
    </row>
    <row r="4292" spans="54:55" x14ac:dyDescent="0.2">
      <c r="BB4292" s="9" t="s">
        <v>1262</v>
      </c>
      <c r="BC4292" s="1005">
        <v>532</v>
      </c>
    </row>
    <row r="4293" spans="54:55" x14ac:dyDescent="0.2">
      <c r="BB4293" s="9" t="s">
        <v>1262</v>
      </c>
      <c r="BC4293" s="1005">
        <v>533</v>
      </c>
    </row>
    <row r="4294" spans="54:55" x14ac:dyDescent="0.2">
      <c r="BB4294" s="9" t="s">
        <v>1262</v>
      </c>
      <c r="BC4294" s="1005">
        <v>534</v>
      </c>
    </row>
    <row r="4295" spans="54:55" x14ac:dyDescent="0.2">
      <c r="BB4295" s="9" t="s">
        <v>1262</v>
      </c>
      <c r="BC4295" s="1005">
        <v>535</v>
      </c>
    </row>
    <row r="4296" spans="54:55" x14ac:dyDescent="0.2">
      <c r="BB4296" s="9" t="s">
        <v>1262</v>
      </c>
      <c r="BC4296" s="1005">
        <v>536</v>
      </c>
    </row>
    <row r="4297" spans="54:55" x14ac:dyDescent="0.2">
      <c r="BB4297" s="9" t="s">
        <v>1262</v>
      </c>
      <c r="BC4297" s="1005">
        <v>537</v>
      </c>
    </row>
    <row r="4298" spans="54:55" x14ac:dyDescent="0.2">
      <c r="BB4298" s="9" t="s">
        <v>1262</v>
      </c>
      <c r="BC4298" s="1005">
        <v>538</v>
      </c>
    </row>
    <row r="4299" spans="54:55" x14ac:dyDescent="0.2">
      <c r="BB4299" s="9" t="s">
        <v>1262</v>
      </c>
      <c r="BC4299" s="1005">
        <v>539</v>
      </c>
    </row>
    <row r="4300" spans="54:55" x14ac:dyDescent="0.2">
      <c r="BB4300" s="9" t="s">
        <v>1262</v>
      </c>
      <c r="BC4300" s="1005">
        <v>540</v>
      </c>
    </row>
    <row r="4301" spans="54:55" x14ac:dyDescent="0.2">
      <c r="BB4301" s="9" t="s">
        <v>1262</v>
      </c>
      <c r="BC4301" s="1005">
        <v>541</v>
      </c>
    </row>
    <row r="4302" spans="54:55" x14ac:dyDescent="0.2">
      <c r="BB4302" s="9" t="s">
        <v>1262</v>
      </c>
      <c r="BC4302" s="1005">
        <v>542</v>
      </c>
    </row>
    <row r="4303" spans="54:55" x14ac:dyDescent="0.2">
      <c r="BB4303" s="9" t="s">
        <v>1262</v>
      </c>
      <c r="BC4303" s="1005">
        <v>543</v>
      </c>
    </row>
    <row r="4304" spans="54:55" x14ac:dyDescent="0.2">
      <c r="BB4304" s="9" t="s">
        <v>1262</v>
      </c>
      <c r="BC4304" s="1005">
        <v>544</v>
      </c>
    </row>
    <row r="4305" spans="54:55" x14ac:dyDescent="0.2">
      <c r="BB4305" s="9" t="s">
        <v>1262</v>
      </c>
      <c r="BC4305" s="1005">
        <v>545</v>
      </c>
    </row>
    <row r="4306" spans="54:55" x14ac:dyDescent="0.2">
      <c r="BB4306" s="9" t="s">
        <v>1262</v>
      </c>
      <c r="BC4306" s="1005">
        <v>546</v>
      </c>
    </row>
    <row r="4307" spans="54:55" x14ac:dyDescent="0.2">
      <c r="BB4307" s="9" t="s">
        <v>1262</v>
      </c>
      <c r="BC4307" s="1005">
        <v>547</v>
      </c>
    </row>
    <row r="4308" spans="54:55" x14ac:dyDescent="0.2">
      <c r="BB4308" s="9" t="s">
        <v>1262</v>
      </c>
      <c r="BC4308" s="1005">
        <v>548</v>
      </c>
    </row>
    <row r="4309" spans="54:55" x14ac:dyDescent="0.2">
      <c r="BB4309" s="9" t="s">
        <v>1262</v>
      </c>
      <c r="BC4309" s="1005">
        <v>549</v>
      </c>
    </row>
    <row r="4310" spans="54:55" x14ac:dyDescent="0.2">
      <c r="BB4310" s="9" t="s">
        <v>1262</v>
      </c>
      <c r="BC4310" s="1005">
        <v>550</v>
      </c>
    </row>
    <row r="4311" spans="54:55" x14ac:dyDescent="0.2">
      <c r="BB4311" s="9" t="s">
        <v>1262</v>
      </c>
      <c r="BC4311" s="1005">
        <v>551</v>
      </c>
    </row>
    <row r="4312" spans="54:55" x14ac:dyDescent="0.2">
      <c r="BB4312" s="9" t="s">
        <v>1262</v>
      </c>
      <c r="BC4312" s="1005">
        <v>552</v>
      </c>
    </row>
    <row r="4313" spans="54:55" x14ac:dyDescent="0.2">
      <c r="BB4313" s="9" t="s">
        <v>1262</v>
      </c>
      <c r="BC4313" s="1005">
        <v>553</v>
      </c>
    </row>
    <row r="4314" spans="54:55" x14ac:dyDescent="0.2">
      <c r="BB4314" s="9" t="s">
        <v>1262</v>
      </c>
      <c r="BC4314" s="1005">
        <v>554</v>
      </c>
    </row>
    <row r="4315" spans="54:55" x14ac:dyDescent="0.2">
      <c r="BB4315" s="9" t="s">
        <v>1262</v>
      </c>
      <c r="BC4315" s="1005">
        <v>555</v>
      </c>
    </row>
    <row r="4316" spans="54:55" x14ac:dyDescent="0.2">
      <c r="BB4316" s="9" t="s">
        <v>1262</v>
      </c>
      <c r="BC4316" s="1005">
        <v>556</v>
      </c>
    </row>
    <row r="4317" spans="54:55" x14ac:dyDescent="0.2">
      <c r="BB4317" s="9" t="s">
        <v>1262</v>
      </c>
      <c r="BC4317" s="1005">
        <v>557</v>
      </c>
    </row>
    <row r="4318" spans="54:55" x14ac:dyDescent="0.2">
      <c r="BB4318" s="9" t="s">
        <v>1262</v>
      </c>
      <c r="BC4318" s="1005">
        <v>558</v>
      </c>
    </row>
    <row r="4319" spans="54:55" x14ac:dyDescent="0.2">
      <c r="BB4319" s="9" t="s">
        <v>1262</v>
      </c>
      <c r="BC4319" s="1005">
        <v>559</v>
      </c>
    </row>
    <row r="4320" spans="54:55" x14ac:dyDescent="0.2">
      <c r="BB4320" s="9" t="s">
        <v>1262</v>
      </c>
      <c r="BC4320" s="1005">
        <v>560</v>
      </c>
    </row>
    <row r="4321" spans="54:55" x14ac:dyDescent="0.2">
      <c r="BB4321" s="9" t="s">
        <v>1262</v>
      </c>
      <c r="BC4321" s="1005">
        <v>561</v>
      </c>
    </row>
    <row r="4322" spans="54:55" x14ac:dyDescent="0.2">
      <c r="BB4322" s="9" t="s">
        <v>1262</v>
      </c>
      <c r="BC4322" s="1005">
        <v>562</v>
      </c>
    </row>
    <row r="4323" spans="54:55" x14ac:dyDescent="0.2">
      <c r="BB4323" s="9" t="s">
        <v>1262</v>
      </c>
      <c r="BC4323" s="1005">
        <v>563</v>
      </c>
    </row>
    <row r="4324" spans="54:55" x14ac:dyDescent="0.2">
      <c r="BB4324" s="9" t="s">
        <v>1262</v>
      </c>
      <c r="BC4324" s="1005">
        <v>564</v>
      </c>
    </row>
    <row r="4325" spans="54:55" x14ac:dyDescent="0.2">
      <c r="BB4325" s="9" t="s">
        <v>1262</v>
      </c>
      <c r="BC4325" s="1005">
        <v>565</v>
      </c>
    </row>
    <row r="4326" spans="54:55" x14ac:dyDescent="0.2">
      <c r="BB4326" s="9" t="s">
        <v>1262</v>
      </c>
      <c r="BC4326" s="1005">
        <v>566</v>
      </c>
    </row>
    <row r="4327" spans="54:55" x14ac:dyDescent="0.2">
      <c r="BB4327" s="9" t="s">
        <v>1262</v>
      </c>
      <c r="BC4327" s="1005">
        <v>567</v>
      </c>
    </row>
    <row r="4328" spans="54:55" x14ac:dyDescent="0.2">
      <c r="BB4328" s="9" t="s">
        <v>1262</v>
      </c>
      <c r="BC4328" s="1005">
        <v>568</v>
      </c>
    </row>
    <row r="4329" spans="54:55" x14ac:dyDescent="0.2">
      <c r="BB4329" s="9" t="s">
        <v>1262</v>
      </c>
      <c r="BC4329" s="1005">
        <v>569</v>
      </c>
    </row>
    <row r="4330" spans="54:55" x14ac:dyDescent="0.2">
      <c r="BB4330" s="9" t="s">
        <v>1262</v>
      </c>
      <c r="BC4330" s="1005">
        <v>570</v>
      </c>
    </row>
    <row r="4331" spans="54:55" x14ac:dyDescent="0.2">
      <c r="BB4331" s="9" t="s">
        <v>1262</v>
      </c>
      <c r="BC4331" s="1005">
        <v>571</v>
      </c>
    </row>
    <row r="4332" spans="54:55" x14ac:dyDescent="0.2">
      <c r="BB4332" s="9" t="s">
        <v>1262</v>
      </c>
      <c r="BC4332" s="1005">
        <v>572</v>
      </c>
    </row>
    <row r="4333" spans="54:55" x14ac:dyDescent="0.2">
      <c r="BB4333" s="9" t="s">
        <v>1262</v>
      </c>
      <c r="BC4333" s="1005">
        <v>573</v>
      </c>
    </row>
    <row r="4334" spans="54:55" x14ac:dyDescent="0.2">
      <c r="BB4334" s="9" t="s">
        <v>1262</v>
      </c>
      <c r="BC4334" s="1005">
        <v>574</v>
      </c>
    </row>
    <row r="4335" spans="54:55" x14ac:dyDescent="0.2">
      <c r="BB4335" s="9" t="s">
        <v>1262</v>
      </c>
      <c r="BC4335" s="1005">
        <v>575</v>
      </c>
    </row>
    <row r="4336" spans="54:55" x14ac:dyDescent="0.2">
      <c r="BB4336" s="9" t="s">
        <v>1262</v>
      </c>
      <c r="BC4336" s="1005">
        <v>576</v>
      </c>
    </row>
    <row r="4337" spans="54:55" x14ac:dyDescent="0.2">
      <c r="BB4337" s="9" t="s">
        <v>1262</v>
      </c>
      <c r="BC4337" s="1005">
        <v>577</v>
      </c>
    </row>
    <row r="4338" spans="54:55" x14ac:dyDescent="0.2">
      <c r="BB4338" s="9" t="s">
        <v>1262</v>
      </c>
      <c r="BC4338" s="1005">
        <v>578</v>
      </c>
    </row>
    <row r="4339" spans="54:55" x14ac:dyDescent="0.2">
      <c r="BB4339" s="9" t="s">
        <v>1262</v>
      </c>
      <c r="BC4339" s="1005">
        <v>579</v>
      </c>
    </row>
    <row r="4340" spans="54:55" x14ac:dyDescent="0.2">
      <c r="BB4340" s="9" t="s">
        <v>1262</v>
      </c>
      <c r="BC4340" s="1005">
        <v>580</v>
      </c>
    </row>
    <row r="4341" spans="54:55" x14ac:dyDescent="0.2">
      <c r="BB4341" s="9" t="s">
        <v>1262</v>
      </c>
      <c r="BC4341" s="1005">
        <v>581</v>
      </c>
    </row>
    <row r="4342" spans="54:55" x14ac:dyDescent="0.2">
      <c r="BB4342" s="9" t="s">
        <v>1262</v>
      </c>
      <c r="BC4342" s="1005">
        <v>582</v>
      </c>
    </row>
    <row r="4343" spans="54:55" x14ac:dyDescent="0.2">
      <c r="BB4343" s="9" t="s">
        <v>1262</v>
      </c>
      <c r="BC4343" s="1005">
        <v>583</v>
      </c>
    </row>
    <row r="4344" spans="54:55" x14ac:dyDescent="0.2">
      <c r="BB4344" s="9" t="s">
        <v>1262</v>
      </c>
      <c r="BC4344" s="1005">
        <v>584</v>
      </c>
    </row>
    <row r="4345" spans="54:55" x14ac:dyDescent="0.2">
      <c r="BB4345" s="9" t="s">
        <v>1262</v>
      </c>
      <c r="BC4345" s="1005">
        <v>585</v>
      </c>
    </row>
    <row r="4346" spans="54:55" x14ac:dyDescent="0.2">
      <c r="BB4346" s="9" t="s">
        <v>1262</v>
      </c>
      <c r="BC4346" s="1005">
        <v>586</v>
      </c>
    </row>
    <row r="4347" spans="54:55" x14ac:dyDescent="0.2">
      <c r="BB4347" s="9" t="s">
        <v>1262</v>
      </c>
      <c r="BC4347" s="1005">
        <v>587</v>
      </c>
    </row>
    <row r="4348" spans="54:55" x14ac:dyDescent="0.2">
      <c r="BB4348" s="9" t="s">
        <v>1262</v>
      </c>
      <c r="BC4348" s="1005">
        <v>588</v>
      </c>
    </row>
    <row r="4349" spans="54:55" x14ac:dyDescent="0.2">
      <c r="BB4349" s="9" t="s">
        <v>1262</v>
      </c>
      <c r="BC4349" s="1005">
        <v>589</v>
      </c>
    </row>
    <row r="4350" spans="54:55" x14ac:dyDescent="0.2">
      <c r="BB4350" s="9" t="s">
        <v>1262</v>
      </c>
      <c r="BC4350" s="1005">
        <v>590</v>
      </c>
    </row>
    <row r="4351" spans="54:55" x14ac:dyDescent="0.2">
      <c r="BB4351" s="9" t="s">
        <v>1262</v>
      </c>
      <c r="BC4351" s="1005">
        <v>591</v>
      </c>
    </row>
    <row r="4352" spans="54:55" x14ac:dyDescent="0.2">
      <c r="BB4352" s="9" t="s">
        <v>1262</v>
      </c>
      <c r="BC4352" s="1005">
        <v>592</v>
      </c>
    </row>
    <row r="4353" spans="54:55" x14ac:dyDescent="0.2">
      <c r="BB4353" s="9" t="s">
        <v>1262</v>
      </c>
      <c r="BC4353" s="1005">
        <v>593</v>
      </c>
    </row>
    <row r="4354" spans="54:55" x14ac:dyDescent="0.2">
      <c r="BB4354" s="9" t="s">
        <v>1262</v>
      </c>
      <c r="BC4354" s="1005">
        <v>594</v>
      </c>
    </row>
    <row r="4355" spans="54:55" x14ac:dyDescent="0.2">
      <c r="BB4355" s="9" t="s">
        <v>1262</v>
      </c>
      <c r="BC4355" s="1005">
        <v>595</v>
      </c>
    </row>
    <row r="4356" spans="54:55" x14ac:dyDescent="0.2">
      <c r="BB4356" s="9" t="s">
        <v>1262</v>
      </c>
      <c r="BC4356" s="1005">
        <v>596</v>
      </c>
    </row>
    <row r="4357" spans="54:55" x14ac:dyDescent="0.2">
      <c r="BB4357" s="9" t="s">
        <v>1262</v>
      </c>
      <c r="BC4357" s="1005">
        <v>597</v>
      </c>
    </row>
    <row r="4358" spans="54:55" x14ac:dyDescent="0.2">
      <c r="BB4358" s="9" t="s">
        <v>1262</v>
      </c>
      <c r="BC4358" s="1005">
        <v>598</v>
      </c>
    </row>
    <row r="4359" spans="54:55" x14ac:dyDescent="0.2">
      <c r="BB4359" s="9" t="s">
        <v>1262</v>
      </c>
      <c r="BC4359" s="1005">
        <v>599</v>
      </c>
    </row>
    <row r="4360" spans="54:55" x14ac:dyDescent="0.2">
      <c r="BB4360" s="9" t="s">
        <v>1262</v>
      </c>
      <c r="BC4360" s="1005">
        <v>600</v>
      </c>
    </row>
    <row r="4361" spans="54:55" x14ac:dyDescent="0.2">
      <c r="BB4361" s="9" t="s">
        <v>1262</v>
      </c>
      <c r="BC4361" s="1005">
        <v>601</v>
      </c>
    </row>
    <row r="4362" spans="54:55" x14ac:dyDescent="0.2">
      <c r="BB4362" s="9" t="s">
        <v>1262</v>
      </c>
      <c r="BC4362" s="1005">
        <v>602</v>
      </c>
    </row>
    <row r="4363" spans="54:55" x14ac:dyDescent="0.2">
      <c r="BB4363" s="9" t="s">
        <v>1262</v>
      </c>
      <c r="BC4363" s="1005">
        <v>603</v>
      </c>
    </row>
    <row r="4364" spans="54:55" x14ac:dyDescent="0.2">
      <c r="BB4364" s="9" t="s">
        <v>1262</v>
      </c>
      <c r="BC4364" s="1005">
        <v>604</v>
      </c>
    </row>
    <row r="4365" spans="54:55" x14ac:dyDescent="0.2">
      <c r="BB4365" s="9" t="s">
        <v>1262</v>
      </c>
      <c r="BC4365" s="1005">
        <v>605</v>
      </c>
    </row>
    <row r="4366" spans="54:55" x14ac:dyDescent="0.2">
      <c r="BB4366" s="9" t="s">
        <v>1262</v>
      </c>
      <c r="BC4366" s="1005">
        <v>606</v>
      </c>
    </row>
    <row r="4367" spans="54:55" x14ac:dyDescent="0.2">
      <c r="BB4367" s="9" t="s">
        <v>1262</v>
      </c>
      <c r="BC4367" s="1005">
        <v>607</v>
      </c>
    </row>
    <row r="4368" spans="54:55" x14ac:dyDescent="0.2">
      <c r="BB4368" s="9" t="s">
        <v>1262</v>
      </c>
      <c r="BC4368" s="1005">
        <v>608</v>
      </c>
    </row>
    <row r="4369" spans="54:55" x14ac:dyDescent="0.2">
      <c r="BB4369" s="9" t="s">
        <v>1262</v>
      </c>
      <c r="BC4369" s="1005">
        <v>609</v>
      </c>
    </row>
    <row r="4370" spans="54:55" x14ac:dyDescent="0.2">
      <c r="BB4370" s="9" t="s">
        <v>1262</v>
      </c>
      <c r="BC4370" s="1005">
        <v>610</v>
      </c>
    </row>
    <row r="4371" spans="54:55" x14ac:dyDescent="0.2">
      <c r="BB4371" s="9" t="s">
        <v>1262</v>
      </c>
      <c r="BC4371" s="1005">
        <v>611</v>
      </c>
    </row>
    <row r="4372" spans="54:55" x14ac:dyDescent="0.2">
      <c r="BB4372" s="9" t="s">
        <v>1262</v>
      </c>
      <c r="BC4372" s="1005">
        <v>612</v>
      </c>
    </row>
    <row r="4373" spans="54:55" x14ac:dyDescent="0.2">
      <c r="BB4373" s="9" t="s">
        <v>1262</v>
      </c>
      <c r="BC4373" s="1005">
        <v>613</v>
      </c>
    </row>
    <row r="4374" spans="54:55" x14ac:dyDescent="0.2">
      <c r="BB4374" s="9" t="s">
        <v>1262</v>
      </c>
      <c r="BC4374" s="1005">
        <v>614</v>
      </c>
    </row>
    <row r="4375" spans="54:55" x14ac:dyDescent="0.2">
      <c r="BB4375" s="9" t="s">
        <v>1262</v>
      </c>
      <c r="BC4375" s="1005">
        <v>615</v>
      </c>
    </row>
    <row r="4376" spans="54:55" x14ac:dyDescent="0.2">
      <c r="BB4376" s="9" t="s">
        <v>1262</v>
      </c>
      <c r="BC4376" s="1005">
        <v>616</v>
      </c>
    </row>
    <row r="4377" spans="54:55" x14ac:dyDescent="0.2">
      <c r="BB4377" s="9" t="s">
        <v>1262</v>
      </c>
      <c r="BC4377" s="1005">
        <v>617</v>
      </c>
    </row>
    <row r="4378" spans="54:55" x14ac:dyDescent="0.2">
      <c r="BB4378" s="9" t="s">
        <v>1262</v>
      </c>
      <c r="BC4378" s="1005">
        <v>618</v>
      </c>
    </row>
    <row r="4379" spans="54:55" x14ac:dyDescent="0.2">
      <c r="BB4379" s="9" t="s">
        <v>1262</v>
      </c>
      <c r="BC4379" s="1005">
        <v>619</v>
      </c>
    </row>
    <row r="4380" spans="54:55" x14ac:dyDescent="0.2">
      <c r="BB4380" s="9" t="s">
        <v>1262</v>
      </c>
      <c r="BC4380" s="1005">
        <v>620</v>
      </c>
    </row>
    <row r="4381" spans="54:55" x14ac:dyDescent="0.2">
      <c r="BB4381" s="9" t="s">
        <v>1262</v>
      </c>
      <c r="BC4381" s="1005">
        <v>621</v>
      </c>
    </row>
    <row r="4382" spans="54:55" x14ac:dyDescent="0.2">
      <c r="BB4382" s="9" t="s">
        <v>1262</v>
      </c>
      <c r="BC4382" s="1005">
        <v>622</v>
      </c>
    </row>
    <row r="4383" spans="54:55" x14ac:dyDescent="0.2">
      <c r="BB4383" s="9" t="s">
        <v>1262</v>
      </c>
      <c r="BC4383" s="1005">
        <v>623</v>
      </c>
    </row>
    <row r="4384" spans="54:55" x14ac:dyDescent="0.2">
      <c r="BB4384" s="9" t="s">
        <v>1262</v>
      </c>
      <c r="BC4384" s="1005">
        <v>624</v>
      </c>
    </row>
    <row r="4385" spans="54:55" x14ac:dyDescent="0.2">
      <c r="BB4385" s="9" t="s">
        <v>1262</v>
      </c>
      <c r="BC4385" s="1005">
        <v>625</v>
      </c>
    </row>
    <row r="4386" spans="54:55" x14ac:dyDescent="0.2">
      <c r="BB4386" s="9" t="s">
        <v>1262</v>
      </c>
      <c r="BC4386" s="1005">
        <v>626</v>
      </c>
    </row>
    <row r="4387" spans="54:55" x14ac:dyDescent="0.2">
      <c r="BB4387" s="9" t="s">
        <v>1262</v>
      </c>
      <c r="BC4387" s="1005">
        <v>627</v>
      </c>
    </row>
    <row r="4388" spans="54:55" x14ac:dyDescent="0.2">
      <c r="BB4388" s="9" t="s">
        <v>1262</v>
      </c>
      <c r="BC4388" s="1005">
        <v>628</v>
      </c>
    </row>
    <row r="4389" spans="54:55" x14ac:dyDescent="0.2">
      <c r="BB4389" s="9" t="s">
        <v>1262</v>
      </c>
      <c r="BC4389" s="1005">
        <v>629</v>
      </c>
    </row>
    <row r="4390" spans="54:55" x14ac:dyDescent="0.2">
      <c r="BB4390" s="9" t="s">
        <v>1262</v>
      </c>
      <c r="BC4390" s="1005">
        <v>630</v>
      </c>
    </row>
  </sheetData>
  <mergeCells count="158">
    <mergeCell ref="AZ53:BA53"/>
    <mergeCell ref="AZ83:BA83"/>
    <mergeCell ref="AZ73:BA73"/>
    <mergeCell ref="BN83:BN84"/>
    <mergeCell ref="BM83:BM84"/>
    <mergeCell ref="BD64:BE64"/>
    <mergeCell ref="BO83:BO84"/>
    <mergeCell ref="BD807:BE807"/>
    <mergeCell ref="BS180:BU181"/>
    <mergeCell ref="BD814:BE814"/>
    <mergeCell ref="BD596:BE596"/>
    <mergeCell ref="BD612:BE612"/>
    <mergeCell ref="BD806:BE806"/>
    <mergeCell ref="BD4:BE4"/>
    <mergeCell ref="AZ33:BA33"/>
    <mergeCell ref="AU1:AV1"/>
    <mergeCell ref="AK1:AM1"/>
    <mergeCell ref="AW1:AX1"/>
    <mergeCell ref="BD741:BE741"/>
    <mergeCell ref="BD643:BE643"/>
    <mergeCell ref="BD659:BE659"/>
    <mergeCell ref="BD694:BE694"/>
    <mergeCell ref="BD695:BE695"/>
    <mergeCell ref="BD557:BE557"/>
    <mergeCell ref="BD595:BE595"/>
    <mergeCell ref="AZ153:BA153"/>
    <mergeCell ref="BD236:BE236"/>
    <mergeCell ref="BD386:BE386"/>
    <mergeCell ref="AZ113:BA113"/>
    <mergeCell ref="AZ23:BA23"/>
    <mergeCell ref="AZ103:BA103"/>
    <mergeCell ref="AP1:AS1"/>
    <mergeCell ref="BB1:BC1"/>
    <mergeCell ref="CO1:CO2"/>
    <mergeCell ref="BV180:BV181"/>
    <mergeCell ref="BP180:BR180"/>
    <mergeCell ref="BO180:BO181"/>
    <mergeCell ref="BO131:BO132"/>
    <mergeCell ref="BQ54:BZ54"/>
    <mergeCell ref="B20:E20"/>
    <mergeCell ref="B21:E21"/>
    <mergeCell ref="B18:E18"/>
    <mergeCell ref="B22:E22"/>
    <mergeCell ref="B19:E19"/>
    <mergeCell ref="AZ93:BA93"/>
    <mergeCell ref="AZ43:BA43"/>
    <mergeCell ref="AZ63:BA63"/>
    <mergeCell ref="BD65:BE65"/>
    <mergeCell ref="BD30:BE30"/>
    <mergeCell ref="B23:E23"/>
    <mergeCell ref="B24:E24"/>
    <mergeCell ref="AZ143:BA143"/>
    <mergeCell ref="AZ133:BA133"/>
    <mergeCell ref="AZ123:BA123"/>
    <mergeCell ref="BP107:BR107"/>
    <mergeCell ref="BP83:BP84"/>
    <mergeCell ref="BS2:BS3"/>
    <mergeCell ref="B14:E14"/>
    <mergeCell ref="B15:E15"/>
    <mergeCell ref="B16:E16"/>
    <mergeCell ref="B17:E17"/>
    <mergeCell ref="AZ13:BA13"/>
    <mergeCell ref="CJ1:CJ2"/>
    <mergeCell ref="AC1:AD1"/>
    <mergeCell ref="X1:Z1"/>
    <mergeCell ref="DX1:EA1"/>
    <mergeCell ref="DL1:DQ1"/>
    <mergeCell ref="DS1:DV1"/>
    <mergeCell ref="CS1:CS2"/>
    <mergeCell ref="BD3:BE3"/>
    <mergeCell ref="BQ2:BQ3"/>
    <mergeCell ref="BW2:BW3"/>
    <mergeCell ref="BX2:BX3"/>
    <mergeCell ref="AE1:AF1"/>
    <mergeCell ref="AG1:AH1"/>
    <mergeCell ref="CL1:CL2"/>
    <mergeCell ref="CU1:CU2"/>
    <mergeCell ref="AA1:AB1"/>
    <mergeCell ref="CM1:CM2"/>
    <mergeCell ref="CP1:CP2"/>
    <mergeCell ref="CN1:CN2"/>
    <mergeCell ref="BI1:BJ1"/>
    <mergeCell ref="BD1:BG1"/>
    <mergeCell ref="CK1:CK2"/>
    <mergeCell ref="BQ1:BZ1"/>
    <mergeCell ref="CC1:CG1"/>
    <mergeCell ref="AY1:BA1"/>
    <mergeCell ref="BP131:BR131"/>
    <mergeCell ref="BV107:BX107"/>
    <mergeCell ref="BV130:BZ130"/>
    <mergeCell ref="BY131:BY132"/>
    <mergeCell ref="BZ131:BZ132"/>
    <mergeCell ref="BV131:BX132"/>
    <mergeCell ref="BS107:BU107"/>
    <mergeCell ref="BV83:BX83"/>
    <mergeCell ref="BS83:BU83"/>
    <mergeCell ref="BS131:BU132"/>
    <mergeCell ref="BY2:BY3"/>
    <mergeCell ref="BZ2:BZ3"/>
    <mergeCell ref="BW12:BW13"/>
    <mergeCell ref="BR2:BR3"/>
    <mergeCell ref="BR83:BR84"/>
    <mergeCell ref="BQ83:BQ84"/>
    <mergeCell ref="BY83:CA83"/>
    <mergeCell ref="BQ82:CA82"/>
    <mergeCell ref="FV3:FV8"/>
    <mergeCell ref="FV9:FV12"/>
    <mergeCell ref="FV13:FV16"/>
    <mergeCell ref="FT11:FT12"/>
    <mergeCell ref="FT9:FT10"/>
    <mergeCell ref="FT17:FT19"/>
    <mergeCell ref="FH17:FH25"/>
    <mergeCell ref="BQ28:BZ28"/>
    <mergeCell ref="FH6:FH8"/>
    <mergeCell ref="FH13:FH14"/>
    <mergeCell ref="FT20:FT22"/>
    <mergeCell ref="FT23:FT25"/>
    <mergeCell ref="BV2:BV3"/>
    <mergeCell ref="BT2:BT3"/>
    <mergeCell ref="BU2:BU3"/>
    <mergeCell ref="EU1:EU2"/>
    <mergeCell ref="EN1:EN2"/>
    <mergeCell ref="EO1:EO2"/>
    <mergeCell ref="ES1:ES2"/>
    <mergeCell ref="FT4:FT5"/>
    <mergeCell ref="FI9:FI12"/>
    <mergeCell ref="FI13:FI16"/>
    <mergeCell ref="FH9:FH10"/>
    <mergeCell ref="FH11:FH12"/>
    <mergeCell ref="FH15:FH16"/>
    <mergeCell ref="FH3:FH5"/>
    <mergeCell ref="FI3:FI8"/>
    <mergeCell ref="FT13:FT14"/>
    <mergeCell ref="FT1:FU1"/>
    <mergeCell ref="FT7:FT8"/>
    <mergeCell ref="FU3:FU8"/>
    <mergeCell ref="FU9:FU12"/>
    <mergeCell ref="FU13:FU16"/>
    <mergeCell ref="FT15:FT16"/>
    <mergeCell ref="CW1:CX1"/>
    <mergeCell ref="CV1:CV2"/>
    <mergeCell ref="CQ1:CQ2"/>
    <mergeCell ref="CR1:CR2"/>
    <mergeCell ref="EH1:EH2"/>
    <mergeCell ref="EJ1:EJ2"/>
    <mergeCell ref="EG1:EG2"/>
    <mergeCell ref="ER1:ER2"/>
    <mergeCell ref="EW1:FE1"/>
    <mergeCell ref="EV1:EV2"/>
    <mergeCell ref="EP1:EP2"/>
    <mergeCell ref="EQ1:EQ2"/>
    <mergeCell ref="EC1:EE1"/>
    <mergeCell ref="ET1:ET2"/>
    <mergeCell ref="EI1:EI2"/>
    <mergeCell ref="EK1:EK2"/>
    <mergeCell ref="EM1:EM2"/>
    <mergeCell ref="EL1:EL2"/>
    <mergeCell ref="CT1:CT2"/>
  </mergeCells>
  <phoneticPr fontId="0" type="noConversion"/>
  <dataValidations disablePrompts="1" count="56">
    <dataValidation type="list" allowBlank="1" showInputMessage="1" showErrorMessage="1" sqref="BZ57:CA57">
      <formula1>Id_1</formula1>
    </dataValidation>
    <dataValidation type="list" allowBlank="1" showInputMessage="1" showErrorMessage="1" sqref="BZ56:CA56">
      <formula1>Id_0</formula1>
    </dataValidation>
    <dataValidation type="list" allowBlank="1" showInputMessage="1" showErrorMessage="1" sqref="BZ58:CA58">
      <formula1>Id_2</formula1>
    </dataValidation>
    <dataValidation type="list" allowBlank="1" showErrorMessage="1" prompt="Укажите тип УЗО/ ток мА" sqref="BZ62:CA62">
      <formula1>Id_6</formula1>
    </dataValidation>
    <dataValidation type="list" allowBlank="1" showErrorMessage="1" prompt="Укажите тип УЗО/ ток мА" sqref="BZ59:CA59">
      <formula1>Id_3</formula1>
    </dataValidation>
    <dataValidation type="list" allowBlank="1" showErrorMessage="1" prompt="Укажите тип УЗО/ ток мА" sqref="BZ70:CA70">
      <formula1>Id_14</formula1>
    </dataValidation>
    <dataValidation type="list" allowBlank="1" showErrorMessage="1" prompt="Укажите тип УЗО/ ток мА" sqref="BZ69:CA69">
      <formula1>Id_13</formula1>
    </dataValidation>
    <dataValidation type="list" allowBlank="1" showErrorMessage="1" prompt="Укажите тип УЗО/ ток мА" sqref="BZ68:CA68">
      <formula1>Id_12</formula1>
    </dataValidation>
    <dataValidation type="list" allowBlank="1" showErrorMessage="1" prompt="Укажите тип УЗО/ ток мА" sqref="BZ67:CA67">
      <formula1>Id_11</formula1>
    </dataValidation>
    <dataValidation type="list" allowBlank="1" showErrorMessage="1" prompt="Укажите тип УЗО/ ток мА" sqref="BZ66:CA66">
      <formula1>Id_10</formula1>
    </dataValidation>
    <dataValidation type="list" allowBlank="1" showErrorMessage="1" prompt="Укажите тип УЗО/ ток мА" sqref="BZ65:CA65">
      <formula1>Id_9</formula1>
    </dataValidation>
    <dataValidation type="list" allowBlank="1" showErrorMessage="1" prompt="Укажите тип УЗО/ ток мА" sqref="BZ64:CA64">
      <formula1>Id_8</formula1>
    </dataValidation>
    <dataValidation type="list" allowBlank="1" showErrorMessage="1" prompt="Укажите тип УЗО/ ток мА" sqref="BZ63:CA63">
      <formula1>Id_7</formula1>
    </dataValidation>
    <dataValidation type="list" allowBlank="1" showErrorMessage="1" prompt="Укажите тип УЗО/ ток мА" sqref="BZ61:CA61">
      <formula1>Id_5</formula1>
    </dataValidation>
    <dataValidation type="list" allowBlank="1" showErrorMessage="1" prompt="Укажите тип УЗО/ ток мА" sqref="BZ60:CA60">
      <formula1>Id_4</formula1>
    </dataValidation>
    <dataValidation type="list" allowBlank="1" showErrorMessage="1" prompt="Укажите тип УЗО/ ток мА" sqref="BZ71:CA71 BZ72:BZ76">
      <formula1>Id_15</formula1>
    </dataValidation>
    <dataValidation type="list" allowBlank="1" showInputMessage="1" showErrorMessage="1" sqref="BZ4:CA4">
      <formula1>In_0</formula1>
    </dataValidation>
    <dataValidation type="list" allowBlank="1" showErrorMessage="1" prompt="Укажите номинальный ток вводного выключателя/НКУ" sqref="BZ19:CA19 BZ20:BZ24">
      <formula1>In_15</formula1>
    </dataValidation>
    <dataValidation type="list" allowBlank="1" showErrorMessage="1" prompt="Укажите номинальный ток вводного выключателя/НКУ" sqref="BZ18:CA18">
      <formula1>In_14</formula1>
    </dataValidation>
    <dataValidation type="list" allowBlank="1" showErrorMessage="1" prompt="Укажите номинальный ток вводного выключателя/НКУ" sqref="BZ17:CA17">
      <formula1>In_13</formula1>
    </dataValidation>
    <dataValidation type="list" allowBlank="1" showErrorMessage="1" prompt="Укажите номинальный ток вводного выключателя/НКУ" sqref="BZ16:CA16">
      <formula1>In_12</formula1>
    </dataValidation>
    <dataValidation type="list" allowBlank="1" showErrorMessage="1" prompt="Укажите номинальный ток вводного выключателя/НКУ" sqref="BZ15:CA15">
      <formula1>In_11</formula1>
    </dataValidation>
    <dataValidation type="list" allowBlank="1" showErrorMessage="1" prompt="Укажите номинальный ток вводного выключателя/НКУ" sqref="BZ14:CA14">
      <formula1>In_10</formula1>
    </dataValidation>
    <dataValidation type="list" allowBlank="1" showErrorMessage="1" prompt="Укажите номинальный ток вводного выключателя/НКУ" sqref="BZ13:CA13">
      <formula1>In_9</formula1>
    </dataValidation>
    <dataValidation type="list" allowBlank="1" showErrorMessage="1" prompt="Укажите номинальный ток вводного выключателя/НКУ" sqref="BZ12:CA12">
      <formula1>In_8</formula1>
    </dataValidation>
    <dataValidation type="list" allowBlank="1" showErrorMessage="1" prompt="Укажите номинальный ток вводного выключателя/НКУ" sqref="BZ11:CA11">
      <formula1>In_7</formula1>
    </dataValidation>
    <dataValidation type="list" allowBlank="1" showErrorMessage="1" prompt="Укажите номинальный ток вводного выключателя/НКУ" sqref="BZ10:CA10">
      <formula1>In_6</formula1>
    </dataValidation>
    <dataValidation type="list" allowBlank="1" showErrorMessage="1" prompt="Укажите номинальный ток вводного выключателя/НКУ" sqref="BZ9:CA9">
      <formula1>In_5</formula1>
    </dataValidation>
    <dataValidation type="list" allowBlank="1" showErrorMessage="1" prompt="Укажите номинальный ток вводного выключателя/НКУ" sqref="BZ8:CA8">
      <formula1>In_4</formula1>
    </dataValidation>
    <dataValidation type="list" allowBlank="1" showErrorMessage="1" prompt="Укажите номинальный ток вводного выключателя/НКУ" sqref="BZ7:CA7">
      <formula1>In_3</formula1>
    </dataValidation>
    <dataValidation type="list" allowBlank="1" showErrorMessage="1" prompt="Укажите номинальный ток вводного выключателя/НКУ" sqref="BZ6:CA6">
      <formula1>In_2</formula1>
    </dataValidation>
    <dataValidation type="list" allowBlank="1" showErrorMessage="1" prompt="Укажите номинальный ток вводного выключателя/НКУ" sqref="BZ5:CA5">
      <formula1>In_1</formula1>
    </dataValidation>
    <dataValidation type="list" allowBlank="1" showInputMessage="1" showErrorMessage="1" sqref="BZ30:CA30">
      <formula1>Кривая0</formula1>
    </dataValidation>
    <dataValidation type="list" allowBlank="1" showInputMessage="1" showErrorMessage="1" sqref="BZ33:CA33">
      <formula1>Кривая3</formula1>
    </dataValidation>
    <dataValidation type="list" allowBlank="1" showInputMessage="1" showErrorMessage="1" sqref="BZ45:CA45 BZ46:BZ50">
      <formula1>Кривая15</formula1>
    </dataValidation>
    <dataValidation type="list" allowBlank="1" showInputMessage="1" showErrorMessage="1" sqref="BZ44:CA44">
      <formula1>Кривая14</formula1>
    </dataValidation>
    <dataValidation type="list" allowBlank="1" showInputMessage="1" showErrorMessage="1" sqref="BZ43:CA43">
      <formula1>Кривая13</formula1>
    </dataValidation>
    <dataValidation type="list" allowBlank="1" showInputMessage="1" showErrorMessage="1" sqref="BZ42:CA42">
      <formula1>Кривая12</formula1>
    </dataValidation>
    <dataValidation type="list" allowBlank="1" showInputMessage="1" showErrorMessage="1" sqref="BZ41:CA41">
      <formula1>Кривая11</formula1>
    </dataValidation>
    <dataValidation type="list" allowBlank="1" showInputMessage="1" showErrorMessage="1" sqref="BZ40:CA40">
      <formula1>Кривая10</formula1>
    </dataValidation>
    <dataValidation type="list" allowBlank="1" showInputMessage="1" showErrorMessage="1" sqref="BZ39:CA39">
      <formula1>Кривая9</formula1>
    </dataValidation>
    <dataValidation type="list" allowBlank="1" showInputMessage="1" showErrorMessage="1" sqref="BZ38:CA38">
      <formula1>Кривая8</formula1>
    </dataValidation>
    <dataValidation type="list" allowBlank="1" showInputMessage="1" showErrorMessage="1" sqref="BZ37:CA37">
      <formula1>Кривая7</formula1>
    </dataValidation>
    <dataValidation type="list" allowBlank="1" showInputMessage="1" showErrorMessage="1" sqref="BZ36:CA36">
      <formula1>Кривая6</formula1>
    </dataValidation>
    <dataValidation type="list" allowBlank="1" showInputMessage="1" showErrorMessage="1" sqref="BZ35:CA35">
      <formula1>Кривая5</formula1>
    </dataValidation>
    <dataValidation type="list" allowBlank="1" showInputMessage="1" showErrorMessage="1" sqref="BZ34:CA34">
      <formula1>Кривая4</formula1>
    </dataValidation>
    <dataValidation type="list" allowBlank="1" showInputMessage="1" showErrorMessage="1" sqref="BZ32:CA32">
      <formula1>Кривая2</formula1>
    </dataValidation>
    <dataValidation type="list" allowBlank="1" showInputMessage="1" showErrorMessage="1" sqref="BZ31:CA31">
      <formula1>Кривая1</formula1>
    </dataValidation>
    <dataValidation type="list" allowBlank="1" showInputMessage="1" showErrorMessage="1" sqref="CI23">
      <formula1>VLOOKUP(CI4,CI24:CK26,2,FALSE)</formula1>
    </dataValidation>
    <dataValidation type="list" allowBlank="1" showInputMessage="1" showErrorMessage="1" sqref="CH23">
      <formula1>VLOOKUP(CH4,CH24:CK26,2,FALSE)</formula1>
    </dataValidation>
    <dataValidation type="list" allowBlank="1" showInputMessage="1" showErrorMessage="1" sqref="BP30">
      <formula1>VLOOKUP(BP4,BP24:CK26,2,FALSE)</formula1>
    </dataValidation>
    <dataValidation type="list" allowBlank="1" showInputMessage="1" showErrorMessage="1" sqref="BO30">
      <formula1>VLOOKUP(BO4,BO24:CK26,2,FALSE)</formula1>
    </dataValidation>
    <dataValidation type="list" allowBlank="1" showInputMessage="1" showErrorMessage="1" sqref="BL23">
      <formula1>VLOOKUP(BL4,BL24:CK26,2,FALSE)</formula1>
    </dataValidation>
    <dataValidation type="list" allowBlank="1" showInputMessage="1" showErrorMessage="1" sqref="BK23">
      <formula1>VLOOKUP(BK4,BK24:CK26,2,FALSE)</formula1>
    </dataValidation>
    <dataValidation type="list" allowBlank="1" showInputMessage="1" showErrorMessage="1" sqref="BG23:BH23">
      <formula1>VLOOKUP(BG4,BG24:CJ26,2,FALSE)</formula1>
    </dataValidation>
    <dataValidation type="list" allowBlank="1" showInputMessage="1" showErrorMessage="1" sqref="CH11">
      <formula1>OFFSET(#REF!,BW56,0,BY56,1)</formula1>
    </dataValidation>
  </dataValidations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4107" r:id="rId4">
          <objectPr defaultSize="0" autoPict="0" r:id="rId5">
            <anchor moveWithCells="1" sizeWithCells="1">
              <from>
                <xdr:col>87</xdr:col>
                <xdr:colOff>9525</xdr:colOff>
                <xdr:row>18</xdr:row>
                <xdr:rowOff>123825</xdr:rowOff>
              </from>
              <to>
                <xdr:col>96</xdr:col>
                <xdr:colOff>1000125</xdr:colOff>
                <xdr:row>51</xdr:row>
                <xdr:rowOff>9525</xdr:rowOff>
              </to>
            </anchor>
          </objectPr>
        </oleObject>
      </mc:Choice>
      <mc:Fallback>
        <oleObject progId="PBrush" shapeId="4107" r:id="rId4"/>
      </mc:Fallback>
    </mc:AlternateContent>
    <mc:AlternateContent xmlns:mc="http://schemas.openxmlformats.org/markup-compatibility/2006">
      <mc:Choice Requires="x14">
        <oleObject progId="PBrush" shapeId="4108" r:id="rId6">
          <objectPr defaultSize="0" autoPict="0" r:id="rId7">
            <anchor moveWithCells="1" sizeWithCells="1">
              <from>
                <xdr:col>87</xdr:col>
                <xdr:colOff>104775</xdr:colOff>
                <xdr:row>51</xdr:row>
                <xdr:rowOff>19050</xdr:rowOff>
              </from>
              <to>
                <xdr:col>97</xdr:col>
                <xdr:colOff>104775</xdr:colOff>
                <xdr:row>89</xdr:row>
                <xdr:rowOff>95250</xdr:rowOff>
              </to>
            </anchor>
          </objectPr>
        </oleObject>
      </mc:Choice>
      <mc:Fallback>
        <oleObject progId="PBrush" shapeId="4108" r:id="rId6"/>
      </mc:Fallback>
    </mc:AlternateContent>
    <mc:AlternateContent xmlns:mc="http://schemas.openxmlformats.org/markup-compatibility/2006">
      <mc:Choice Requires="x14">
        <oleObject progId="PBrush" shapeId="4109" r:id="rId8">
          <objectPr defaultSize="0" autoPict="0" r:id="rId9">
            <anchor moveWithCells="1" sizeWithCells="1">
              <from>
                <xdr:col>87</xdr:col>
                <xdr:colOff>57150</xdr:colOff>
                <xdr:row>90</xdr:row>
                <xdr:rowOff>9525</xdr:rowOff>
              </from>
              <to>
                <xdr:col>94</xdr:col>
                <xdr:colOff>685800</xdr:colOff>
                <xdr:row>133</xdr:row>
                <xdr:rowOff>57150</xdr:rowOff>
              </to>
            </anchor>
          </objectPr>
        </oleObject>
      </mc:Choice>
      <mc:Fallback>
        <oleObject progId="PBrush" shapeId="4109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36"/>
  <sheetViews>
    <sheetView workbookViewId="0">
      <selection activeCell="B46" sqref="B46"/>
    </sheetView>
  </sheetViews>
  <sheetFormatPr defaultRowHeight="12.75" x14ac:dyDescent="0.2"/>
  <cols>
    <col min="1" max="1" width="16.85546875" style="33" customWidth="1"/>
    <col min="2" max="2" width="9.140625" style="33"/>
    <col min="3" max="4" width="8.5703125" style="33" customWidth="1"/>
    <col min="5" max="5" width="10.140625" style="33" customWidth="1"/>
    <col min="6" max="6" width="24.5703125" style="125" customWidth="1"/>
    <col min="7" max="8" width="9.140625" style="124"/>
    <col min="9" max="9" width="17.7109375" style="122" customWidth="1"/>
    <col min="10" max="10" width="9.140625" style="98"/>
    <col min="11" max="11" width="9.140625" style="1"/>
    <col min="12" max="12" width="21.28515625" customWidth="1"/>
    <col min="13" max="15" width="18" style="431" customWidth="1"/>
    <col min="17" max="17" width="9.140625" customWidth="1"/>
    <col min="18" max="18" width="20.5703125" customWidth="1"/>
    <col min="19" max="19" width="21" customWidth="1"/>
    <col min="21" max="21" width="17.7109375" customWidth="1"/>
  </cols>
  <sheetData>
    <row r="1" spans="1:22" x14ac:dyDescent="0.2">
      <c r="A1" s="1475" t="s">
        <v>184</v>
      </c>
      <c r="B1" s="1294" t="s">
        <v>217</v>
      </c>
      <c r="C1" s="1294" t="s">
        <v>216</v>
      </c>
      <c r="D1" s="1461" t="s">
        <v>219</v>
      </c>
      <c r="E1" s="1479" t="s">
        <v>185</v>
      </c>
      <c r="F1" s="1477" t="s">
        <v>186</v>
      </c>
      <c r="G1" s="1485" t="s">
        <v>1195</v>
      </c>
      <c r="H1" s="1486"/>
      <c r="I1" s="1487"/>
      <c r="J1" s="1488" t="s">
        <v>218</v>
      </c>
      <c r="L1" s="1490" t="s">
        <v>827</v>
      </c>
      <c r="M1" s="1490"/>
      <c r="N1" s="1490"/>
      <c r="O1" s="1490"/>
      <c r="Q1" s="1482" t="s">
        <v>424</v>
      </c>
      <c r="R1" s="1483"/>
      <c r="S1" s="1484"/>
      <c r="U1" s="1474" t="s">
        <v>1193</v>
      </c>
      <c r="V1" s="1474"/>
    </row>
    <row r="2" spans="1:22" ht="13.5" thickBot="1" x14ac:dyDescent="0.25">
      <c r="A2" s="1476"/>
      <c r="B2" s="1461"/>
      <c r="C2" s="1461"/>
      <c r="D2" s="1481"/>
      <c r="E2" s="1480"/>
      <c r="F2" s="1478"/>
      <c r="G2" s="1420"/>
      <c r="H2" s="1421"/>
      <c r="I2" s="1332"/>
      <c r="J2" s="1489"/>
      <c r="K2" s="27"/>
      <c r="L2" s="436" t="s">
        <v>826</v>
      </c>
      <c r="M2" s="436" t="s">
        <v>828</v>
      </c>
      <c r="N2" s="436" t="s">
        <v>830</v>
      </c>
      <c r="O2" s="436" t="s">
        <v>829</v>
      </c>
      <c r="Q2" s="594" t="s">
        <v>218</v>
      </c>
      <c r="R2" s="595" t="s">
        <v>428</v>
      </c>
      <c r="S2" s="596" t="s">
        <v>429</v>
      </c>
      <c r="U2" s="929" t="s">
        <v>1194</v>
      </c>
      <c r="V2" s="296" t="s">
        <v>930</v>
      </c>
    </row>
    <row r="3" spans="1:22" x14ac:dyDescent="0.2">
      <c r="A3" s="121" t="s">
        <v>30</v>
      </c>
      <c r="B3" s="121">
        <v>2</v>
      </c>
      <c r="C3" s="121">
        <v>0.5</v>
      </c>
      <c r="D3" s="121" t="str">
        <f t="shared" ref="D3:D66" si="0">B3&amp;"x"&amp;C3</f>
        <v>2x0,5</v>
      </c>
      <c r="E3" s="121">
        <v>0</v>
      </c>
      <c r="F3" s="296" t="str">
        <f>F4</f>
        <v>18153413  САЛЬНИК PG13.5, ДИАМЕТР ПРОВОДНИКА 7...11 ММ ТУ 3449-110-18461115-03</v>
      </c>
      <c r="G3" s="1087" t="str">
        <f>G4</f>
        <v>PG13</v>
      </c>
      <c r="H3" s="1087">
        <f>IF(
 ISNUMBER(MATCH("*PG42*",F3,0)),
 "PG42",
 IF(
  ISNUMBER(MATCH("*PG48*",F3,0)),
  "PG48",
  IF(
   ISNUMBER(MATCH("*MG63*",F3,0)),
   "MG63",
   IF(
    ISNUMBER(MATCH("*У479*",F3,0)),
    "У479",
    IF(
     ISNUMBER(MATCH("*У480*",F3,0)),
     "У480",
     0
    )
   )
  )
 )
)</f>
        <v>0</v>
      </c>
      <c r="I3" s="543" t="str">
        <f>A3&amp;" "&amp;D3</f>
        <v>- 2x0,5</v>
      </c>
      <c r="J3" s="1087" t="str">
        <f t="shared" ref="J3" si="1">J4</f>
        <v>PG13</v>
      </c>
      <c r="K3" s="930"/>
      <c r="L3" s="296" t="s">
        <v>30</v>
      </c>
      <c r="M3" s="296" t="s">
        <v>30</v>
      </c>
      <c r="N3" s="296" t="s">
        <v>30</v>
      </c>
      <c r="O3" s="296" t="s">
        <v>30</v>
      </c>
      <c r="Q3" s="597" t="s">
        <v>228</v>
      </c>
      <c r="R3" s="598">
        <v>35</v>
      </c>
      <c r="S3" s="599" t="s">
        <v>256</v>
      </c>
      <c r="U3" s="929" t="s">
        <v>828</v>
      </c>
      <c r="V3" s="296" t="s">
        <v>420</v>
      </c>
    </row>
    <row r="4" spans="1:22" x14ac:dyDescent="0.2">
      <c r="A4" s="121" t="s">
        <v>905</v>
      </c>
      <c r="B4" s="121">
        <v>2</v>
      </c>
      <c r="C4" s="121">
        <v>0.5</v>
      </c>
      <c r="D4" s="121" t="str">
        <f t="shared" si="0"/>
        <v>2x0,5</v>
      </c>
      <c r="E4" s="121">
        <v>8.5</v>
      </c>
      <c r="F4" s="121" t="s">
        <v>197</v>
      </c>
      <c r="G4" s="5" t="str">
        <f>IF(
 ISNUMBER(MATCH("*PG13*",F4,0)),
 "PG13",
 IF(
  ISNUMBER(MATCH("*PG16*",F4,0)),
  "PG16",
  IF(
   ISNUMBER(MATCH("*PG21*",F4,0)),
   "PG21",
   IF(
    ISNUMBER(MATCH("*PG29*",F4,0)),
    "PG29",
    IF(
     ISNUMBER(MATCH("*PG36*",F4,0)),
     "PG36",
     0
    )
   )
  )
 )
)</f>
        <v>PG13</v>
      </c>
      <c r="H4" s="5">
        <f>IF(
 ISNUMBER(MATCH("*PG42*",F4,0)),
 "PG42",
 IF(
  ISNUMBER(MATCH("*PG48*",F4,0)),
  "PG48",
  IF(
   ISNUMBER(MATCH("*MG63*",F4,0)),
   "MG63",
   IF(
    ISNUMBER(MATCH("*У479*",F4,0)),
    "У479",
    IF(
     ISNUMBER(MATCH("*У480*",F4,0)),
     "У480",
     0
    )
   )
  )
 )
)</f>
        <v>0</v>
      </c>
      <c r="I4" s="126" t="str">
        <f>A4&amp;" "&amp;D4</f>
        <v>КУГПЭПнг(А)-НГ 2x0,5</v>
      </c>
      <c r="J4" s="5" t="str">
        <f>IF(G4=0,H4,G4)</f>
        <v>PG13</v>
      </c>
      <c r="K4" s="22"/>
      <c r="L4" s="296" t="s">
        <v>912</v>
      </c>
      <c r="M4" s="296" t="s">
        <v>912</v>
      </c>
      <c r="N4" s="296" t="s">
        <v>912</v>
      </c>
      <c r="O4" s="296" t="s">
        <v>912</v>
      </c>
      <c r="Q4" s="600" t="s">
        <v>227</v>
      </c>
      <c r="R4" s="601">
        <v>38</v>
      </c>
      <c r="S4" s="602" t="s">
        <v>257</v>
      </c>
      <c r="U4" s="929" t="s">
        <v>830</v>
      </c>
      <c r="V4" s="296" t="s">
        <v>419</v>
      </c>
    </row>
    <row r="5" spans="1:22" x14ac:dyDescent="0.2">
      <c r="A5" s="121" t="s">
        <v>30</v>
      </c>
      <c r="B5" s="121">
        <v>2</v>
      </c>
      <c r="C5" s="121">
        <v>0.8</v>
      </c>
      <c r="D5" s="121" t="str">
        <f t="shared" si="0"/>
        <v>2x0,8</v>
      </c>
      <c r="E5" s="121">
        <v>0</v>
      </c>
      <c r="F5" s="296" t="str">
        <f t="shared" ref="F5:F7" si="2">F6</f>
        <v>18153414  САЛЬНИК PG16, ДИАМЕТР ПРОВОДНИКА 9...13 ММ ТУ 3449-110-18461115-03</v>
      </c>
      <c r="G5" s="1087" t="str">
        <f t="shared" ref="G5:G7" si="3">G6</f>
        <v>PG16</v>
      </c>
      <c r="H5" s="1087">
        <f t="shared" ref="H5:H7" si="4">IF(
 ISNUMBER(MATCH("*PG42*",F5,0)),
 "PG42",
 IF(
  ISNUMBER(MATCH("*PG48*",F5,0)),
  "PG48",
  IF(
   ISNUMBER(MATCH("*MG63*",F5,0)),
   "MG63",
   IF(
    ISNUMBER(MATCH("*У479*",F5,0)),
    "У479",
    IF(
     ISNUMBER(MATCH("*У480*",F5,0)),
     "У480",
     0
    )
   )
  )
 )
)</f>
        <v>0</v>
      </c>
      <c r="I5" s="543" t="str">
        <f t="shared" ref="I5:I7" si="5">A5&amp;" "&amp;D5</f>
        <v>- 2x0,8</v>
      </c>
      <c r="J5" s="1087" t="str">
        <f t="shared" ref="J5:J7" si="6">J6</f>
        <v>PG16</v>
      </c>
      <c r="K5" s="22"/>
      <c r="L5" s="296" t="s">
        <v>913</v>
      </c>
      <c r="M5" s="296" t="s">
        <v>913</v>
      </c>
      <c r="N5" s="296" t="s">
        <v>913</v>
      </c>
      <c r="O5" s="296" t="s">
        <v>913</v>
      </c>
      <c r="Q5" s="600" t="s">
        <v>226</v>
      </c>
      <c r="R5" s="601">
        <v>44</v>
      </c>
      <c r="S5" s="602" t="s">
        <v>258</v>
      </c>
      <c r="U5" s="929" t="s">
        <v>829</v>
      </c>
      <c r="V5" s="296" t="s">
        <v>417</v>
      </c>
    </row>
    <row r="6" spans="1:22" x14ac:dyDescent="0.2">
      <c r="A6" s="121" t="s">
        <v>30</v>
      </c>
      <c r="B6" s="121">
        <v>2</v>
      </c>
      <c r="C6" s="121">
        <v>1</v>
      </c>
      <c r="D6" s="121" t="str">
        <f t="shared" si="0"/>
        <v>2x1</v>
      </c>
      <c r="E6" s="121">
        <v>0</v>
      </c>
      <c r="F6" s="296" t="str">
        <f t="shared" si="2"/>
        <v>18153414  САЛЬНИК PG16, ДИАМЕТР ПРОВОДНИКА 9...13 ММ ТУ 3449-110-18461115-03</v>
      </c>
      <c r="G6" s="1087" t="str">
        <f t="shared" si="3"/>
        <v>PG16</v>
      </c>
      <c r="H6" s="1087">
        <f t="shared" si="4"/>
        <v>0</v>
      </c>
      <c r="I6" s="543" t="str">
        <f t="shared" si="5"/>
        <v>- 2x1</v>
      </c>
      <c r="J6" s="1087" t="str">
        <f t="shared" si="6"/>
        <v>PG16</v>
      </c>
      <c r="K6" s="22"/>
      <c r="L6" s="296" t="s">
        <v>914</v>
      </c>
      <c r="M6" s="296" t="s">
        <v>914</v>
      </c>
      <c r="N6" s="296" t="s">
        <v>914</v>
      </c>
      <c r="O6" s="296" t="s">
        <v>914</v>
      </c>
      <c r="Q6" s="600" t="s">
        <v>225</v>
      </c>
      <c r="R6" s="601">
        <v>55</v>
      </c>
      <c r="S6" s="602" t="s">
        <v>259</v>
      </c>
    </row>
    <row r="7" spans="1:22" x14ac:dyDescent="0.2">
      <c r="A7" s="121" t="s">
        <v>30</v>
      </c>
      <c r="B7" s="121">
        <v>2</v>
      </c>
      <c r="C7" s="121">
        <v>1.5</v>
      </c>
      <c r="D7" s="121" t="str">
        <f t="shared" si="0"/>
        <v>2x1,5</v>
      </c>
      <c r="E7" s="121">
        <v>0</v>
      </c>
      <c r="F7" s="296" t="str">
        <f t="shared" si="2"/>
        <v>18153414  САЛЬНИК PG16, ДИАМЕТР ПРОВОДНИКА 9...13 ММ ТУ 3449-110-18461115-03</v>
      </c>
      <c r="G7" s="1087" t="str">
        <f t="shared" si="3"/>
        <v>PG16</v>
      </c>
      <c r="H7" s="1087">
        <f t="shared" si="4"/>
        <v>0</v>
      </c>
      <c r="I7" s="543" t="str">
        <f t="shared" si="5"/>
        <v>- 2x1,5</v>
      </c>
      <c r="J7" s="1087" t="str">
        <f t="shared" si="6"/>
        <v>PG16</v>
      </c>
      <c r="K7" s="22"/>
      <c r="L7" s="296" t="s">
        <v>369</v>
      </c>
      <c r="M7" s="296" t="s">
        <v>369</v>
      </c>
      <c r="N7" s="296" t="s">
        <v>369</v>
      </c>
      <c r="O7" s="296" t="s">
        <v>369</v>
      </c>
      <c r="Q7" s="600" t="s">
        <v>224</v>
      </c>
      <c r="R7" s="601">
        <v>70</v>
      </c>
      <c r="S7" s="602" t="s">
        <v>260</v>
      </c>
    </row>
    <row r="8" spans="1:22" x14ac:dyDescent="0.2">
      <c r="A8" s="121" t="s">
        <v>213</v>
      </c>
      <c r="B8" s="121">
        <v>2</v>
      </c>
      <c r="C8" s="121">
        <v>1.5</v>
      </c>
      <c r="D8" s="121" t="str">
        <f t="shared" si="0"/>
        <v>2x1,5</v>
      </c>
      <c r="E8" s="121">
        <v>11.1</v>
      </c>
      <c r="F8" s="121" t="s">
        <v>195</v>
      </c>
      <c r="G8" s="5" t="str">
        <f>IF(
 ISNUMBER(MATCH("*PG13*",F8,0)),
 "PG13",
 IF(
  ISNUMBER(MATCH("*PG16*",F8,0)),
  "PG16",
  IF(
   ISNUMBER(MATCH("*PG21*",F8,0)),
   "PG21",
   IF(
    ISNUMBER(MATCH("*PG29*",F8,0)),
    "PG29",
    IF(
     ISNUMBER(MATCH("*PG36*",F8,0)),
     "PG36",
     0
    )
   )
  )
 )
)</f>
        <v>PG16</v>
      </c>
      <c r="H8" s="5">
        <f t="shared" ref="H8:H49" si="7">IF(
 ISNUMBER(MATCH("*PG42*",F8,0)),
 "PG42",
 IF(
  ISNUMBER(MATCH("*PG48*",F8,0)),
  "PG48",
  IF(
   ISNUMBER(MATCH("*MG63*",F8,0)),
   "MG63",
   IF(
    ISNUMBER(MATCH("*У479*",F8,0)),
    "У479",
    IF(
     ISNUMBER(MATCH("*У480*",F8,0)),
     "У480",
     0
    )
   )
  )
 )
)</f>
        <v>0</v>
      </c>
      <c r="I8" s="126" t="str">
        <f t="shared" ref="I8:I49" si="8">A8&amp;" "&amp;D8</f>
        <v>ППГнг-НF 2x1,5</v>
      </c>
      <c r="J8" s="5" t="str">
        <f>IF(G8=0,H8,G8)</f>
        <v>PG16</v>
      </c>
      <c r="K8" s="22"/>
      <c r="L8" s="296" t="s">
        <v>370</v>
      </c>
      <c r="M8" s="296" t="s">
        <v>370</v>
      </c>
      <c r="N8" s="296" t="s">
        <v>370</v>
      </c>
      <c r="O8" s="296" t="s">
        <v>370</v>
      </c>
      <c r="Q8" s="600" t="s">
        <v>223</v>
      </c>
      <c r="R8" s="601">
        <v>75</v>
      </c>
      <c r="S8" s="602" t="s">
        <v>261</v>
      </c>
    </row>
    <row r="9" spans="1:22" x14ac:dyDescent="0.2">
      <c r="A9" s="121" t="s">
        <v>202</v>
      </c>
      <c r="B9" s="121">
        <v>2</v>
      </c>
      <c r="C9" s="121">
        <v>1.5</v>
      </c>
      <c r="D9" s="121" t="str">
        <f t="shared" si="0"/>
        <v>2x1,5</v>
      </c>
      <c r="E9" s="121">
        <v>20.3</v>
      </c>
      <c r="F9" s="121" t="s">
        <v>193</v>
      </c>
      <c r="G9" s="5" t="str">
        <f>IF(
 ISNUMBER(MATCH("*PG13*",F9,0)),
 "PG13",
 IF(
  ISNUMBER(MATCH("*PG16*",F9,0)),
  "PG16",
  IF(
   ISNUMBER(MATCH("*PG21*",F9,0)),
   "PG21",
   IF(
    ISNUMBER(MATCH("*PG29*",F9,0)),
    "PG29",
    IF(
     ISNUMBER(MATCH("*PG36*",F9,0)),
     "PG36",
     0
    )
   )
  )
 )
)</f>
        <v>PG29</v>
      </c>
      <c r="H9" s="5">
        <f t="shared" si="7"/>
        <v>0</v>
      </c>
      <c r="I9" s="126" t="str">
        <f t="shared" si="8"/>
        <v>Герда-КВКнг-LS 2x1,5</v>
      </c>
      <c r="J9" s="5" t="str">
        <f>IF(G9=0,H9,G9)</f>
        <v>PG29</v>
      </c>
      <c r="K9" s="22"/>
      <c r="L9" s="296" t="s">
        <v>371</v>
      </c>
      <c r="M9" s="296" t="s">
        <v>371</v>
      </c>
      <c r="N9" s="296" t="s">
        <v>371</v>
      </c>
      <c r="O9" s="296" t="s">
        <v>371</v>
      </c>
      <c r="Q9" s="600" t="s">
        <v>222</v>
      </c>
      <c r="R9" s="601">
        <v>82</v>
      </c>
      <c r="S9" s="602" t="s">
        <v>262</v>
      </c>
    </row>
    <row r="10" spans="1:22" x14ac:dyDescent="0.2">
      <c r="A10" s="121" t="s">
        <v>30</v>
      </c>
      <c r="B10" s="121">
        <v>2</v>
      </c>
      <c r="C10" s="121">
        <v>2.5</v>
      </c>
      <c r="D10" s="121" t="str">
        <f t="shared" si="0"/>
        <v>2x2,5</v>
      </c>
      <c r="E10" s="121">
        <v>0</v>
      </c>
      <c r="F10" s="296" t="str">
        <f>F11</f>
        <v>18153413  САЛЬНИК PG13.5, ДИАМЕТР ПРОВОДНИКА 7...11 ММ ТУ 3449-110-18461115-03</v>
      </c>
      <c r="G10" s="1087" t="str">
        <f>G11</f>
        <v>PG13</v>
      </c>
      <c r="H10" s="1087">
        <f t="shared" si="7"/>
        <v>0</v>
      </c>
      <c r="I10" s="543" t="str">
        <f t="shared" si="8"/>
        <v>- 2x2,5</v>
      </c>
      <c r="J10" s="1087" t="str">
        <f t="shared" ref="J10" si="9">J11</f>
        <v>PG13</v>
      </c>
      <c r="K10" s="22"/>
      <c r="L10" s="296" t="s">
        <v>372</v>
      </c>
      <c r="M10" s="296" t="s">
        <v>372</v>
      </c>
      <c r="N10" s="296" t="s">
        <v>372</v>
      </c>
      <c r="O10" s="296" t="s">
        <v>372</v>
      </c>
      <c r="Q10" s="600" t="s">
        <v>220</v>
      </c>
      <c r="R10" s="601">
        <v>88</v>
      </c>
      <c r="S10" s="602" t="s">
        <v>263</v>
      </c>
    </row>
    <row r="11" spans="1:22" ht="13.5" thickBot="1" x14ac:dyDescent="0.25">
      <c r="A11" s="958" t="s">
        <v>159</v>
      </c>
      <c r="B11" s="121">
        <v>2</v>
      </c>
      <c r="C11" s="121">
        <v>2.5</v>
      </c>
      <c r="D11" s="121" t="str">
        <f t="shared" si="0"/>
        <v>2x2,5</v>
      </c>
      <c r="E11" s="121">
        <v>8.4</v>
      </c>
      <c r="F11" s="121" t="s">
        <v>197</v>
      </c>
      <c r="G11" s="5" t="str">
        <f>IF(
 ISNUMBER(MATCH("*PG13*",F11,0)),
 "PG13",
 IF(
  ISNUMBER(MATCH("*PG16*",F11,0)),
  "PG16",
  IF(
   ISNUMBER(MATCH("*PG21*",F11,0)),
   "PG21",
   IF(
    ISNUMBER(MATCH("*PG29*",F11,0)),
    "PG29",
    IF(
     ISNUMBER(MATCH("*PG36*",F11,0)),
     "PG36",
     0
    )
   )
  )
 )
)</f>
        <v>PG13</v>
      </c>
      <c r="H11" s="5">
        <f t="shared" si="7"/>
        <v>0</v>
      </c>
      <c r="I11" s="126" t="str">
        <f t="shared" si="8"/>
        <v>ВВГнг-LS 2x2,5</v>
      </c>
      <c r="J11" s="5" t="str">
        <f>IF(G11=0,H11,G11)</f>
        <v>PG13</v>
      </c>
      <c r="K11" s="22"/>
      <c r="L11" s="296" t="s">
        <v>373</v>
      </c>
      <c r="M11" s="296" t="s">
        <v>373</v>
      </c>
      <c r="N11" s="296" t="s">
        <v>373</v>
      </c>
      <c r="O11" s="296" t="s">
        <v>373</v>
      </c>
      <c r="Q11" s="603" t="s">
        <v>221</v>
      </c>
      <c r="R11" s="604">
        <v>122</v>
      </c>
      <c r="S11" s="605" t="s">
        <v>264</v>
      </c>
    </row>
    <row r="12" spans="1:22" x14ac:dyDescent="0.2">
      <c r="A12" s="296" t="s">
        <v>725</v>
      </c>
      <c r="B12" s="296">
        <v>2</v>
      </c>
      <c r="C12" s="296">
        <v>2.5</v>
      </c>
      <c r="D12" s="296" t="str">
        <f t="shared" si="0"/>
        <v>2x2,5</v>
      </c>
      <c r="E12" s="296">
        <v>11.7</v>
      </c>
      <c r="F12" s="296" t="s">
        <v>195</v>
      </c>
      <c r="G12" s="1087" t="str">
        <f>IF(
 ISNUMBER(MATCH("*PG13*",F12,0)),
 "PG13",
 IF(
  ISNUMBER(MATCH("*PG16*",F12,0)),
  "PG16",
  IF(
   ISNUMBER(MATCH("*PG21*",F12,0)),
   "PG21",
   IF(
    ISNUMBER(MATCH("*PG29*",F12,0)),
    "PG29",
    IF(
     ISNUMBER(MATCH("*PG36*",F12,0)),
     "PG36",
     0
    )
   )
  )
 )
)</f>
        <v>PG16</v>
      </c>
      <c r="H12" s="1087">
        <f t="shared" si="7"/>
        <v>0</v>
      </c>
      <c r="I12" s="543" t="str">
        <f t="shared" si="8"/>
        <v>ВВГнг(A)-LS 2x2,5</v>
      </c>
      <c r="J12" s="1087" t="str">
        <f>IF(G12=0,H12,G12)</f>
        <v>PG16</v>
      </c>
      <c r="K12" s="22"/>
      <c r="L12" s="296" t="s">
        <v>374</v>
      </c>
      <c r="M12" s="296" t="s">
        <v>374</v>
      </c>
      <c r="N12" s="296" t="s">
        <v>374</v>
      </c>
      <c r="O12" s="296" t="s">
        <v>374</v>
      </c>
    </row>
    <row r="13" spans="1:22" x14ac:dyDescent="0.2">
      <c r="A13" s="121" t="s">
        <v>201</v>
      </c>
      <c r="B13" s="121">
        <v>2</v>
      </c>
      <c r="C13" s="121">
        <v>2.5</v>
      </c>
      <c r="D13" s="121" t="str">
        <f t="shared" si="0"/>
        <v>2x2,5</v>
      </c>
      <c r="E13" s="121">
        <v>14</v>
      </c>
      <c r="F13" s="121" t="s">
        <v>194</v>
      </c>
      <c r="G13" s="5" t="str">
        <f>IF(
 ISNUMBER(MATCH("*PG13*",F13,0)),
 "PG13",
 IF(
  ISNUMBER(MATCH("*PG16*",F13,0)),
  "PG16",
  IF(
   ISNUMBER(MATCH("*PG21*",F13,0)),
   "PG21",
   IF(
    ISNUMBER(MATCH("*PG29*",F13,0)),
    "PG29",
    IF(
     ISNUMBER(MATCH("*PG36*",F13,0)),
     "PG36",
     0
    )
   )
  )
 )
)</f>
        <v>PG21</v>
      </c>
      <c r="H13" s="5">
        <f t="shared" si="7"/>
        <v>0</v>
      </c>
      <c r="I13" s="126" t="str">
        <f t="shared" si="8"/>
        <v>ВВГнг-FRLS 2x2,5</v>
      </c>
      <c r="J13" s="5" t="str">
        <f>IF(G13=0,H13,G13)</f>
        <v>PG21</v>
      </c>
      <c r="K13" s="22"/>
      <c r="L13" s="296" t="s">
        <v>375</v>
      </c>
      <c r="M13" s="296" t="s">
        <v>375</v>
      </c>
      <c r="N13" s="296" t="s">
        <v>375</v>
      </c>
      <c r="O13" s="296" t="s">
        <v>375</v>
      </c>
      <c r="Q13" s="934" t="s">
        <v>931</v>
      </c>
    </row>
    <row r="14" spans="1:22" x14ac:dyDescent="0.2">
      <c r="A14" s="121" t="s">
        <v>30</v>
      </c>
      <c r="B14" s="121">
        <v>2</v>
      </c>
      <c r="C14" s="121">
        <v>4</v>
      </c>
      <c r="D14" s="121" t="str">
        <f t="shared" si="0"/>
        <v>2x4</v>
      </c>
      <c r="E14" s="121">
        <v>0</v>
      </c>
      <c r="F14" s="296" t="str">
        <f>F15</f>
        <v>18153413  САЛЬНИК PG13.5, ДИАМЕТР ПРОВОДНИКА 7...11 ММ ТУ 3449-110-18461115-03</v>
      </c>
      <c r="G14" s="1087" t="str">
        <f>G15</f>
        <v>PG13</v>
      </c>
      <c r="H14" s="1087">
        <f t="shared" si="7"/>
        <v>0</v>
      </c>
      <c r="I14" s="543" t="str">
        <f t="shared" si="8"/>
        <v>- 2x4</v>
      </c>
      <c r="J14" s="1087" t="str">
        <f t="shared" ref="J14" si="10">J15</f>
        <v>PG13</v>
      </c>
      <c r="K14" s="22"/>
      <c r="L14" s="296" t="s">
        <v>376</v>
      </c>
      <c r="M14" s="296" t="s">
        <v>376</v>
      </c>
      <c r="N14" s="296" t="s">
        <v>376</v>
      </c>
      <c r="O14" s="296" t="s">
        <v>376</v>
      </c>
    </row>
    <row r="15" spans="1:22" x14ac:dyDescent="0.2">
      <c r="A15" s="121" t="s">
        <v>196</v>
      </c>
      <c r="B15" s="121">
        <v>2</v>
      </c>
      <c r="C15" s="121">
        <v>4</v>
      </c>
      <c r="D15" s="121" t="str">
        <f t="shared" si="0"/>
        <v>2x4</v>
      </c>
      <c r="E15" s="121">
        <v>10.3</v>
      </c>
      <c r="F15" s="121" t="s">
        <v>197</v>
      </c>
      <c r="G15" s="5" t="str">
        <f>IF(
 ISNUMBER(MATCH("*PG13*",F15,0)),
 "PG13",
 IF(
  ISNUMBER(MATCH("*PG16*",F15,0)),
  "PG16",
  IF(
   ISNUMBER(MATCH("*PG21*",F15,0)),
   "PG21",
   IF(
    ISNUMBER(MATCH("*PG29*",F15,0)),
    "PG29",
    IF(
     ISNUMBER(MATCH("*PG36*",F15,0)),
     "PG36",
     0
    )
   )
  )
 )
)</f>
        <v>PG13</v>
      </c>
      <c r="H15" s="5">
        <f t="shared" si="7"/>
        <v>0</v>
      </c>
      <c r="I15" s="126" t="str">
        <f t="shared" si="8"/>
        <v>АВВГнг-LS 2x4</v>
      </c>
      <c r="J15" s="5" t="str">
        <f>IF(G15=0,H15,G15)</f>
        <v>PG13</v>
      </c>
      <c r="K15" s="22"/>
      <c r="L15" s="296" t="s">
        <v>377</v>
      </c>
      <c r="M15" s="296" t="s">
        <v>377</v>
      </c>
      <c r="N15" s="296" t="s">
        <v>377</v>
      </c>
      <c r="O15" s="296" t="s">
        <v>377</v>
      </c>
      <c r="Q15" t="s">
        <v>1197</v>
      </c>
    </row>
    <row r="16" spans="1:22" x14ac:dyDescent="0.2">
      <c r="A16" s="121" t="s">
        <v>159</v>
      </c>
      <c r="B16" s="121">
        <v>2</v>
      </c>
      <c r="C16" s="121">
        <v>4</v>
      </c>
      <c r="D16" s="121" t="str">
        <f t="shared" si="0"/>
        <v>2x4</v>
      </c>
      <c r="E16" s="121">
        <v>11.5</v>
      </c>
      <c r="F16" s="121" t="s">
        <v>195</v>
      </c>
      <c r="G16" s="5" t="str">
        <f>IF(
 ISNUMBER(MATCH("*PG13*",F16,0)),
 "PG13",
 IF(
  ISNUMBER(MATCH("*PG16*",F16,0)),
  "PG16",
  IF(
   ISNUMBER(MATCH("*PG21*",F16,0)),
   "PG21",
   IF(
    ISNUMBER(MATCH("*PG29*",F16,0)),
    "PG29",
    IF(
     ISNUMBER(MATCH("*PG36*",F16,0)),
     "PG36",
     0
    )
   )
  )
 )
)</f>
        <v>PG16</v>
      </c>
      <c r="H16" s="5">
        <f t="shared" si="7"/>
        <v>0</v>
      </c>
      <c r="I16" s="126" t="str">
        <f t="shared" si="8"/>
        <v>ВВГнг-LS 2x4</v>
      </c>
      <c r="J16" s="5" t="str">
        <f>IF(G16=0,H16,G16)</f>
        <v>PG16</v>
      </c>
      <c r="K16" s="22"/>
      <c r="L16" s="296" t="s">
        <v>378</v>
      </c>
      <c r="M16" s="296" t="s">
        <v>378</v>
      </c>
      <c r="N16" s="296" t="s">
        <v>378</v>
      </c>
      <c r="O16" s="296" t="s">
        <v>378</v>
      </c>
    </row>
    <row r="17" spans="1:19" x14ac:dyDescent="0.2">
      <c r="A17" s="121" t="s">
        <v>30</v>
      </c>
      <c r="B17" s="121">
        <v>2</v>
      </c>
      <c r="C17" s="121">
        <v>6</v>
      </c>
      <c r="D17" s="121" t="str">
        <f t="shared" si="0"/>
        <v>2x6</v>
      </c>
      <c r="E17" s="121">
        <v>0</v>
      </c>
      <c r="F17" s="296" t="str">
        <f>F18</f>
        <v>18153414  САЛЬНИК PG16, ДИАМЕТР ПРОВОДНИКА 9...13 ММ ТУ 3449-110-18461115-03</v>
      </c>
      <c r="G17" s="1087" t="str">
        <f>G18</f>
        <v>PG16</v>
      </c>
      <c r="H17" s="1087">
        <f t="shared" si="7"/>
        <v>0</v>
      </c>
      <c r="I17" s="543" t="str">
        <f t="shared" si="8"/>
        <v>- 2x6</v>
      </c>
      <c r="J17" s="1087" t="str">
        <f t="shared" ref="J17" si="11">J18</f>
        <v>PG16</v>
      </c>
      <c r="K17" s="22"/>
      <c r="L17" s="296" t="s">
        <v>379</v>
      </c>
      <c r="M17" s="296" t="s">
        <v>379</v>
      </c>
      <c r="N17" s="296" t="s">
        <v>379</v>
      </c>
      <c r="O17" s="296" t="s">
        <v>379</v>
      </c>
    </row>
    <row r="18" spans="1:19" x14ac:dyDescent="0.2">
      <c r="A18" s="121" t="s">
        <v>196</v>
      </c>
      <c r="B18" s="121">
        <v>2</v>
      </c>
      <c r="C18" s="121">
        <v>6</v>
      </c>
      <c r="D18" s="121" t="str">
        <f t="shared" si="0"/>
        <v>2x6</v>
      </c>
      <c r="E18" s="121">
        <v>11.3</v>
      </c>
      <c r="F18" s="121" t="s">
        <v>195</v>
      </c>
      <c r="G18" s="5" t="str">
        <f>IF(
 ISNUMBER(MATCH("*PG13*",F18,0)),
 "PG13",
 IF(
  ISNUMBER(MATCH("*PG16*",F18,0)),
  "PG16",
  IF(
   ISNUMBER(MATCH("*PG21*",F18,0)),
   "PG21",
   IF(
    ISNUMBER(MATCH("*PG29*",F18,0)),
    "PG29",
    IF(
     ISNUMBER(MATCH("*PG36*",F18,0)),
     "PG36",
     0
    )
   )
  )
 )
)</f>
        <v>PG16</v>
      </c>
      <c r="H18" s="5">
        <f t="shared" si="7"/>
        <v>0</v>
      </c>
      <c r="I18" s="126" t="str">
        <f t="shared" si="8"/>
        <v>АВВГнг-LS 2x6</v>
      </c>
      <c r="J18" s="5" t="str">
        <f>IF(G18=0,H18,G18)</f>
        <v>PG16</v>
      </c>
      <c r="K18" s="22"/>
      <c r="L18" s="296" t="s">
        <v>380</v>
      </c>
      <c r="M18" s="296" t="s">
        <v>917</v>
      </c>
      <c r="N18" s="296" t="s">
        <v>917</v>
      </c>
      <c r="O18" s="296" t="s">
        <v>917</v>
      </c>
    </row>
    <row r="19" spans="1:19" x14ac:dyDescent="0.2">
      <c r="A19" s="121" t="s">
        <v>159</v>
      </c>
      <c r="B19" s="121">
        <v>2</v>
      </c>
      <c r="C19" s="121">
        <v>6</v>
      </c>
      <c r="D19" s="121" t="str">
        <f t="shared" si="0"/>
        <v>2x6</v>
      </c>
      <c r="E19" s="121">
        <v>13.7</v>
      </c>
      <c r="F19" s="121" t="s">
        <v>194</v>
      </c>
      <c r="G19" s="5" t="str">
        <f>IF(
 ISNUMBER(MATCH("*PG13*",F19,0)),
 "PG13",
 IF(
  ISNUMBER(MATCH("*PG16*",F19,0)),
  "PG16",
  IF(
   ISNUMBER(MATCH("*PG21*",F19,0)),
   "PG21",
   IF(
    ISNUMBER(MATCH("*PG29*",F19,0)),
    "PG29",
    IF(
     ISNUMBER(MATCH("*PG36*",F19,0)),
     "PG36",
     0
    )
   )
  )
 )
)</f>
        <v>PG21</v>
      </c>
      <c r="H19" s="5">
        <f t="shared" si="7"/>
        <v>0</v>
      </c>
      <c r="I19" s="126" t="str">
        <f t="shared" si="8"/>
        <v>ВВГнг-LS 2x6</v>
      </c>
      <c r="J19" s="5" t="str">
        <f>IF(G19=0,H19,G19)</f>
        <v>PG21</v>
      </c>
      <c r="K19" s="22"/>
      <c r="L19" s="296" t="s">
        <v>381</v>
      </c>
      <c r="M19" s="296" t="s">
        <v>918</v>
      </c>
      <c r="N19" s="296" t="s">
        <v>918</v>
      </c>
      <c r="O19" s="296" t="s">
        <v>918</v>
      </c>
    </row>
    <row r="20" spans="1:19" x14ac:dyDescent="0.2">
      <c r="A20" s="121" t="s">
        <v>201</v>
      </c>
      <c r="B20" s="121">
        <v>2</v>
      </c>
      <c r="C20" s="121">
        <v>6</v>
      </c>
      <c r="D20" s="121" t="str">
        <f t="shared" si="0"/>
        <v>2x6</v>
      </c>
      <c r="E20" s="121">
        <v>15.4</v>
      </c>
      <c r="F20" s="121" t="s">
        <v>194</v>
      </c>
      <c r="G20" s="5" t="str">
        <f>IF(
 ISNUMBER(MATCH("*PG13*",F20,0)),
 "PG13",
 IF(
  ISNUMBER(MATCH("*PG16*",F20,0)),
  "PG16",
  IF(
   ISNUMBER(MATCH("*PG21*",F20,0)),
   "PG21",
   IF(
    ISNUMBER(MATCH("*PG29*",F20,0)),
    "PG29",
    IF(
     ISNUMBER(MATCH("*PG36*",F20,0)),
     "PG36",
     0
    )
   )
  )
 )
)</f>
        <v>PG21</v>
      </c>
      <c r="H20" s="5">
        <f t="shared" si="7"/>
        <v>0</v>
      </c>
      <c r="I20" s="126" t="str">
        <f t="shared" si="8"/>
        <v>ВВГнг-FRLS 2x6</v>
      </c>
      <c r="J20" s="5" t="str">
        <f>IF(G20=0,H20,G20)</f>
        <v>PG21</v>
      </c>
      <c r="K20" s="22"/>
      <c r="L20" s="296" t="s">
        <v>382</v>
      </c>
      <c r="M20" s="296" t="s">
        <v>919</v>
      </c>
      <c r="N20" s="296" t="s">
        <v>919</v>
      </c>
      <c r="O20" s="296" t="s">
        <v>919</v>
      </c>
    </row>
    <row r="21" spans="1:19" x14ac:dyDescent="0.2">
      <c r="A21" s="121" t="s">
        <v>30</v>
      </c>
      <c r="B21" s="121">
        <v>2</v>
      </c>
      <c r="C21" s="121">
        <v>10</v>
      </c>
      <c r="D21" s="121" t="str">
        <f t="shared" si="0"/>
        <v>2x10</v>
      </c>
      <c r="E21" s="121">
        <v>0</v>
      </c>
      <c r="F21" s="296" t="str">
        <f>F22</f>
        <v>18153415  САЛЬНИК PG21, ДИАМЕТР ПРОВОДНИКА 15...18 ММ ТУ 3449-110-18461115-03</v>
      </c>
      <c r="G21" s="1087" t="str">
        <f>G22</f>
        <v>PG21</v>
      </c>
      <c r="H21" s="1087">
        <f t="shared" si="7"/>
        <v>0</v>
      </c>
      <c r="I21" s="543" t="str">
        <f t="shared" si="8"/>
        <v>- 2x10</v>
      </c>
      <c r="J21" s="1087" t="str">
        <f t="shared" ref="J21" si="12">J22</f>
        <v>PG21</v>
      </c>
      <c r="K21" s="22"/>
      <c r="L21" s="296" t="s">
        <v>915</v>
      </c>
      <c r="M21" s="296" t="s">
        <v>383</v>
      </c>
      <c r="N21" s="296" t="s">
        <v>383</v>
      </c>
      <c r="O21" s="296" t="s">
        <v>383</v>
      </c>
    </row>
    <row r="22" spans="1:19" x14ac:dyDescent="0.2">
      <c r="A22" s="121" t="s">
        <v>896</v>
      </c>
      <c r="B22" s="121">
        <v>2</v>
      </c>
      <c r="C22" s="121">
        <v>10</v>
      </c>
      <c r="D22" s="121" t="str">
        <f t="shared" si="0"/>
        <v>2x10</v>
      </c>
      <c r="E22" s="121">
        <v>13.3</v>
      </c>
      <c r="F22" s="121" t="s">
        <v>194</v>
      </c>
      <c r="G22" s="5" t="str">
        <f>IF(
 ISNUMBER(MATCH("*PG13*",F22,0)),
 "PG13",
 IF(
  ISNUMBER(MATCH("*PG16*",F22,0)),
  "PG16",
  IF(
   ISNUMBER(MATCH("*PG21*",F22,0)),
   "PG21",
   IF(
    ISNUMBER(MATCH("*PG29*",F22,0)),
    "PG29",
    IF(
     ISNUMBER(MATCH("*PG36*",F22,0)),
     "PG36",
     0
    )
   )
  )
 )
)</f>
        <v>PG21</v>
      </c>
      <c r="H22" s="5">
        <f t="shared" si="7"/>
        <v>0</v>
      </c>
      <c r="I22" s="126" t="str">
        <f t="shared" si="8"/>
        <v>АВВГНг 2x10</v>
      </c>
      <c r="J22" s="5" t="str">
        <f>IF(G22=0,H22,G22)</f>
        <v>PG21</v>
      </c>
      <c r="K22" s="22"/>
      <c r="L22" s="296" t="s">
        <v>916</v>
      </c>
      <c r="M22" s="296" t="s">
        <v>384</v>
      </c>
      <c r="N22" s="296" t="s">
        <v>384</v>
      </c>
      <c r="O22" s="296" t="s">
        <v>384</v>
      </c>
      <c r="S22" s="930"/>
    </row>
    <row r="23" spans="1:19" x14ac:dyDescent="0.2">
      <c r="A23" s="121" t="s">
        <v>898</v>
      </c>
      <c r="B23" s="121">
        <v>2</v>
      </c>
      <c r="C23" s="121">
        <v>10</v>
      </c>
      <c r="D23" s="121" t="str">
        <f t="shared" si="0"/>
        <v>2x10</v>
      </c>
      <c r="E23" s="121">
        <v>13.3</v>
      </c>
      <c r="F23" s="121" t="s">
        <v>194</v>
      </c>
      <c r="G23" s="5" t="str">
        <f>IF(
 ISNUMBER(MATCH("*PG13*",F23,0)),
 "PG13",
 IF(
  ISNUMBER(MATCH("*PG16*",F23,0)),
  "PG16",
  IF(
   ISNUMBER(MATCH("*PG21*",F23,0)),
   "PG21",
   IF(
    ISNUMBER(MATCH("*PG29*",F23,0)),
    "PG29",
    IF(
     ISNUMBER(MATCH("*PG36*",F23,0)),
     "PG36",
     0
    )
   )
  )
 )
)</f>
        <v>PG21</v>
      </c>
      <c r="H23" s="5">
        <f t="shared" si="7"/>
        <v>0</v>
      </c>
      <c r="I23" s="126" t="str">
        <f t="shared" si="8"/>
        <v>ВВГНг 2x10</v>
      </c>
      <c r="J23" s="5" t="str">
        <f>IF(G23=0,H23,G23)</f>
        <v>PG21</v>
      </c>
      <c r="K23" s="22"/>
      <c r="L23" s="296" t="s">
        <v>917</v>
      </c>
      <c r="M23" s="296" t="s">
        <v>385</v>
      </c>
      <c r="N23" s="296" t="s">
        <v>385</v>
      </c>
      <c r="O23" s="296" t="s">
        <v>385</v>
      </c>
    </row>
    <row r="24" spans="1:19" x14ac:dyDescent="0.2">
      <c r="A24" s="121" t="s">
        <v>196</v>
      </c>
      <c r="B24" s="121">
        <v>2</v>
      </c>
      <c r="C24" s="121">
        <v>10</v>
      </c>
      <c r="D24" s="121" t="str">
        <f t="shared" si="0"/>
        <v>2x10</v>
      </c>
      <c r="E24" s="121">
        <v>13.7</v>
      </c>
      <c r="F24" s="121" t="s">
        <v>194</v>
      </c>
      <c r="G24" s="5" t="str">
        <f>IF(
 ISNUMBER(MATCH("*PG13*",F24,0)),
 "PG13",
 IF(
  ISNUMBER(MATCH("*PG16*",F24,0)),
  "PG16",
  IF(
   ISNUMBER(MATCH("*PG21*",F24,0)),
   "PG21",
   IF(
    ISNUMBER(MATCH("*PG29*",F24,0)),
    "PG29",
    IF(
     ISNUMBER(MATCH("*PG36*",F24,0)),
     "PG36",
     0
    )
   )
  )
 )
)</f>
        <v>PG21</v>
      </c>
      <c r="H24" s="5">
        <f t="shared" si="7"/>
        <v>0</v>
      </c>
      <c r="I24" s="126" t="str">
        <f t="shared" si="8"/>
        <v>АВВГнг-LS 2x10</v>
      </c>
      <c r="J24" s="5" t="str">
        <f>IF(G24=0,H24,G24)</f>
        <v>PG21</v>
      </c>
      <c r="K24" s="22"/>
      <c r="L24" s="296" t="s">
        <v>918</v>
      </c>
      <c r="M24" s="296" t="s">
        <v>386</v>
      </c>
      <c r="N24" s="296" t="s">
        <v>386</v>
      </c>
      <c r="O24" s="296" t="s">
        <v>386</v>
      </c>
    </row>
    <row r="25" spans="1:19" x14ac:dyDescent="0.2">
      <c r="A25" s="121" t="s">
        <v>201</v>
      </c>
      <c r="B25" s="121">
        <v>2</v>
      </c>
      <c r="C25" s="121">
        <v>10</v>
      </c>
      <c r="D25" s="121" t="str">
        <f t="shared" si="0"/>
        <v>2x10</v>
      </c>
      <c r="E25" s="121">
        <v>18.8</v>
      </c>
      <c r="F25" s="121" t="s">
        <v>193</v>
      </c>
      <c r="G25" s="5" t="str">
        <f>IF(
 ISNUMBER(MATCH("*PG13*",F25,0)),
 "PG13",
 IF(
  ISNUMBER(MATCH("*PG16*",F25,0)),
  "PG16",
  IF(
   ISNUMBER(MATCH("*PG21*",F25,0)),
   "PG21",
   IF(
    ISNUMBER(MATCH("*PG29*",F25,0)),
    "PG29",
    IF(
     ISNUMBER(MATCH("*PG36*",F25,0)),
     "PG36",
     0
    )
   )
  )
 )
)</f>
        <v>PG29</v>
      </c>
      <c r="H25" s="5">
        <f t="shared" si="7"/>
        <v>0</v>
      </c>
      <c r="I25" s="126" t="str">
        <f t="shared" si="8"/>
        <v>ВВГнг-FRLS 2x10</v>
      </c>
      <c r="J25" s="5" t="str">
        <f>IF(G25=0,H25,G25)</f>
        <v>PG29</v>
      </c>
      <c r="K25" s="22"/>
      <c r="L25" s="296" t="s">
        <v>919</v>
      </c>
      <c r="M25" s="296" t="s">
        <v>387</v>
      </c>
      <c r="N25" s="296" t="s">
        <v>387</v>
      </c>
      <c r="O25" s="296" t="s">
        <v>387</v>
      </c>
    </row>
    <row r="26" spans="1:19" x14ac:dyDescent="0.2">
      <c r="A26" s="121" t="s">
        <v>159</v>
      </c>
      <c r="B26" s="121">
        <v>2</v>
      </c>
      <c r="C26" s="121">
        <v>10</v>
      </c>
      <c r="D26" s="121" t="str">
        <f t="shared" si="0"/>
        <v>2x10</v>
      </c>
      <c r="E26" s="121">
        <v>20</v>
      </c>
      <c r="F26" s="121" t="s">
        <v>193</v>
      </c>
      <c r="G26" s="5" t="str">
        <f>IF(
 ISNUMBER(MATCH("*PG13*",F26,0)),
 "PG13",
 IF(
  ISNUMBER(MATCH("*PG16*",F26,0)),
  "PG16",
  IF(
   ISNUMBER(MATCH("*PG21*",F26,0)),
   "PG21",
   IF(
    ISNUMBER(MATCH("*PG29*",F26,0)),
    "PG29",
    IF(
     ISNUMBER(MATCH("*PG36*",F26,0)),
     "PG36",
     0
    )
   )
  )
 )
)</f>
        <v>PG29</v>
      </c>
      <c r="H26" s="5">
        <f t="shared" si="7"/>
        <v>0</v>
      </c>
      <c r="I26" s="126" t="str">
        <f t="shared" si="8"/>
        <v>ВВГнг-LS 2x10</v>
      </c>
      <c r="J26" s="5" t="str">
        <f>IF(G26=0,H26,G26)</f>
        <v>PG29</v>
      </c>
      <c r="K26" s="22"/>
      <c r="L26" s="296" t="s">
        <v>383</v>
      </c>
      <c r="M26" s="296" t="s">
        <v>388</v>
      </c>
      <c r="N26" s="296" t="s">
        <v>388</v>
      </c>
      <c r="O26" s="296" t="s">
        <v>388</v>
      </c>
    </row>
    <row r="27" spans="1:19" x14ac:dyDescent="0.2">
      <c r="A27" s="121" t="s">
        <v>30</v>
      </c>
      <c r="B27" s="121">
        <v>2</v>
      </c>
      <c r="C27" s="121">
        <v>16</v>
      </c>
      <c r="D27" s="121" t="str">
        <f t="shared" si="0"/>
        <v>2x16</v>
      </c>
      <c r="E27" s="121">
        <v>0</v>
      </c>
      <c r="F27" s="296" t="str">
        <f>F28</f>
        <v>18153415  САЛЬНИК PG21, ДИАМЕТР ПРОВОДНИКА 15...18 ММ ТУ 3449-110-18461115-03</v>
      </c>
      <c r="G27" s="1087" t="str">
        <f>G28</f>
        <v>PG21</v>
      </c>
      <c r="H27" s="1087">
        <f t="shared" si="7"/>
        <v>0</v>
      </c>
      <c r="I27" s="543" t="str">
        <f t="shared" si="8"/>
        <v>- 2x16</v>
      </c>
      <c r="J27" s="1087" t="str">
        <f t="shared" ref="J27" si="13">J28</f>
        <v>PG21</v>
      </c>
      <c r="K27" s="22"/>
      <c r="L27" s="296" t="s">
        <v>384</v>
      </c>
      <c r="M27" s="296" t="s">
        <v>389</v>
      </c>
      <c r="N27" s="296" t="s">
        <v>389</v>
      </c>
      <c r="O27" s="296" t="s">
        <v>389</v>
      </c>
    </row>
    <row r="28" spans="1:19" x14ac:dyDescent="0.2">
      <c r="A28" s="121" t="s">
        <v>896</v>
      </c>
      <c r="B28" s="121">
        <v>2</v>
      </c>
      <c r="C28" s="121">
        <v>16</v>
      </c>
      <c r="D28" s="121" t="str">
        <f t="shared" si="0"/>
        <v>2x16</v>
      </c>
      <c r="E28" s="121">
        <v>15.2</v>
      </c>
      <c r="F28" s="121" t="s">
        <v>194</v>
      </c>
      <c r="G28" s="5" t="str">
        <f>IF(
 ISNUMBER(MATCH("*PG13*",F28,0)),
 "PG13",
 IF(
  ISNUMBER(MATCH("*PG16*",F28,0)),
  "PG16",
  IF(
   ISNUMBER(MATCH("*PG21*",F28,0)),
   "PG21",
   IF(
    ISNUMBER(MATCH("*PG29*",F28,0)),
    "PG29",
    IF(
     ISNUMBER(MATCH("*PG36*",F28,0)),
     "PG36",
     0
    )
   )
  )
 )
)</f>
        <v>PG21</v>
      </c>
      <c r="H28" s="5">
        <f t="shared" si="7"/>
        <v>0</v>
      </c>
      <c r="I28" s="126" t="str">
        <f t="shared" si="8"/>
        <v>АВВГНг 2x16</v>
      </c>
      <c r="J28" s="5" t="str">
        <f>IF(G28=0,H28,G28)</f>
        <v>PG21</v>
      </c>
      <c r="K28" s="22"/>
      <c r="L28" s="296" t="s">
        <v>385</v>
      </c>
      <c r="M28" s="296" t="s">
        <v>390</v>
      </c>
      <c r="N28" s="296" t="s">
        <v>390</v>
      </c>
      <c r="O28" s="296" t="s">
        <v>390</v>
      </c>
    </row>
    <row r="29" spans="1:19" x14ac:dyDescent="0.2">
      <c r="A29" s="121" t="s">
        <v>898</v>
      </c>
      <c r="B29" s="121">
        <v>2</v>
      </c>
      <c r="C29" s="121">
        <v>16</v>
      </c>
      <c r="D29" s="121" t="str">
        <f t="shared" si="0"/>
        <v>2x16</v>
      </c>
      <c r="E29" s="121">
        <v>15.8</v>
      </c>
      <c r="F29" s="121" t="s">
        <v>194</v>
      </c>
      <c r="G29" s="5" t="str">
        <f>IF(
 ISNUMBER(MATCH("*PG13*",F29,0)),
 "PG13",
 IF(
  ISNUMBER(MATCH("*PG16*",F29,0)),
  "PG16",
  IF(
   ISNUMBER(MATCH("*PG21*",F29,0)),
   "PG21",
   IF(
    ISNUMBER(MATCH("*PG29*",F29,0)),
    "PG29",
    IF(
     ISNUMBER(MATCH("*PG36*",F29,0)),
     "PG36",
     0
    )
   )
  )
 )
)</f>
        <v>PG21</v>
      </c>
      <c r="H29" s="5">
        <f t="shared" si="7"/>
        <v>0</v>
      </c>
      <c r="I29" s="126" t="str">
        <f t="shared" si="8"/>
        <v>ВВГНг 2x16</v>
      </c>
      <c r="J29" s="5" t="str">
        <f>IF(G29=0,H29,G29)</f>
        <v>PG21</v>
      </c>
      <c r="K29" s="22"/>
      <c r="L29" s="296" t="s">
        <v>386</v>
      </c>
      <c r="M29" s="296" t="s">
        <v>391</v>
      </c>
      <c r="N29" s="296" t="s">
        <v>391</v>
      </c>
      <c r="O29" s="933" t="s">
        <v>391</v>
      </c>
    </row>
    <row r="30" spans="1:19" x14ac:dyDescent="0.2">
      <c r="A30" s="121" t="s">
        <v>159</v>
      </c>
      <c r="B30" s="121">
        <v>2</v>
      </c>
      <c r="C30" s="121">
        <v>16</v>
      </c>
      <c r="D30" s="121" t="str">
        <f t="shared" si="0"/>
        <v>2x16</v>
      </c>
      <c r="E30" s="121">
        <v>22</v>
      </c>
      <c r="F30" s="121" t="s">
        <v>193</v>
      </c>
      <c r="G30" s="5" t="str">
        <f>IF(
 ISNUMBER(MATCH("*PG13*",F30,0)),
 "PG13",
 IF(
  ISNUMBER(MATCH("*PG16*",F30,0)),
  "PG16",
  IF(
   ISNUMBER(MATCH("*PG21*",F30,0)),
   "PG21",
   IF(
    ISNUMBER(MATCH("*PG29*",F30,0)),
    "PG29",
    IF(
     ISNUMBER(MATCH("*PG36*",F30,0)),
     "PG36",
     0
    )
   )
  )
 )
)</f>
        <v>PG29</v>
      </c>
      <c r="H30" s="5">
        <f t="shared" si="7"/>
        <v>0</v>
      </c>
      <c r="I30" s="126" t="str">
        <f t="shared" si="8"/>
        <v>ВВГнг-LS 2x16</v>
      </c>
      <c r="J30" s="5" t="str">
        <f>IF(G30=0,H30,G30)</f>
        <v>PG29</v>
      </c>
      <c r="K30" s="22"/>
      <c r="L30" s="296" t="s">
        <v>387</v>
      </c>
      <c r="M30" s="296" t="s">
        <v>392</v>
      </c>
      <c r="N30" s="296" t="s">
        <v>392</v>
      </c>
      <c r="O30" s="933" t="s">
        <v>392</v>
      </c>
    </row>
    <row r="31" spans="1:19" x14ac:dyDescent="0.2">
      <c r="A31" s="121" t="s">
        <v>30</v>
      </c>
      <c r="B31" s="121">
        <v>2</v>
      </c>
      <c r="C31" s="121">
        <v>25</v>
      </c>
      <c r="D31" s="121" t="str">
        <f t="shared" si="0"/>
        <v>2x25</v>
      </c>
      <c r="E31" s="121">
        <v>0</v>
      </c>
      <c r="F31" s="296" t="str">
        <f>F32</f>
        <v>18153416  САЛЬНИК PG29, ДИАМЕТР ПРОВОДНИКА 18...24 ММ ТУ 3449-110-18461115-03</v>
      </c>
      <c r="G31" s="1087" t="str">
        <f>G32</f>
        <v>PG29</v>
      </c>
      <c r="H31" s="1087">
        <f t="shared" si="7"/>
        <v>0</v>
      </c>
      <c r="I31" s="543" t="str">
        <f t="shared" si="8"/>
        <v>- 2x25</v>
      </c>
      <c r="J31" s="1087" t="str">
        <f t="shared" ref="J31" si="14">J32</f>
        <v>PG29</v>
      </c>
      <c r="K31" s="22"/>
      <c r="L31" s="296" t="s">
        <v>388</v>
      </c>
      <c r="M31" s="296" t="s">
        <v>393</v>
      </c>
      <c r="N31" s="933" t="s">
        <v>393</v>
      </c>
      <c r="O31" s="933" t="s">
        <v>393</v>
      </c>
    </row>
    <row r="32" spans="1:19" x14ac:dyDescent="0.2">
      <c r="A32" s="121" t="s">
        <v>896</v>
      </c>
      <c r="B32" s="121">
        <v>2</v>
      </c>
      <c r="C32" s="121">
        <v>25</v>
      </c>
      <c r="D32" s="121" t="str">
        <f t="shared" si="0"/>
        <v>2x25</v>
      </c>
      <c r="E32" s="121">
        <v>19.2</v>
      </c>
      <c r="F32" s="121" t="s">
        <v>193</v>
      </c>
      <c r="G32" s="5" t="str">
        <f>IF(
 ISNUMBER(MATCH("*PG13*",F32,0)),
 "PG13",
 IF(
  ISNUMBER(MATCH("*PG16*",F32,0)),
  "PG16",
  IF(
   ISNUMBER(MATCH("*PG21*",F32,0)),
   "PG21",
   IF(
    ISNUMBER(MATCH("*PG29*",F32,0)),
    "PG29",
    IF(
     ISNUMBER(MATCH("*PG36*",F32,0)),
     "PG36",
     0
    )
   )
  )
 )
)</f>
        <v>PG29</v>
      </c>
      <c r="H32" s="5">
        <f t="shared" si="7"/>
        <v>0</v>
      </c>
      <c r="I32" s="126" t="str">
        <f t="shared" si="8"/>
        <v>АВВГНг 2x25</v>
      </c>
      <c r="J32" s="5" t="str">
        <f>IF(G32=0,H32,G32)</f>
        <v>PG29</v>
      </c>
      <c r="K32" s="22"/>
      <c r="L32" s="296" t="s">
        <v>389</v>
      </c>
      <c r="M32" s="296" t="s">
        <v>922</v>
      </c>
      <c r="N32" s="296" t="s">
        <v>922</v>
      </c>
      <c r="O32" s="296" t="s">
        <v>922</v>
      </c>
    </row>
    <row r="33" spans="1:15" x14ac:dyDescent="0.2">
      <c r="A33" s="121" t="s">
        <v>898</v>
      </c>
      <c r="B33" s="121">
        <v>2</v>
      </c>
      <c r="C33" s="121">
        <v>25</v>
      </c>
      <c r="D33" s="121" t="str">
        <f t="shared" si="0"/>
        <v>2x25</v>
      </c>
      <c r="E33" s="121">
        <v>19.2</v>
      </c>
      <c r="F33" s="121" t="s">
        <v>193</v>
      </c>
      <c r="G33" s="5" t="str">
        <f>IF(
 ISNUMBER(MATCH("*PG13*",F33,0)),
 "PG13",
 IF(
  ISNUMBER(MATCH("*PG16*",F33,0)),
  "PG16",
  IF(
   ISNUMBER(MATCH("*PG21*",F33,0)),
   "PG21",
   IF(
    ISNUMBER(MATCH("*PG29*",F33,0)),
    "PG29",
    IF(
     ISNUMBER(MATCH("*PG36*",F33,0)),
     "PG36",
     0
    )
   )
  )
 )
)</f>
        <v>PG29</v>
      </c>
      <c r="H33" s="5">
        <f t="shared" si="7"/>
        <v>0</v>
      </c>
      <c r="I33" s="126" t="str">
        <f t="shared" si="8"/>
        <v>ВВГНг 2x25</v>
      </c>
      <c r="J33" s="5" t="str">
        <f>IF(G33=0,H33,G33)</f>
        <v>PG29</v>
      </c>
      <c r="K33" s="22"/>
      <c r="L33" s="296" t="s">
        <v>390</v>
      </c>
      <c r="M33" s="296" t="s">
        <v>923</v>
      </c>
      <c r="N33" s="296" t="s">
        <v>923</v>
      </c>
      <c r="O33" s="296" t="s">
        <v>923</v>
      </c>
    </row>
    <row r="34" spans="1:15" x14ac:dyDescent="0.2">
      <c r="A34" s="121" t="s">
        <v>30</v>
      </c>
      <c r="B34" s="121">
        <v>2</v>
      </c>
      <c r="C34" s="121">
        <v>35</v>
      </c>
      <c r="D34" s="121" t="str">
        <f t="shared" si="0"/>
        <v>2x35</v>
      </c>
      <c r="E34" s="121">
        <v>0</v>
      </c>
      <c r="F34" s="296" t="str">
        <f>F35</f>
        <v>18153416  САЛЬНИК PG29, ДИАМЕТР ПРОВОДНИКА 18...24 ММ ТУ 3449-110-18461115-03</v>
      </c>
      <c r="G34" s="1087" t="str">
        <f>G35</f>
        <v>PG29</v>
      </c>
      <c r="H34" s="1087">
        <f t="shared" si="7"/>
        <v>0</v>
      </c>
      <c r="I34" s="543" t="str">
        <f t="shared" si="8"/>
        <v>- 2x35</v>
      </c>
      <c r="J34" s="1087" t="str">
        <f t="shared" ref="J34" si="15">J35</f>
        <v>PG29</v>
      </c>
      <c r="K34" s="22"/>
      <c r="L34" s="296" t="s">
        <v>391</v>
      </c>
      <c r="M34" s="296" t="s">
        <v>924</v>
      </c>
      <c r="N34" s="296" t="s">
        <v>924</v>
      </c>
      <c r="O34" s="296" t="s">
        <v>924</v>
      </c>
    </row>
    <row r="35" spans="1:15" x14ac:dyDescent="0.2">
      <c r="A35" s="121" t="s">
        <v>896</v>
      </c>
      <c r="B35" s="121">
        <v>2</v>
      </c>
      <c r="C35" s="121">
        <v>35</v>
      </c>
      <c r="D35" s="121" t="str">
        <f t="shared" si="0"/>
        <v>2x35</v>
      </c>
      <c r="E35" s="121">
        <v>21.2</v>
      </c>
      <c r="F35" s="121" t="s">
        <v>193</v>
      </c>
      <c r="G35" s="5" t="str">
        <f>IF(
 ISNUMBER(MATCH("*PG13*",F35,0)),
 "PG13",
 IF(
  ISNUMBER(MATCH("*PG16*",F35,0)),
  "PG16",
  IF(
   ISNUMBER(MATCH("*PG21*",F35,0)),
   "PG21",
   IF(
    ISNUMBER(MATCH("*PG29*",F35,0)),
    "PG29",
    IF(
     ISNUMBER(MATCH("*PG36*",F35,0)),
     "PG36",
     0
    )
   )
  )
 )
)</f>
        <v>PG29</v>
      </c>
      <c r="H35" s="5">
        <f t="shared" si="7"/>
        <v>0</v>
      </c>
      <c r="I35" s="126" t="str">
        <f t="shared" si="8"/>
        <v>АВВГНг 2x35</v>
      </c>
      <c r="J35" s="5" t="str">
        <f>IF(G35=0,H35,G35)</f>
        <v>PG29</v>
      </c>
      <c r="K35" s="22"/>
      <c r="L35" s="296" t="s">
        <v>392</v>
      </c>
      <c r="M35" s="296" t="s">
        <v>397</v>
      </c>
      <c r="N35" s="296" t="s">
        <v>397</v>
      </c>
      <c r="O35" s="296" t="s">
        <v>397</v>
      </c>
    </row>
    <row r="36" spans="1:15" x14ac:dyDescent="0.2">
      <c r="A36" s="121" t="s">
        <v>898</v>
      </c>
      <c r="B36" s="121">
        <v>2</v>
      </c>
      <c r="C36" s="121">
        <v>35</v>
      </c>
      <c r="D36" s="121" t="str">
        <f t="shared" si="0"/>
        <v>2x35</v>
      </c>
      <c r="E36" s="121">
        <v>21.2</v>
      </c>
      <c r="F36" s="121" t="s">
        <v>193</v>
      </c>
      <c r="G36" s="5" t="str">
        <f>IF(
 ISNUMBER(MATCH("*PG13*",F36,0)),
 "PG13",
 IF(
  ISNUMBER(MATCH("*PG16*",F36,0)),
  "PG16",
  IF(
   ISNUMBER(MATCH("*PG21*",F36,0)),
   "PG21",
   IF(
    ISNUMBER(MATCH("*PG29*",F36,0)),
    "PG29",
    IF(
     ISNUMBER(MATCH("*PG36*",F36,0)),
     "PG36",
     0
    )
   )
  )
 )
)</f>
        <v>PG29</v>
      </c>
      <c r="H36" s="5">
        <f t="shared" si="7"/>
        <v>0</v>
      </c>
      <c r="I36" s="126" t="str">
        <f t="shared" si="8"/>
        <v>ВВГНг 2x35</v>
      </c>
      <c r="J36" s="5" t="str">
        <f>IF(G36=0,H36,G36)</f>
        <v>PG29</v>
      </c>
      <c r="K36" s="22"/>
      <c r="L36" s="296" t="s">
        <v>393</v>
      </c>
      <c r="M36" s="296" t="s">
        <v>398</v>
      </c>
      <c r="N36" s="296" t="s">
        <v>398</v>
      </c>
      <c r="O36" s="296" t="s">
        <v>398</v>
      </c>
    </row>
    <row r="37" spans="1:15" x14ac:dyDescent="0.2">
      <c r="A37" s="121" t="s">
        <v>159</v>
      </c>
      <c r="B37" s="121">
        <v>2</v>
      </c>
      <c r="C37" s="121">
        <v>35</v>
      </c>
      <c r="D37" s="121" t="str">
        <f t="shared" si="0"/>
        <v>2x35</v>
      </c>
      <c r="E37" s="121">
        <v>24.2</v>
      </c>
      <c r="F37" s="121" t="s">
        <v>188</v>
      </c>
      <c r="G37" s="5" t="str">
        <f>IF(
 ISNUMBER(MATCH("*PG13*",F37,0)),
 "PG13",
 IF(
  ISNUMBER(MATCH("*PG16*",F37,0)),
  "PG16",
  IF(
   ISNUMBER(MATCH("*PG21*",F37,0)),
   "PG21",
   IF(
    ISNUMBER(MATCH("*PG29*",F37,0)),
    "PG29",
    IF(
     ISNUMBER(MATCH("*PG36*",F37,0)),
     "PG36",
     0
    )
   )
  )
 )
)</f>
        <v>PG36</v>
      </c>
      <c r="H37" s="5">
        <f t="shared" si="7"/>
        <v>0</v>
      </c>
      <c r="I37" s="126" t="str">
        <f t="shared" si="8"/>
        <v>ВВГнг-LS 2x35</v>
      </c>
      <c r="J37" s="5" t="str">
        <f>IF(G37=0,H37,G37)</f>
        <v>PG36</v>
      </c>
      <c r="K37" s="22"/>
      <c r="L37" s="296" t="s">
        <v>394</v>
      </c>
      <c r="M37" s="296" t="s">
        <v>399</v>
      </c>
      <c r="N37" s="296" t="s">
        <v>399</v>
      </c>
      <c r="O37" s="296" t="s">
        <v>399</v>
      </c>
    </row>
    <row r="38" spans="1:15" x14ac:dyDescent="0.2">
      <c r="A38" s="121" t="s">
        <v>30</v>
      </c>
      <c r="B38" s="121">
        <v>2</v>
      </c>
      <c r="C38" s="121">
        <v>50</v>
      </c>
      <c r="D38" s="121" t="str">
        <f t="shared" si="0"/>
        <v>2x50</v>
      </c>
      <c r="E38" s="121">
        <v>0</v>
      </c>
      <c r="F38" s="296" t="str">
        <f>F39</f>
        <v>18153417  САЛЬНИК PG36, ДИАМЕТР ПРОВОДНИКА 24...32 ММ ТУ 3449-110-18461115-03</v>
      </c>
      <c r="G38" s="1087" t="str">
        <f>G39</f>
        <v>PG36</v>
      </c>
      <c r="H38" s="1087">
        <f t="shared" si="7"/>
        <v>0</v>
      </c>
      <c r="I38" s="543" t="str">
        <f t="shared" si="8"/>
        <v>- 2x50</v>
      </c>
      <c r="J38" s="1087" t="str">
        <f t="shared" ref="J38" si="16">J39</f>
        <v>PG36</v>
      </c>
      <c r="K38" s="22"/>
      <c r="L38" s="296" t="s">
        <v>395</v>
      </c>
      <c r="M38" s="296" t="s">
        <v>400</v>
      </c>
      <c r="N38" s="296" t="s">
        <v>400</v>
      </c>
      <c r="O38" s="296" t="s">
        <v>400</v>
      </c>
    </row>
    <row r="39" spans="1:15" x14ac:dyDescent="0.2">
      <c r="A39" s="121" t="s">
        <v>896</v>
      </c>
      <c r="B39" s="121">
        <v>2</v>
      </c>
      <c r="C39" s="121">
        <v>50</v>
      </c>
      <c r="D39" s="121" t="str">
        <f t="shared" si="0"/>
        <v>2x50</v>
      </c>
      <c r="E39" s="121">
        <v>24.8</v>
      </c>
      <c r="F39" s="121" t="s">
        <v>188</v>
      </c>
      <c r="G39" s="5" t="str">
        <f>IF(
 ISNUMBER(MATCH("*PG13*",F39,0)),
 "PG13",
 IF(
  ISNUMBER(MATCH("*PG16*",F39,0)),
  "PG16",
  IF(
   ISNUMBER(MATCH("*PG21*",F39,0)),
   "PG21",
   IF(
    ISNUMBER(MATCH("*PG29*",F39,0)),
    "PG29",
    IF(
     ISNUMBER(MATCH("*PG36*",F39,0)),
     "PG36",
     0
    )
   )
  )
 )
)</f>
        <v>PG36</v>
      </c>
      <c r="H39" s="5">
        <f t="shared" si="7"/>
        <v>0</v>
      </c>
      <c r="I39" s="126" t="str">
        <f t="shared" si="8"/>
        <v>АВВГНг 2x50</v>
      </c>
      <c r="J39" s="5" t="str">
        <f>IF(G39=0,H39,G39)</f>
        <v>PG36</v>
      </c>
      <c r="K39" s="22"/>
      <c r="L39" s="296" t="s">
        <v>396</v>
      </c>
      <c r="M39" s="296" t="s">
        <v>401</v>
      </c>
      <c r="N39" s="296" t="s">
        <v>401</v>
      </c>
      <c r="O39" s="296" t="s">
        <v>401</v>
      </c>
    </row>
    <row r="40" spans="1:15" x14ac:dyDescent="0.2">
      <c r="A40" s="121" t="s">
        <v>898</v>
      </c>
      <c r="B40" s="121">
        <v>2</v>
      </c>
      <c r="C40" s="121">
        <v>50</v>
      </c>
      <c r="D40" s="121" t="str">
        <f t="shared" si="0"/>
        <v>2x50</v>
      </c>
      <c r="E40" s="121">
        <v>24.8</v>
      </c>
      <c r="F40" s="121" t="s">
        <v>188</v>
      </c>
      <c r="G40" s="5" t="str">
        <f>IF(
 ISNUMBER(MATCH("*PG13*",F40,0)),
 "PG13",
 IF(
  ISNUMBER(MATCH("*PG16*",F40,0)),
  "PG16",
  IF(
   ISNUMBER(MATCH("*PG21*",F40,0)),
   "PG21",
   IF(
    ISNUMBER(MATCH("*PG29*",F40,0)),
    "PG29",
    IF(
     ISNUMBER(MATCH("*PG36*",F40,0)),
     "PG36",
     0
    )
   )
  )
 )
)</f>
        <v>PG36</v>
      </c>
      <c r="H40" s="5">
        <f t="shared" si="7"/>
        <v>0</v>
      </c>
      <c r="I40" s="126" t="str">
        <f t="shared" si="8"/>
        <v>ВВГНг 2x50</v>
      </c>
      <c r="J40" s="5" t="str">
        <f>IF(G40=0,H40,G40)</f>
        <v>PG36</v>
      </c>
      <c r="K40" s="22"/>
      <c r="L40" s="296" t="s">
        <v>920</v>
      </c>
      <c r="M40" s="296" t="s">
        <v>402</v>
      </c>
      <c r="N40" s="296" t="s">
        <v>402</v>
      </c>
      <c r="O40" s="296" t="s">
        <v>402</v>
      </c>
    </row>
    <row r="41" spans="1:15" x14ac:dyDescent="0.2">
      <c r="A41" s="121" t="s">
        <v>159</v>
      </c>
      <c r="B41" s="121">
        <v>2</v>
      </c>
      <c r="C41" s="121">
        <v>50</v>
      </c>
      <c r="D41" s="121" t="str">
        <f t="shared" si="0"/>
        <v>2x50</v>
      </c>
      <c r="E41" s="121">
        <v>28</v>
      </c>
      <c r="F41" s="121" t="s">
        <v>188</v>
      </c>
      <c r="G41" s="5" t="str">
        <f>IF(
 ISNUMBER(MATCH("*PG13*",F41,0)),
 "PG13",
 IF(
  ISNUMBER(MATCH("*PG16*",F41,0)),
  "PG16",
  IF(
   ISNUMBER(MATCH("*PG21*",F41,0)),
   "PG21",
   IF(
    ISNUMBER(MATCH("*PG29*",F41,0)),
    "PG29",
    IF(
     ISNUMBER(MATCH("*PG36*",F41,0)),
     "PG36",
     0
    )
   )
  )
 )
)</f>
        <v>PG36</v>
      </c>
      <c r="H41" s="5">
        <f t="shared" si="7"/>
        <v>0</v>
      </c>
      <c r="I41" s="126" t="str">
        <f t="shared" si="8"/>
        <v>ВВГнг-LS 2x50</v>
      </c>
      <c r="J41" s="5" t="str">
        <f>IF(G41=0,H41,G41)</f>
        <v>PG36</v>
      </c>
      <c r="K41" s="22"/>
      <c r="L41" s="296" t="s">
        <v>921</v>
      </c>
      <c r="M41" s="296" t="s">
        <v>403</v>
      </c>
      <c r="N41" s="296" t="s">
        <v>403</v>
      </c>
      <c r="O41" s="296" t="s">
        <v>403</v>
      </c>
    </row>
    <row r="42" spans="1:15" x14ac:dyDescent="0.2">
      <c r="A42" s="121" t="s">
        <v>30</v>
      </c>
      <c r="B42" s="121">
        <v>2</v>
      </c>
      <c r="C42" s="121">
        <v>70</v>
      </c>
      <c r="D42" s="121" t="str">
        <f t="shared" si="0"/>
        <v>2x70</v>
      </c>
      <c r="E42" s="121">
        <v>0</v>
      </c>
      <c r="F42" s="296" t="str">
        <f>F43</f>
        <v>18153416  САЛЬНИК PG29, ДИАМЕТР ПРОВОДНИКА 18...24 ММ ТУ 3449-110-18461115-03</v>
      </c>
      <c r="G42" s="1087" t="str">
        <f>G43</f>
        <v>PG29</v>
      </c>
      <c r="H42" s="1087">
        <f t="shared" si="7"/>
        <v>0</v>
      </c>
      <c r="I42" s="543" t="str">
        <f t="shared" si="8"/>
        <v>- 2x70</v>
      </c>
      <c r="J42" s="1087" t="str">
        <f t="shared" ref="J42" si="17">J43</f>
        <v>PG29</v>
      </c>
      <c r="K42" s="22"/>
      <c r="L42" s="296" t="s">
        <v>922</v>
      </c>
      <c r="M42" s="296" t="s">
        <v>404</v>
      </c>
      <c r="N42" s="296" t="s">
        <v>404</v>
      </c>
      <c r="O42" s="296" t="s">
        <v>404</v>
      </c>
    </row>
    <row r="43" spans="1:15" x14ac:dyDescent="0.2">
      <c r="A43" s="121" t="s">
        <v>898</v>
      </c>
      <c r="B43" s="121">
        <v>2</v>
      </c>
      <c r="C43" s="121">
        <v>70</v>
      </c>
      <c r="D43" s="121" t="str">
        <f t="shared" si="0"/>
        <v>2x70</v>
      </c>
      <c r="E43" s="121">
        <v>23.4</v>
      </c>
      <c r="F43" s="121" t="s">
        <v>193</v>
      </c>
      <c r="G43" s="5" t="str">
        <f>IF(
 ISNUMBER(MATCH("*PG13*",F43,0)),
 "PG13",
 IF(
  ISNUMBER(MATCH("*PG16*",F43,0)),
  "PG16",
  IF(
   ISNUMBER(MATCH("*PG21*",F43,0)),
   "PG21",
   IF(
    ISNUMBER(MATCH("*PG29*",F43,0)),
    "PG29",
    IF(
     ISNUMBER(MATCH("*PG36*",F43,0)),
     "PG36",
     0
    )
   )
  )
 )
)</f>
        <v>PG29</v>
      </c>
      <c r="H43" s="5">
        <f t="shared" si="7"/>
        <v>0</v>
      </c>
      <c r="I43" s="126" t="str">
        <f t="shared" si="8"/>
        <v>ВВГНг 2x70</v>
      </c>
      <c r="J43" s="5" t="str">
        <f>IF(G43=0,H43,G43)</f>
        <v>PG29</v>
      </c>
      <c r="K43" s="22"/>
      <c r="L43" s="296" t="s">
        <v>923</v>
      </c>
      <c r="M43" s="296" t="s">
        <v>405</v>
      </c>
      <c r="N43" s="296" t="s">
        <v>405</v>
      </c>
      <c r="O43" s="933" t="s">
        <v>405</v>
      </c>
    </row>
    <row r="44" spans="1:15" x14ac:dyDescent="0.2">
      <c r="A44" s="121" t="s">
        <v>159</v>
      </c>
      <c r="B44" s="121">
        <v>2</v>
      </c>
      <c r="C44" s="121">
        <v>70</v>
      </c>
      <c r="D44" s="121" t="str">
        <f t="shared" si="0"/>
        <v>2x70</v>
      </c>
      <c r="E44" s="121">
        <v>30.6</v>
      </c>
      <c r="F44" s="121" t="s">
        <v>188</v>
      </c>
      <c r="G44" s="5" t="str">
        <f>IF(
 ISNUMBER(MATCH("*PG13*",F44,0)),
 "PG13",
 IF(
  ISNUMBER(MATCH("*PG16*",F44,0)),
  "PG16",
  IF(
   ISNUMBER(MATCH("*PG21*",F44,0)),
   "PG21",
   IF(
    ISNUMBER(MATCH("*PG29*",F44,0)),
    "PG29",
    IF(
     ISNUMBER(MATCH("*PG36*",F44,0)),
     "PG36",
     0
    )
   )
  )
 )
)</f>
        <v>PG36</v>
      </c>
      <c r="H44" s="5">
        <f t="shared" si="7"/>
        <v>0</v>
      </c>
      <c r="I44" s="126" t="str">
        <f t="shared" si="8"/>
        <v>ВВГнг-LS 2x70</v>
      </c>
      <c r="J44" s="5" t="str">
        <f>IF(G44=0,H44,G44)</f>
        <v>PG36</v>
      </c>
      <c r="K44" s="22"/>
      <c r="L44" s="296" t="s">
        <v>924</v>
      </c>
      <c r="M44" s="296" t="s">
        <v>406</v>
      </c>
      <c r="N44" s="296" t="s">
        <v>406</v>
      </c>
      <c r="O44" s="933" t="s">
        <v>406</v>
      </c>
    </row>
    <row r="45" spans="1:15" x14ac:dyDescent="0.2">
      <c r="A45" s="121" t="s">
        <v>30</v>
      </c>
      <c r="B45" s="121">
        <v>2</v>
      </c>
      <c r="C45" s="121">
        <v>95</v>
      </c>
      <c r="D45" s="121" t="str">
        <f t="shared" si="0"/>
        <v>2x95</v>
      </c>
      <c r="E45" s="121">
        <v>0</v>
      </c>
      <c r="F45" s="296" t="str">
        <f>F46</f>
        <v>18153417  САЛЬНИК PG36, ДИАМЕТР ПРОВОДНИКА 24...32 ММ ТУ 3449-110-18461115-03</v>
      </c>
      <c r="G45" s="1087" t="str">
        <f>G46</f>
        <v>PG36</v>
      </c>
      <c r="H45" s="1087">
        <f t="shared" si="7"/>
        <v>0</v>
      </c>
      <c r="I45" s="543" t="str">
        <f t="shared" si="8"/>
        <v>- 2x95</v>
      </c>
      <c r="J45" s="1087" t="str">
        <f t="shared" ref="J45" si="18">J46</f>
        <v>PG36</v>
      </c>
      <c r="K45" s="22"/>
      <c r="L45" s="296" t="s">
        <v>397</v>
      </c>
      <c r="M45" s="296" t="s">
        <v>407</v>
      </c>
      <c r="N45" s="933" t="s">
        <v>407</v>
      </c>
      <c r="O45" s="933" t="s">
        <v>407</v>
      </c>
    </row>
    <row r="46" spans="1:15" x14ac:dyDescent="0.2">
      <c r="A46" s="121" t="s">
        <v>898</v>
      </c>
      <c r="B46" s="121">
        <v>2</v>
      </c>
      <c r="C46" s="121">
        <v>95</v>
      </c>
      <c r="D46" s="121" t="str">
        <f t="shared" si="0"/>
        <v>2x95</v>
      </c>
      <c r="E46" s="121">
        <v>26.4</v>
      </c>
      <c r="F46" s="121" t="s">
        <v>188</v>
      </c>
      <c r="G46" s="5" t="str">
        <f>IF(
 ISNUMBER(MATCH("*PG13*",F46,0)),
 "PG13",
 IF(
  ISNUMBER(MATCH("*PG16*",F46,0)),
  "PG16",
  IF(
   ISNUMBER(MATCH("*PG21*",F46,0)),
   "PG21",
   IF(
    ISNUMBER(MATCH("*PG29*",F46,0)),
    "PG29",
    IF(
     ISNUMBER(MATCH("*PG36*",F46,0)),
     "PG36",
     0
    )
   )
  )
 )
)</f>
        <v>PG36</v>
      </c>
      <c r="H46" s="5">
        <f t="shared" si="7"/>
        <v>0</v>
      </c>
      <c r="I46" s="126" t="str">
        <f t="shared" si="8"/>
        <v>ВВГНг 2x95</v>
      </c>
      <c r="J46" s="5" t="str">
        <f>IF(G46=0,H46,G46)</f>
        <v>PG36</v>
      </c>
      <c r="K46" s="22"/>
      <c r="L46" s="296" t="s">
        <v>398</v>
      </c>
      <c r="M46" s="933" t="s">
        <v>408</v>
      </c>
      <c r="N46" s="296" t="s">
        <v>926</v>
      </c>
      <c r="O46" s="296" t="s">
        <v>926</v>
      </c>
    </row>
    <row r="47" spans="1:15" x14ac:dyDescent="0.2">
      <c r="A47" s="121" t="s">
        <v>896</v>
      </c>
      <c r="B47" s="121">
        <v>2</v>
      </c>
      <c r="C47" s="121">
        <v>95</v>
      </c>
      <c r="D47" s="121" t="str">
        <f t="shared" si="0"/>
        <v>2x95</v>
      </c>
      <c r="E47" s="121">
        <v>126.4</v>
      </c>
      <c r="F47" s="296" t="str">
        <f>F48</f>
        <v>18153417  САЛЬНИК PG36, ДИАМЕТР ПРОВОДНИКА 24...32 ММ ТУ 3449-110-18461115-03</v>
      </c>
      <c r="G47" s="1087" t="str">
        <f>G48</f>
        <v>PG36</v>
      </c>
      <c r="H47" s="1087">
        <f t="shared" si="7"/>
        <v>0</v>
      </c>
      <c r="I47" s="543" t="str">
        <f t="shared" si="8"/>
        <v>АВВГНг 2x95</v>
      </c>
      <c r="J47" s="1087" t="str">
        <f t="shared" ref="J47" si="19">J48</f>
        <v>PG36</v>
      </c>
      <c r="K47" s="22"/>
      <c r="L47" s="296" t="s">
        <v>399</v>
      </c>
      <c r="M47" s="933" t="s">
        <v>409</v>
      </c>
      <c r="N47" s="296" t="s">
        <v>927</v>
      </c>
      <c r="O47" s="296" t="s">
        <v>927</v>
      </c>
    </row>
    <row r="48" spans="1:15" x14ac:dyDescent="0.2">
      <c r="A48" s="121" t="s">
        <v>896</v>
      </c>
      <c r="B48" s="121">
        <v>2</v>
      </c>
      <c r="C48" s="121">
        <v>120</v>
      </c>
      <c r="D48" s="121" t="str">
        <f t="shared" si="0"/>
        <v>2x120</v>
      </c>
      <c r="E48" s="121">
        <v>28.4</v>
      </c>
      <c r="F48" s="121" t="s">
        <v>188</v>
      </c>
      <c r="G48" s="5" t="str">
        <f>IF(
 ISNUMBER(MATCH("*PG13*",F48,0)),
 "PG13",
 IF(
  ISNUMBER(MATCH("*PG16*",F48,0)),
  "PG16",
  IF(
   ISNUMBER(MATCH("*PG21*",F48,0)),
   "PG21",
   IF(
    ISNUMBER(MATCH("*PG29*",F48,0)),
    "PG29",
    IF(
     ISNUMBER(MATCH("*PG36*",F48,0)),
     "PG36",
     0
    )
   )
  )
 )
)</f>
        <v>PG36</v>
      </c>
      <c r="H48" s="5">
        <f t="shared" si="7"/>
        <v>0</v>
      </c>
      <c r="I48" s="126" t="str">
        <f t="shared" si="8"/>
        <v>АВВГНг 2x120</v>
      </c>
      <c r="J48" s="5" t="str">
        <f>IF(G48=0,H48,G48)</f>
        <v>PG36</v>
      </c>
      <c r="K48" s="22"/>
      <c r="L48" s="296" t="s">
        <v>400</v>
      </c>
      <c r="M48" s="296" t="s">
        <v>926</v>
      </c>
      <c r="N48" s="296" t="s">
        <v>928</v>
      </c>
      <c r="O48" s="296" t="s">
        <v>928</v>
      </c>
    </row>
    <row r="49" spans="1:15" x14ac:dyDescent="0.2">
      <c r="A49" s="121" t="s">
        <v>898</v>
      </c>
      <c r="B49" s="121">
        <v>2</v>
      </c>
      <c r="C49" s="121">
        <v>120</v>
      </c>
      <c r="D49" s="121" t="str">
        <f t="shared" si="0"/>
        <v>2x120</v>
      </c>
      <c r="E49" s="121">
        <v>28.4</v>
      </c>
      <c r="F49" s="121" t="s">
        <v>188</v>
      </c>
      <c r="G49" s="5" t="str">
        <f>IF(
 ISNUMBER(MATCH("*PG13*",F49,0)),
 "PG13",
 IF(
  ISNUMBER(MATCH("*PG16*",F49,0)),
  "PG16",
  IF(
   ISNUMBER(MATCH("*PG21*",F49,0)),
   "PG21",
   IF(
    ISNUMBER(MATCH("*PG29*",F49,0)),
    "PG29",
    IF(
     ISNUMBER(MATCH("*PG36*",F49,0)),
     "PG36",
     0
    )
   )
  )
 )
)</f>
        <v>PG36</v>
      </c>
      <c r="H49" s="5">
        <f t="shared" si="7"/>
        <v>0</v>
      </c>
      <c r="I49" s="126" t="str">
        <f t="shared" si="8"/>
        <v>ВВГНг 2x120</v>
      </c>
      <c r="J49" s="5" t="str">
        <f>IF(G49=0,H49,G49)</f>
        <v>PG36</v>
      </c>
      <c r="K49" s="22"/>
      <c r="L49" s="296" t="s">
        <v>401</v>
      </c>
      <c r="M49" s="296" t="s">
        <v>927</v>
      </c>
      <c r="N49" s="296" t="s">
        <v>412</v>
      </c>
      <c r="O49" s="296" t="s">
        <v>412</v>
      </c>
    </row>
    <row r="50" spans="1:15" x14ac:dyDescent="0.2">
      <c r="A50" s="121" t="s">
        <v>30</v>
      </c>
      <c r="B50" s="121">
        <v>2</v>
      </c>
      <c r="C50" s="121">
        <v>120</v>
      </c>
      <c r="D50" s="121" t="str">
        <f t="shared" si="0"/>
        <v>2x120</v>
      </c>
      <c r="E50" s="121"/>
      <c r="F50" s="296" t="str">
        <f t="shared" ref="F50:F51" si="20">F51</f>
        <v>18153417  САЛЬНИК PG36, ДИАМЕТР ПРОВОДНИКА 24...32 ММ ТУ 3449-110-18461115-03</v>
      </c>
      <c r="G50" s="1087" t="str">
        <f t="shared" ref="G50:G51" si="21">G51</f>
        <v>PG36</v>
      </c>
      <c r="H50" s="1087">
        <f t="shared" ref="H50:H51" si="22">IF(
 ISNUMBER(MATCH("*PG42*",F50,0)),
 "PG42",
 IF(
  ISNUMBER(MATCH("*PG48*",F50,0)),
  "PG48",
  IF(
   ISNUMBER(MATCH("*MG63*",F50,0)),
   "MG63",
   IF(
    ISNUMBER(MATCH("*У479*",F50,0)),
    "У479",
    IF(
     ISNUMBER(MATCH("*У480*",F50,0)),
     "У480",
     0
    )
   )
  )
 )
)</f>
        <v>0</v>
      </c>
      <c r="I50" s="543" t="str">
        <f t="shared" ref="I50:I51" si="23">A50&amp;" "&amp;D50</f>
        <v>- 2x120</v>
      </c>
      <c r="J50" s="1087" t="str">
        <f t="shared" ref="J50:J51" si="24">J51</f>
        <v>PG36</v>
      </c>
      <c r="K50" s="22"/>
      <c r="L50" s="296" t="s">
        <v>402</v>
      </c>
      <c r="M50" s="296" t="s">
        <v>928</v>
      </c>
      <c r="N50" s="296" t="s">
        <v>350</v>
      </c>
      <c r="O50" s="296" t="s">
        <v>350</v>
      </c>
    </row>
    <row r="51" spans="1:15" x14ac:dyDescent="0.2">
      <c r="A51" s="121" t="s">
        <v>30</v>
      </c>
      <c r="B51" s="121">
        <v>2</v>
      </c>
      <c r="C51" s="121">
        <v>150</v>
      </c>
      <c r="D51" s="121" t="str">
        <f t="shared" si="0"/>
        <v>2x150</v>
      </c>
      <c r="E51" s="121">
        <v>0</v>
      </c>
      <c r="F51" s="296" t="str">
        <f t="shared" si="20"/>
        <v>18153417  САЛЬНИК PG36, ДИАМЕТР ПРОВОДНИКА 24...32 ММ ТУ 3449-110-18461115-03</v>
      </c>
      <c r="G51" s="1087" t="str">
        <f t="shared" si="21"/>
        <v>PG36</v>
      </c>
      <c r="H51" s="1087">
        <f t="shared" si="22"/>
        <v>0</v>
      </c>
      <c r="I51" s="543" t="str">
        <f t="shared" si="23"/>
        <v>- 2x150</v>
      </c>
      <c r="J51" s="1087" t="str">
        <f t="shared" si="24"/>
        <v>PG36</v>
      </c>
      <c r="K51" s="22"/>
      <c r="L51" s="296" t="s">
        <v>403</v>
      </c>
      <c r="M51" s="296" t="s">
        <v>412</v>
      </c>
      <c r="N51" s="296" t="s">
        <v>413</v>
      </c>
      <c r="O51" s="296" t="s">
        <v>413</v>
      </c>
    </row>
    <row r="52" spans="1:15" x14ac:dyDescent="0.2">
      <c r="A52" s="121" t="s">
        <v>896</v>
      </c>
      <c r="B52" s="121">
        <v>2</v>
      </c>
      <c r="C52" s="121">
        <v>150</v>
      </c>
      <c r="D52" s="121" t="str">
        <f t="shared" si="0"/>
        <v>2x150</v>
      </c>
      <c r="E52" s="121">
        <v>30.6</v>
      </c>
      <c r="F52" s="121" t="s">
        <v>188</v>
      </c>
      <c r="G52" s="5" t="str">
        <f>IF(
 ISNUMBER(MATCH("*PG13*",F52,0)),
 "PG13",
 IF(
  ISNUMBER(MATCH("*PG16*",F52,0)),
  "PG16",
  IF(
   ISNUMBER(MATCH("*PG21*",F52,0)),
   "PG21",
   IF(
    ISNUMBER(MATCH("*PG29*",F52,0)),
    "PG29",
    IF(
     ISNUMBER(MATCH("*PG36*",F52,0)),
     "PG36",
     0
    )
   )
  )
 )
)</f>
        <v>PG36</v>
      </c>
      <c r="H52" s="5">
        <f>IF(
 ISNUMBER(MATCH("*PG42*",F52,0)),
 "PG42",
 IF(
  ISNUMBER(MATCH("*PG48*",F52,0)),
  "PG48",
  IF(
   ISNUMBER(MATCH("*MG63*",F52,0)),
   "MG63",
   IF(
    ISNUMBER(MATCH("*У479*",F52,0)),
    "У479",
    IF(
     ISNUMBER(MATCH("*У480*",F52,0)),
     "У480",
     0
    )
   )
  )
 )
)</f>
        <v>0</v>
      </c>
      <c r="I52" s="126" t="str">
        <f>A52&amp;" "&amp;D52</f>
        <v>АВВГНг 2x150</v>
      </c>
      <c r="J52" s="5" t="str">
        <f>IF(G52=0,H52,G52)</f>
        <v>PG36</v>
      </c>
      <c r="K52" s="22"/>
      <c r="L52" s="296" t="s">
        <v>404</v>
      </c>
      <c r="M52" s="296" t="s">
        <v>350</v>
      </c>
      <c r="N52" s="296" t="s">
        <v>414</v>
      </c>
      <c r="O52" s="296" t="s">
        <v>414</v>
      </c>
    </row>
    <row r="53" spans="1:15" x14ac:dyDescent="0.2">
      <c r="A53" s="121" t="s">
        <v>898</v>
      </c>
      <c r="B53" s="121">
        <v>2</v>
      </c>
      <c r="C53" s="121">
        <v>150</v>
      </c>
      <c r="D53" s="121" t="str">
        <f t="shared" si="0"/>
        <v>2x150</v>
      </c>
      <c r="E53" s="121">
        <v>30.6</v>
      </c>
      <c r="F53" s="121" t="s">
        <v>188</v>
      </c>
      <c r="G53" s="5" t="str">
        <f>IF(
 ISNUMBER(MATCH("*PG13*",F53,0)),
 "PG13",
 IF(
  ISNUMBER(MATCH("*PG16*",F53,0)),
  "PG16",
  IF(
   ISNUMBER(MATCH("*PG21*",F53,0)),
   "PG21",
   IF(
    ISNUMBER(MATCH("*PG29*",F53,0)),
    "PG29",
    IF(
     ISNUMBER(MATCH("*PG36*",F53,0)),
     "PG36",
     0
    )
   )
  )
 )
)</f>
        <v>PG36</v>
      </c>
      <c r="H53" s="5">
        <f>IF(
 ISNUMBER(MATCH("*PG42*",F53,0)),
 "PG42",
 IF(
  ISNUMBER(MATCH("*PG48*",F53,0)),
  "PG48",
  IF(
   ISNUMBER(MATCH("*MG63*",F53,0)),
   "MG63",
   IF(
    ISNUMBER(MATCH("*У479*",F53,0)),
    "У479",
    IF(
     ISNUMBER(MATCH("*У480*",F53,0)),
     "У480",
     0
    )
   )
  )
 )
)</f>
        <v>0</v>
      </c>
      <c r="I53" s="126" t="str">
        <f>A53&amp;" "&amp;D53</f>
        <v>ВВГНг 2x150</v>
      </c>
      <c r="J53" s="5" t="str">
        <f>IF(G53=0,H53,G53)</f>
        <v>PG36</v>
      </c>
      <c r="K53" s="22"/>
      <c r="L53" s="296" t="s">
        <v>405</v>
      </c>
      <c r="M53" s="296" t="s">
        <v>413</v>
      </c>
      <c r="N53" s="296" t="s">
        <v>415</v>
      </c>
      <c r="O53" s="296" t="s">
        <v>415</v>
      </c>
    </row>
    <row r="54" spans="1:15" x14ac:dyDescent="0.2">
      <c r="A54" s="121" t="s">
        <v>30</v>
      </c>
      <c r="B54" s="121">
        <v>2</v>
      </c>
      <c r="C54" s="121">
        <v>185</v>
      </c>
      <c r="D54" s="121" t="str">
        <f t="shared" si="0"/>
        <v>2x185</v>
      </c>
      <c r="E54" s="121">
        <v>0</v>
      </c>
      <c r="F54" s="296" t="str">
        <f>F55</f>
        <v>18153418  САЛЬНИК PG42, ДИАМЕТР ПРОВОДНИКА 30...40 ММ ТУ 3449-110-18461115-03</v>
      </c>
      <c r="G54" s="1087">
        <f>G55</f>
        <v>0</v>
      </c>
      <c r="H54" s="1087" t="str">
        <f>IF(
 ISNUMBER(MATCH("*PG42*",F54,0)),
 "PG42",
 IF(
  ISNUMBER(MATCH("*PG48*",F54,0)),
  "PG48",
  IF(
   ISNUMBER(MATCH("*MG63*",F54,0)),
   "MG63",
   IF(
    ISNUMBER(MATCH("*У479*",F54,0)),
    "У479",
    IF(
     ISNUMBER(MATCH("*У480*",F54,0)),
     "У480",
     0
    )
   )
  )
 )
)</f>
        <v>PG42</v>
      </c>
      <c r="I54" s="543" t="str">
        <f>A54&amp;" "&amp;D54</f>
        <v>- 2x185</v>
      </c>
      <c r="J54" s="1087" t="str">
        <f t="shared" ref="J54" si="25">J55</f>
        <v>PG42</v>
      </c>
      <c r="K54" s="22"/>
      <c r="L54" s="296" t="s">
        <v>406</v>
      </c>
      <c r="M54" s="296" t="s">
        <v>414</v>
      </c>
      <c r="N54" s="296" t="s">
        <v>349</v>
      </c>
      <c r="O54" s="296" t="s">
        <v>349</v>
      </c>
    </row>
    <row r="55" spans="1:15" x14ac:dyDescent="0.2">
      <c r="A55" s="121" t="s">
        <v>896</v>
      </c>
      <c r="B55" s="121">
        <v>2</v>
      </c>
      <c r="C55" s="121">
        <v>185</v>
      </c>
      <c r="D55" s="121" t="str">
        <f t="shared" si="0"/>
        <v>2x185</v>
      </c>
      <c r="E55" s="121">
        <v>33.6</v>
      </c>
      <c r="F55" s="121" t="s">
        <v>189</v>
      </c>
      <c r="G55" s="5">
        <f>IF(
 ISNUMBER(MATCH("*PG13*",F55,0)),
 "PG13",
 IF(
  ISNUMBER(MATCH("*PG16*",F55,0)),
  "PG16",
  IF(
   ISNUMBER(MATCH("*PG21*",F55,0)),
   "PG21",
   IF(
    ISNUMBER(MATCH("*PG29*",F55,0)),
    "PG29",
    IF(
     ISNUMBER(MATCH("*PG36*",F55,0)),
     "PG36",
     0
    )
   )
  )
 )
)</f>
        <v>0</v>
      </c>
      <c r="H55" s="5" t="str">
        <f>IF(
 ISNUMBER(MATCH("*PG42*",F55,0)),
 "PG42",
 IF(
  ISNUMBER(MATCH("*PG48*",F55,0)),
  "PG48",
  IF(
   ISNUMBER(MATCH("*MG63*",F55,0)),
   "MG63",
   IF(
    ISNUMBER(MATCH("*У479*",F55,0)),
    "У479",
    IF(
     ISNUMBER(MATCH("*У480*",F55,0)),
     "У480",
     0
    )
   )
  )
 )
)</f>
        <v>PG42</v>
      </c>
      <c r="I55" s="126" t="str">
        <f>A55&amp;" "&amp;D55</f>
        <v>АВВГНг 2x185</v>
      </c>
      <c r="J55" s="5" t="str">
        <f>IF(G55=0,H55,G55)</f>
        <v>PG42</v>
      </c>
      <c r="K55" s="22"/>
      <c r="L55" s="296" t="s">
        <v>407</v>
      </c>
      <c r="M55" s="296" t="s">
        <v>415</v>
      </c>
      <c r="N55" s="296" t="s">
        <v>416</v>
      </c>
      <c r="O55" s="296" t="s">
        <v>416</v>
      </c>
    </row>
    <row r="56" spans="1:15" x14ac:dyDescent="0.2">
      <c r="A56" s="121" t="s">
        <v>898</v>
      </c>
      <c r="B56" s="121">
        <v>2</v>
      </c>
      <c r="C56" s="121">
        <v>185</v>
      </c>
      <c r="D56" s="121" t="str">
        <f t="shared" si="0"/>
        <v>2x185</v>
      </c>
      <c r="E56" s="121">
        <v>33.6</v>
      </c>
      <c r="F56" s="121" t="s">
        <v>189</v>
      </c>
      <c r="G56" s="5">
        <f>IF(
 ISNUMBER(MATCH("*PG13*",F56,0)),
 "PG13",
 IF(
  ISNUMBER(MATCH("*PG16*",F56,0)),
  "PG16",
  IF(
   ISNUMBER(MATCH("*PG21*",F56,0)),
   "PG21",
   IF(
    ISNUMBER(MATCH("*PG29*",F56,0)),
    "PG29",
    IF(
     ISNUMBER(MATCH("*PG36*",F56,0)),
     "PG36",
     0
    )
   )
  )
 )
)</f>
        <v>0</v>
      </c>
      <c r="H56" s="5" t="str">
        <f>IF(
 ISNUMBER(MATCH("*PG42*",F56,0)),
 "PG42",
 IF(
  ISNUMBER(MATCH("*PG48*",F56,0)),
  "PG48",
  IF(
   ISNUMBER(MATCH("*MG63*",F56,0)),
   "MG63",
   IF(
    ISNUMBER(MATCH("*У479*",F56,0)),
    "У479",
    IF(
     ISNUMBER(MATCH("*У480*",F56,0)),
     "У480",
     0
    )
   )
  )
 )
)</f>
        <v>PG42</v>
      </c>
      <c r="I56" s="126" t="str">
        <f>A56&amp;" "&amp;D56</f>
        <v>ВВГНг 2x185</v>
      </c>
      <c r="J56" s="5" t="str">
        <f>IF(G56=0,H56,G56)</f>
        <v>PG42</v>
      </c>
      <c r="K56" s="22"/>
      <c r="L56" s="296" t="s">
        <v>408</v>
      </c>
      <c r="M56" s="296" t="s">
        <v>349</v>
      </c>
      <c r="N56" s="296" t="s">
        <v>417</v>
      </c>
      <c r="O56" s="296" t="s">
        <v>417</v>
      </c>
    </row>
    <row r="57" spans="1:15" x14ac:dyDescent="0.2">
      <c r="A57" s="121" t="s">
        <v>30</v>
      </c>
      <c r="B57" s="121">
        <v>2</v>
      </c>
      <c r="C57" s="121">
        <v>200</v>
      </c>
      <c r="D57" s="121" t="str">
        <f t="shared" si="0"/>
        <v>2x200</v>
      </c>
      <c r="E57" s="121">
        <v>0</v>
      </c>
      <c r="F57" s="296" t="str">
        <f t="shared" ref="F57:F62" si="26">F58</f>
        <v>18153413  САЛЬНИК PG13.5, ДИАМЕТР ПРОВОДНИКА 7...11 ММ ТУ 3449-110-18461115-03</v>
      </c>
      <c r="G57" s="1087" t="str">
        <f t="shared" ref="G57:G62" si="27">G58</f>
        <v>PG13</v>
      </c>
      <c r="H57" s="1087">
        <f t="shared" ref="H57:H62" si="28">IF(
 ISNUMBER(MATCH("*PG42*",F57,0)),
 "PG42",
 IF(
  ISNUMBER(MATCH("*PG48*",F57,0)),
  "PG48",
  IF(
   ISNUMBER(MATCH("*MG63*",F57,0)),
   "MG63",
   IF(
    ISNUMBER(MATCH("*У479*",F57,0)),
    "У479",
    IF(
     ISNUMBER(MATCH("*У480*",F57,0)),
     "У480",
     0
    )
   )
  )
 )
)</f>
        <v>0</v>
      </c>
      <c r="I57" s="543" t="str">
        <f t="shared" ref="I57:I62" si="29">A57&amp;" "&amp;D57</f>
        <v>- 2x200</v>
      </c>
      <c r="J57" s="1087" t="str">
        <f t="shared" ref="J57:J62" si="30">J58</f>
        <v>PG13</v>
      </c>
      <c r="K57" s="22"/>
      <c r="L57" s="296" t="s">
        <v>409</v>
      </c>
      <c r="M57" s="296" t="s">
        <v>416</v>
      </c>
      <c r="N57" s="296" t="s">
        <v>418</v>
      </c>
      <c r="O57" s="933" t="s">
        <v>418</v>
      </c>
    </row>
    <row r="58" spans="1:15" x14ac:dyDescent="0.2">
      <c r="A58" s="121" t="s">
        <v>30</v>
      </c>
      <c r="B58" s="121">
        <v>2</v>
      </c>
      <c r="C58" s="121">
        <v>240</v>
      </c>
      <c r="D58" s="121" t="str">
        <f t="shared" si="0"/>
        <v>2x240</v>
      </c>
      <c r="E58" s="121">
        <v>0</v>
      </c>
      <c r="F58" s="296" t="str">
        <f t="shared" si="26"/>
        <v>18153413  САЛЬНИК PG13.5, ДИАМЕТР ПРОВОДНИКА 7...11 ММ ТУ 3449-110-18461115-03</v>
      </c>
      <c r="G58" s="1087" t="str">
        <f t="shared" si="27"/>
        <v>PG13</v>
      </c>
      <c r="H58" s="1087">
        <f t="shared" si="28"/>
        <v>0</v>
      </c>
      <c r="I58" s="543" t="str">
        <f t="shared" si="29"/>
        <v>- 2x240</v>
      </c>
      <c r="J58" s="1087" t="str">
        <f t="shared" si="30"/>
        <v>PG13</v>
      </c>
      <c r="K58" s="22"/>
      <c r="L58" s="296" t="s">
        <v>410</v>
      </c>
      <c r="M58" s="296" t="s">
        <v>417</v>
      </c>
      <c r="N58" s="296" t="s">
        <v>419</v>
      </c>
      <c r="O58" s="933" t="s">
        <v>419</v>
      </c>
    </row>
    <row r="59" spans="1:15" x14ac:dyDescent="0.2">
      <c r="A59" s="121" t="s">
        <v>30</v>
      </c>
      <c r="B59" s="121">
        <v>3</v>
      </c>
      <c r="C59" s="121">
        <v>0.5</v>
      </c>
      <c r="D59" s="121" t="str">
        <f t="shared" si="0"/>
        <v>3x0,5</v>
      </c>
      <c r="E59" s="121">
        <v>0</v>
      </c>
      <c r="F59" s="296" t="str">
        <f t="shared" si="26"/>
        <v>18153413  САЛЬНИК PG13.5, ДИАМЕТР ПРОВОДНИКА 7...11 ММ ТУ 3449-110-18461115-03</v>
      </c>
      <c r="G59" s="1087" t="str">
        <f t="shared" si="27"/>
        <v>PG13</v>
      </c>
      <c r="H59" s="1087">
        <f t="shared" si="28"/>
        <v>0</v>
      </c>
      <c r="I59" s="543" t="str">
        <f t="shared" si="29"/>
        <v>- 3x0,5</v>
      </c>
      <c r="J59" s="1087" t="str">
        <f t="shared" si="30"/>
        <v>PG13</v>
      </c>
      <c r="K59" s="22"/>
      <c r="L59" s="296" t="s">
        <v>925</v>
      </c>
      <c r="M59" s="296" t="s">
        <v>418</v>
      </c>
      <c r="N59" s="933" t="s">
        <v>420</v>
      </c>
      <c r="O59" s="933" t="s">
        <v>420</v>
      </c>
    </row>
    <row r="60" spans="1:15" x14ac:dyDescent="0.2">
      <c r="A60" s="121" t="s">
        <v>30</v>
      </c>
      <c r="B60" s="121">
        <v>3</v>
      </c>
      <c r="C60" s="121">
        <v>0.8</v>
      </c>
      <c r="D60" s="121" t="str">
        <f t="shared" si="0"/>
        <v>3x0,8</v>
      </c>
      <c r="E60" s="121">
        <v>0</v>
      </c>
      <c r="F60" s="296" t="str">
        <f t="shared" si="26"/>
        <v>18153413  САЛЬНИК PG13.5, ДИАМЕТР ПРОВОДНИКА 7...11 ММ ТУ 3449-110-18461115-03</v>
      </c>
      <c r="G60" s="1087" t="str">
        <f t="shared" si="27"/>
        <v>PG13</v>
      </c>
      <c r="H60" s="1087">
        <f t="shared" si="28"/>
        <v>0</v>
      </c>
      <c r="I60" s="543" t="str">
        <f t="shared" si="29"/>
        <v>- 3x0,8</v>
      </c>
      <c r="J60" s="1087" t="str">
        <f t="shared" si="30"/>
        <v>PG13</v>
      </c>
      <c r="K60" s="22"/>
      <c r="L60" s="296" t="s">
        <v>411</v>
      </c>
      <c r="M60" s="296" t="s">
        <v>419</v>
      </c>
      <c r="N60" s="358"/>
      <c r="O60" s="358"/>
    </row>
    <row r="61" spans="1:15" x14ac:dyDescent="0.2">
      <c r="A61" s="121" t="s">
        <v>30</v>
      </c>
      <c r="B61" s="121">
        <v>3</v>
      </c>
      <c r="C61" s="121">
        <v>1</v>
      </c>
      <c r="D61" s="121" t="str">
        <f t="shared" si="0"/>
        <v>3x1</v>
      </c>
      <c r="E61" s="121">
        <v>0</v>
      </c>
      <c r="F61" s="296" t="str">
        <f t="shared" si="26"/>
        <v>18153413  САЛЬНИК PG13.5, ДИАМЕТР ПРОВОДНИКА 7...11 ММ ТУ 3449-110-18461115-03</v>
      </c>
      <c r="G61" s="1087" t="str">
        <f t="shared" si="27"/>
        <v>PG13</v>
      </c>
      <c r="H61" s="1087">
        <f t="shared" si="28"/>
        <v>0</v>
      </c>
      <c r="I61" s="543" t="str">
        <f t="shared" si="29"/>
        <v>- 3x1</v>
      </c>
      <c r="J61" s="1087" t="str">
        <f t="shared" si="30"/>
        <v>PG13</v>
      </c>
      <c r="K61" s="22"/>
      <c r="L61" s="296" t="s">
        <v>926</v>
      </c>
      <c r="M61" s="296" t="s">
        <v>420</v>
      </c>
      <c r="N61" s="358"/>
      <c r="O61" s="358"/>
    </row>
    <row r="62" spans="1:15" x14ac:dyDescent="0.2">
      <c r="A62" s="121" t="s">
        <v>30</v>
      </c>
      <c r="B62" s="121">
        <v>3</v>
      </c>
      <c r="C62" s="121">
        <v>1.5</v>
      </c>
      <c r="D62" s="121" t="str">
        <f t="shared" si="0"/>
        <v>3x1,5</v>
      </c>
      <c r="E62" s="121">
        <v>0</v>
      </c>
      <c r="F62" s="296" t="str">
        <f t="shared" si="26"/>
        <v>18153413  САЛЬНИК PG13.5, ДИАМЕТР ПРОВОДНИКА 7...11 ММ ТУ 3449-110-18461115-03</v>
      </c>
      <c r="G62" s="1087" t="str">
        <f t="shared" si="27"/>
        <v>PG13</v>
      </c>
      <c r="H62" s="1087">
        <f t="shared" si="28"/>
        <v>0</v>
      </c>
      <c r="I62" s="543" t="str">
        <f t="shared" si="29"/>
        <v>- 3x1,5</v>
      </c>
      <c r="J62" s="1087" t="str">
        <f t="shared" si="30"/>
        <v>PG13</v>
      </c>
      <c r="K62" s="22"/>
      <c r="L62" s="296" t="s">
        <v>927</v>
      </c>
      <c r="M62" s="933" t="s">
        <v>421</v>
      </c>
      <c r="O62" s="33"/>
    </row>
    <row r="63" spans="1:15" x14ac:dyDescent="0.2">
      <c r="A63" s="121" t="s">
        <v>898</v>
      </c>
      <c r="B63" s="121">
        <v>3</v>
      </c>
      <c r="C63" s="121">
        <v>1.5</v>
      </c>
      <c r="D63" s="121" t="str">
        <f t="shared" si="0"/>
        <v>3x1,5</v>
      </c>
      <c r="E63" s="121">
        <v>8</v>
      </c>
      <c r="F63" s="121" t="s">
        <v>197</v>
      </c>
      <c r="G63" s="5" t="str">
        <f t="shared" ref="G63:G68" si="31">IF(
 ISNUMBER(MATCH("*PG13*",F63,0)),
 "PG13",
 IF(
  ISNUMBER(MATCH("*PG16*",F63,0)),
  "PG16",
  IF(
   ISNUMBER(MATCH("*PG21*",F63,0)),
   "PG21",
   IF(
    ISNUMBER(MATCH("*PG29*",F63,0)),
    "PG29",
    IF(
     ISNUMBER(MATCH("*PG36*",F63,0)),
     "PG36",
     0
    )
   )
  )
 )
)</f>
        <v>PG13</v>
      </c>
      <c r="H63" s="5">
        <f t="shared" ref="H63:H94" si="32">IF(
 ISNUMBER(MATCH("*PG42*",F63,0)),
 "PG42",
 IF(
  ISNUMBER(MATCH("*PG48*",F63,0)),
  "PG48",
  IF(
   ISNUMBER(MATCH("*MG63*",F63,0)),
   "MG63",
   IF(
    ISNUMBER(MATCH("*У479*",F63,0)),
    "У479",
    IF(
     ISNUMBER(MATCH("*У480*",F63,0)),
     "У480",
     0
    )
   )
  )
 )
)</f>
        <v>0</v>
      </c>
      <c r="I63" s="126" t="str">
        <f t="shared" ref="I63:I94" si="33">A63&amp;" "&amp;D63</f>
        <v>ВВГНг 3x1,5</v>
      </c>
      <c r="J63" s="5" t="str">
        <f t="shared" ref="J63:J68" si="34">IF(G63=0,H63,G63)</f>
        <v>PG13</v>
      </c>
      <c r="K63" s="22"/>
      <c r="L63" s="296" t="s">
        <v>928</v>
      </c>
      <c r="M63" s="933" t="s">
        <v>422</v>
      </c>
      <c r="O63" s="33"/>
    </row>
    <row r="64" spans="1:15" x14ac:dyDescent="0.2">
      <c r="A64" s="121" t="s">
        <v>159</v>
      </c>
      <c r="B64" s="121">
        <v>3</v>
      </c>
      <c r="C64" s="121">
        <v>1.5</v>
      </c>
      <c r="D64" s="121" t="str">
        <f t="shared" si="0"/>
        <v>3x1,5</v>
      </c>
      <c r="E64" s="121">
        <v>8</v>
      </c>
      <c r="F64" s="121" t="s">
        <v>197</v>
      </c>
      <c r="G64" s="5" t="str">
        <f t="shared" si="31"/>
        <v>PG13</v>
      </c>
      <c r="H64" s="5">
        <f t="shared" si="32"/>
        <v>0</v>
      </c>
      <c r="I64" s="126" t="str">
        <f t="shared" si="33"/>
        <v>ВВГнг-LS 3x1,5</v>
      </c>
      <c r="J64" s="5" t="str">
        <f t="shared" si="34"/>
        <v>PG13</v>
      </c>
      <c r="K64" s="22"/>
      <c r="L64" s="296" t="s">
        <v>412</v>
      </c>
      <c r="O64" s="33"/>
    </row>
    <row r="65" spans="1:15" x14ac:dyDescent="0.2">
      <c r="A65" s="121" t="s">
        <v>208</v>
      </c>
      <c r="B65" s="121">
        <v>3</v>
      </c>
      <c r="C65" s="121">
        <v>1.5</v>
      </c>
      <c r="D65" s="121" t="str">
        <f t="shared" si="0"/>
        <v>3x1,5</v>
      </c>
      <c r="E65" s="121">
        <v>8.3000000000000007</v>
      </c>
      <c r="F65" s="121" t="s">
        <v>197</v>
      </c>
      <c r="G65" s="5" t="str">
        <f t="shared" si="31"/>
        <v>PG13</v>
      </c>
      <c r="H65" s="5">
        <f t="shared" si="32"/>
        <v>0</v>
      </c>
      <c r="I65" s="126" t="str">
        <f t="shared" si="33"/>
        <v>КГВВнг 3x1,5</v>
      </c>
      <c r="J65" s="5" t="str">
        <f t="shared" si="34"/>
        <v>PG13</v>
      </c>
      <c r="K65" s="22"/>
      <c r="L65" s="296" t="s">
        <v>350</v>
      </c>
      <c r="O65" s="33"/>
    </row>
    <row r="66" spans="1:15" x14ac:dyDescent="0.2">
      <c r="A66" s="121" t="s">
        <v>210</v>
      </c>
      <c r="B66" s="121">
        <v>3</v>
      </c>
      <c r="C66" s="121">
        <v>1.5</v>
      </c>
      <c r="D66" s="121" t="str">
        <f t="shared" si="0"/>
        <v>3x1,5</v>
      </c>
      <c r="E66" s="121">
        <v>8.3000000000000007</v>
      </c>
      <c r="F66" s="121" t="s">
        <v>197</v>
      </c>
      <c r="G66" s="5" t="str">
        <f t="shared" si="31"/>
        <v>PG13</v>
      </c>
      <c r="H66" s="5">
        <f t="shared" si="32"/>
        <v>0</v>
      </c>
      <c r="I66" s="126" t="str">
        <f t="shared" si="33"/>
        <v>КМПВнг-LS 3x1,5</v>
      </c>
      <c r="J66" s="5" t="str">
        <f t="shared" si="34"/>
        <v>PG13</v>
      </c>
      <c r="K66" s="22"/>
      <c r="L66" s="296" t="s">
        <v>413</v>
      </c>
      <c r="O66" s="33"/>
    </row>
    <row r="67" spans="1:15" x14ac:dyDescent="0.2">
      <c r="A67" s="121" t="s">
        <v>205</v>
      </c>
      <c r="B67" s="121">
        <v>3</v>
      </c>
      <c r="C67" s="121">
        <v>1.5</v>
      </c>
      <c r="D67" s="121" t="str">
        <f t="shared" ref="D67:D130" si="35">B67&amp;"x"&amp;C67</f>
        <v>3x1,5</v>
      </c>
      <c r="E67" s="121">
        <v>12.1</v>
      </c>
      <c r="F67" s="121" t="s">
        <v>195</v>
      </c>
      <c r="G67" s="5" t="str">
        <f t="shared" si="31"/>
        <v>PG16</v>
      </c>
      <c r="H67" s="5">
        <f t="shared" si="32"/>
        <v>0</v>
      </c>
      <c r="I67" s="126" t="str">
        <f t="shared" si="33"/>
        <v>КВВГнг-LS 3x1,5</v>
      </c>
      <c r="J67" s="5" t="str">
        <f t="shared" si="34"/>
        <v>PG16</v>
      </c>
      <c r="K67" s="22"/>
      <c r="L67" s="296" t="s">
        <v>414</v>
      </c>
      <c r="O67" s="33"/>
    </row>
    <row r="68" spans="1:15" x14ac:dyDescent="0.2">
      <c r="A68" s="121" t="s">
        <v>201</v>
      </c>
      <c r="B68" s="121">
        <v>3</v>
      </c>
      <c r="C68" s="121">
        <v>1.5</v>
      </c>
      <c r="D68" s="121" t="str">
        <f t="shared" si="35"/>
        <v>3x1,5</v>
      </c>
      <c r="E68" s="121">
        <v>13.8</v>
      </c>
      <c r="F68" s="121" t="s">
        <v>194</v>
      </c>
      <c r="G68" s="5" t="str">
        <f t="shared" si="31"/>
        <v>PG21</v>
      </c>
      <c r="H68" s="5">
        <f t="shared" si="32"/>
        <v>0</v>
      </c>
      <c r="I68" s="126" t="str">
        <f t="shared" si="33"/>
        <v>ВВГнг-FRLS 3x1,5</v>
      </c>
      <c r="J68" s="5" t="str">
        <f t="shared" si="34"/>
        <v>PG21</v>
      </c>
      <c r="K68" s="22"/>
      <c r="L68" s="296" t="s">
        <v>415</v>
      </c>
      <c r="O68" s="33"/>
    </row>
    <row r="69" spans="1:15" x14ac:dyDescent="0.2">
      <c r="A69" s="121" t="s">
        <v>30</v>
      </c>
      <c r="B69" s="121">
        <v>3</v>
      </c>
      <c r="C69" s="121">
        <v>2.5</v>
      </c>
      <c r="D69" s="121" t="str">
        <f t="shared" si="35"/>
        <v>3x2,5</v>
      </c>
      <c r="E69" s="121">
        <v>0</v>
      </c>
      <c r="F69" s="296" t="str">
        <f>F70</f>
        <v>18153413  САЛЬНИК PG13.5, ДИАМЕТР ПРОВОДНИКА 7...11 ММ ТУ 3449-110-18461115-03</v>
      </c>
      <c r="G69" s="1087" t="str">
        <f>G70</f>
        <v>PG13</v>
      </c>
      <c r="H69" s="1087">
        <f t="shared" si="32"/>
        <v>0</v>
      </c>
      <c r="I69" s="543" t="str">
        <f t="shared" si="33"/>
        <v>- 3x2,5</v>
      </c>
      <c r="J69" s="1087" t="str">
        <f t="shared" ref="J69" si="36">J70</f>
        <v>PG13</v>
      </c>
      <c r="K69" s="22"/>
      <c r="L69" s="296" t="s">
        <v>349</v>
      </c>
      <c r="O69" s="33"/>
    </row>
    <row r="70" spans="1:15" x14ac:dyDescent="0.2">
      <c r="A70" s="121" t="s">
        <v>196</v>
      </c>
      <c r="B70" s="121">
        <v>3</v>
      </c>
      <c r="C70" s="121">
        <v>2.5</v>
      </c>
      <c r="D70" s="121" t="str">
        <f t="shared" si="35"/>
        <v>3x2,5</v>
      </c>
      <c r="E70" s="121">
        <v>9.4</v>
      </c>
      <c r="F70" s="121" t="s">
        <v>197</v>
      </c>
      <c r="G70" s="5" t="str">
        <f t="shared" ref="G70:G81" si="37">IF(
 ISNUMBER(MATCH("*PG13*",F70,0)),
 "PG13",
 IF(
  ISNUMBER(MATCH("*PG16*",F70,0)),
  "PG16",
  IF(
   ISNUMBER(MATCH("*PG21*",F70,0)),
   "PG21",
   IF(
    ISNUMBER(MATCH("*PG29*",F70,0)),
    "PG29",
    IF(
     ISNUMBER(MATCH("*PG36*",F70,0)),
     "PG36",
     0
    )
   )
  )
 )
)</f>
        <v>PG13</v>
      </c>
      <c r="H70" s="5">
        <f t="shared" si="32"/>
        <v>0</v>
      </c>
      <c r="I70" s="126" t="str">
        <f t="shared" si="33"/>
        <v>АВВГнг-LS 3x2,5</v>
      </c>
      <c r="J70" s="5" t="str">
        <f t="shared" ref="J70:J81" si="38">IF(G70=0,H70,G70)</f>
        <v>PG13</v>
      </c>
      <c r="K70" s="22"/>
      <c r="L70" s="296" t="s">
        <v>416</v>
      </c>
      <c r="O70" s="33"/>
    </row>
    <row r="71" spans="1:15" x14ac:dyDescent="0.2">
      <c r="A71" s="121" t="s">
        <v>208</v>
      </c>
      <c r="B71" s="121">
        <v>3</v>
      </c>
      <c r="C71" s="121">
        <v>2.5</v>
      </c>
      <c r="D71" s="121" t="str">
        <f t="shared" si="35"/>
        <v>3x2,5</v>
      </c>
      <c r="E71" s="121">
        <v>10</v>
      </c>
      <c r="F71" s="121" t="s">
        <v>197</v>
      </c>
      <c r="G71" s="5" t="str">
        <f t="shared" si="37"/>
        <v>PG13</v>
      </c>
      <c r="H71" s="5">
        <f t="shared" si="32"/>
        <v>0</v>
      </c>
      <c r="I71" s="126" t="str">
        <f t="shared" si="33"/>
        <v>КГВВнг 3x2,5</v>
      </c>
      <c r="J71" s="5" t="str">
        <f t="shared" si="38"/>
        <v>PG13</v>
      </c>
      <c r="K71" s="22"/>
      <c r="L71" s="296" t="s">
        <v>417</v>
      </c>
      <c r="O71" s="33"/>
    </row>
    <row r="72" spans="1:15" x14ac:dyDescent="0.2">
      <c r="A72" s="121" t="s">
        <v>898</v>
      </c>
      <c r="B72" s="121">
        <v>3</v>
      </c>
      <c r="C72" s="121">
        <v>2.5</v>
      </c>
      <c r="D72" s="121" t="str">
        <f t="shared" si="35"/>
        <v>3x2,5</v>
      </c>
      <c r="E72" s="121">
        <v>10.1</v>
      </c>
      <c r="F72" s="121" t="s">
        <v>197</v>
      </c>
      <c r="G72" s="5" t="str">
        <f t="shared" si="37"/>
        <v>PG13</v>
      </c>
      <c r="H72" s="5">
        <f t="shared" si="32"/>
        <v>0</v>
      </c>
      <c r="I72" s="126" t="str">
        <f t="shared" si="33"/>
        <v>ВВГНг 3x2,5</v>
      </c>
      <c r="J72" s="5" t="str">
        <f t="shared" si="38"/>
        <v>PG13</v>
      </c>
      <c r="K72" s="22"/>
      <c r="L72" s="296" t="s">
        <v>418</v>
      </c>
      <c r="O72" s="33"/>
    </row>
    <row r="73" spans="1:15" x14ac:dyDescent="0.2">
      <c r="A73" s="121" t="s">
        <v>212</v>
      </c>
      <c r="B73" s="121">
        <v>3</v>
      </c>
      <c r="C73" s="121">
        <v>2.5</v>
      </c>
      <c r="D73" s="121" t="str">
        <f t="shared" si="35"/>
        <v>3x2,5</v>
      </c>
      <c r="E73" s="121">
        <v>10.199999999999999</v>
      </c>
      <c r="F73" s="121" t="s">
        <v>197</v>
      </c>
      <c r="G73" s="5" t="str">
        <f t="shared" si="37"/>
        <v>PG13</v>
      </c>
      <c r="H73" s="5">
        <f t="shared" si="32"/>
        <v>0</v>
      </c>
      <c r="I73" s="126" t="str">
        <f t="shared" si="33"/>
        <v>ППГнг-FRHF 3x2,5</v>
      </c>
      <c r="J73" s="5" t="str">
        <f t="shared" si="38"/>
        <v>PG13</v>
      </c>
      <c r="K73" s="22"/>
      <c r="L73" s="296" t="s">
        <v>419</v>
      </c>
      <c r="O73" s="33"/>
    </row>
    <row r="74" spans="1:15" x14ac:dyDescent="0.2">
      <c r="A74" s="121" t="s">
        <v>213</v>
      </c>
      <c r="B74" s="121">
        <v>3</v>
      </c>
      <c r="C74" s="121">
        <v>2.5</v>
      </c>
      <c r="D74" s="121" t="str">
        <f t="shared" si="35"/>
        <v>3x2,5</v>
      </c>
      <c r="E74" s="121">
        <v>11.1</v>
      </c>
      <c r="F74" s="121" t="s">
        <v>195</v>
      </c>
      <c r="G74" s="5" t="str">
        <f t="shared" si="37"/>
        <v>PG16</v>
      </c>
      <c r="H74" s="5">
        <f t="shared" si="32"/>
        <v>0</v>
      </c>
      <c r="I74" s="126" t="str">
        <f t="shared" si="33"/>
        <v>ППГнг-НF 3x2,5</v>
      </c>
      <c r="J74" s="5" t="str">
        <f t="shared" si="38"/>
        <v>PG16</v>
      </c>
      <c r="K74" s="22"/>
      <c r="L74" s="296" t="s">
        <v>420</v>
      </c>
    </row>
    <row r="75" spans="1:15" x14ac:dyDescent="0.2">
      <c r="A75" s="121" t="s">
        <v>159</v>
      </c>
      <c r="B75" s="121">
        <v>3</v>
      </c>
      <c r="C75" s="121">
        <v>2.5</v>
      </c>
      <c r="D75" s="121" t="str">
        <f t="shared" si="35"/>
        <v>3x2,5</v>
      </c>
      <c r="E75" s="121">
        <v>11.8</v>
      </c>
      <c r="F75" s="121" t="s">
        <v>195</v>
      </c>
      <c r="G75" s="5" t="str">
        <f t="shared" si="37"/>
        <v>PG16</v>
      </c>
      <c r="H75" s="5">
        <f t="shared" si="32"/>
        <v>0</v>
      </c>
      <c r="I75" s="126" t="str">
        <f t="shared" si="33"/>
        <v>ВВГнг-LS 3x2,5</v>
      </c>
      <c r="J75" s="5" t="str">
        <f t="shared" si="38"/>
        <v>PG16</v>
      </c>
      <c r="K75" s="22"/>
      <c r="L75" s="296" t="s">
        <v>421</v>
      </c>
    </row>
    <row r="76" spans="1:15" x14ac:dyDescent="0.2">
      <c r="A76" s="121" t="s">
        <v>899</v>
      </c>
      <c r="B76" s="121">
        <v>3</v>
      </c>
      <c r="C76" s="121">
        <v>2.5</v>
      </c>
      <c r="D76" s="121" t="str">
        <f t="shared" si="35"/>
        <v>3x2,5</v>
      </c>
      <c r="E76" s="121">
        <v>13.2</v>
      </c>
      <c r="F76" s="121" t="s">
        <v>194</v>
      </c>
      <c r="G76" s="5" t="str">
        <f t="shared" si="37"/>
        <v>PG21</v>
      </c>
      <c r="H76" s="5">
        <f t="shared" si="32"/>
        <v>0</v>
      </c>
      <c r="I76" s="126" t="str">
        <f t="shared" si="33"/>
        <v>ВВГЭнг(А)-LS 3x2,5</v>
      </c>
      <c r="J76" s="5" t="str">
        <f t="shared" si="38"/>
        <v>PG21</v>
      </c>
      <c r="K76" s="22"/>
      <c r="L76" s="296" t="s">
        <v>422</v>
      </c>
    </row>
    <row r="77" spans="1:15" x14ac:dyDescent="0.2">
      <c r="A77" s="121" t="s">
        <v>909</v>
      </c>
      <c r="B77" s="121">
        <v>3</v>
      </c>
      <c r="C77" s="121">
        <v>2.5</v>
      </c>
      <c r="D77" s="121" t="str">
        <f t="shared" si="35"/>
        <v>3x2,5</v>
      </c>
      <c r="E77" s="121">
        <v>13.4</v>
      </c>
      <c r="F77" s="121" t="s">
        <v>194</v>
      </c>
      <c r="G77" s="5" t="str">
        <f t="shared" si="37"/>
        <v>PG21</v>
      </c>
      <c r="H77" s="5">
        <f t="shared" si="32"/>
        <v>0</v>
      </c>
      <c r="I77" s="126" t="str">
        <f t="shared" si="33"/>
        <v>ПвПнг(А)-HF 3x2,5</v>
      </c>
      <c r="J77" s="5" t="str">
        <f t="shared" si="38"/>
        <v>PG21</v>
      </c>
      <c r="K77" s="22"/>
      <c r="L77" s="296" t="s">
        <v>423</v>
      </c>
    </row>
    <row r="78" spans="1:15" x14ac:dyDescent="0.2">
      <c r="A78" s="121" t="s">
        <v>200</v>
      </c>
      <c r="B78" s="121">
        <v>3</v>
      </c>
      <c r="C78" s="121">
        <v>2.5</v>
      </c>
      <c r="D78" s="121" t="str">
        <f t="shared" si="35"/>
        <v>3x2,5</v>
      </c>
      <c r="E78" s="121">
        <v>14.3</v>
      </c>
      <c r="F78" s="121" t="s">
        <v>194</v>
      </c>
      <c r="G78" s="5" t="str">
        <f t="shared" si="37"/>
        <v>PG21</v>
      </c>
      <c r="H78" s="5">
        <f t="shared" si="32"/>
        <v>0</v>
      </c>
      <c r="I78" s="126" t="str">
        <f t="shared" si="33"/>
        <v>ВБбШвнг 3x2,5</v>
      </c>
      <c r="J78" s="5" t="str">
        <f t="shared" si="38"/>
        <v>PG21</v>
      </c>
      <c r="K78" s="22"/>
      <c r="L78" s="296" t="s">
        <v>929</v>
      </c>
    </row>
    <row r="79" spans="1:15" x14ac:dyDescent="0.2">
      <c r="A79" s="121" t="s">
        <v>201</v>
      </c>
      <c r="B79" s="121">
        <v>3</v>
      </c>
      <c r="C79" s="121">
        <v>2.5</v>
      </c>
      <c r="D79" s="121" t="str">
        <f t="shared" si="35"/>
        <v>3x2,5</v>
      </c>
      <c r="E79" s="121">
        <v>14.7</v>
      </c>
      <c r="F79" s="121" t="s">
        <v>194</v>
      </c>
      <c r="G79" s="5" t="str">
        <f t="shared" si="37"/>
        <v>PG21</v>
      </c>
      <c r="H79" s="5">
        <f t="shared" si="32"/>
        <v>0</v>
      </c>
      <c r="I79" s="126" t="str">
        <f t="shared" si="33"/>
        <v>ВВГнг-FRLS 3x2,5</v>
      </c>
      <c r="J79" s="5" t="str">
        <f t="shared" si="38"/>
        <v>PG21</v>
      </c>
      <c r="K79" s="22"/>
      <c r="L79" s="296" t="s">
        <v>930</v>
      </c>
    </row>
    <row r="80" spans="1:15" x14ac:dyDescent="0.2">
      <c r="A80" s="121" t="s">
        <v>204</v>
      </c>
      <c r="B80" s="121">
        <v>3</v>
      </c>
      <c r="C80" s="121">
        <v>2.5</v>
      </c>
      <c r="D80" s="121" t="str">
        <f t="shared" si="35"/>
        <v>3x2,5</v>
      </c>
      <c r="E80" s="121">
        <v>15.5</v>
      </c>
      <c r="F80" s="121" t="s">
        <v>194</v>
      </c>
      <c r="G80" s="5" t="str">
        <f t="shared" si="37"/>
        <v>PG21</v>
      </c>
      <c r="H80" s="5">
        <f t="shared" si="32"/>
        <v>0</v>
      </c>
      <c r="I80" s="126" t="str">
        <f t="shared" si="33"/>
        <v>КВВГнг-FRLS 3x2,5</v>
      </c>
      <c r="J80" s="5" t="str">
        <f t="shared" si="38"/>
        <v>PG21</v>
      </c>
      <c r="K80" s="22"/>
    </row>
    <row r="81" spans="1:11" x14ac:dyDescent="0.2">
      <c r="A81" s="121" t="s">
        <v>907</v>
      </c>
      <c r="B81" s="121">
        <v>3</v>
      </c>
      <c r="C81" s="121">
        <v>2.5</v>
      </c>
      <c r="D81" s="121" t="str">
        <f t="shared" si="35"/>
        <v>3x2,5</v>
      </c>
      <c r="E81" s="121">
        <v>16.399999999999999</v>
      </c>
      <c r="F81" s="121" t="s">
        <v>194</v>
      </c>
      <c r="G81" s="5" t="str">
        <f t="shared" si="37"/>
        <v>PG21</v>
      </c>
      <c r="H81" s="5">
        <f t="shared" si="32"/>
        <v>0</v>
      </c>
      <c r="I81" s="126" t="str">
        <f t="shared" si="33"/>
        <v>ПвПГнг(А)-FRHF 3x2,5</v>
      </c>
      <c r="J81" s="5" t="str">
        <f t="shared" si="38"/>
        <v>PG21</v>
      </c>
      <c r="K81" s="22"/>
    </row>
    <row r="82" spans="1:11" x14ac:dyDescent="0.2">
      <c r="A82" s="121" t="s">
        <v>30</v>
      </c>
      <c r="B82" s="121">
        <v>3</v>
      </c>
      <c r="C82" s="121">
        <v>4</v>
      </c>
      <c r="D82" s="121" t="str">
        <f t="shared" si="35"/>
        <v>3x4</v>
      </c>
      <c r="E82" s="121">
        <v>0</v>
      </c>
      <c r="F82" s="296" t="str">
        <f>F83</f>
        <v>18153414  САЛЬНИК PG16, ДИАМЕТР ПРОВОДНИКА 9...13 ММ ТУ 3449-110-18461115-03</v>
      </c>
      <c r="G82" s="1087" t="str">
        <f>G83</f>
        <v>PG16</v>
      </c>
      <c r="H82" s="1087">
        <f t="shared" si="32"/>
        <v>0</v>
      </c>
      <c r="I82" s="543" t="str">
        <f t="shared" si="33"/>
        <v>- 3x4</v>
      </c>
      <c r="J82" s="1087" t="str">
        <f t="shared" ref="J82" si="39">J83</f>
        <v>PG16</v>
      </c>
      <c r="K82" s="22"/>
    </row>
    <row r="83" spans="1:11" x14ac:dyDescent="0.2">
      <c r="A83" s="121" t="s">
        <v>196</v>
      </c>
      <c r="B83" s="121">
        <v>3</v>
      </c>
      <c r="C83" s="121">
        <v>4</v>
      </c>
      <c r="D83" s="121" t="str">
        <f t="shared" si="35"/>
        <v>3x4</v>
      </c>
      <c r="E83" s="121">
        <v>11.5</v>
      </c>
      <c r="F83" s="121" t="s">
        <v>195</v>
      </c>
      <c r="G83" s="5" t="str">
        <f t="shared" ref="G83:G89" si="40">IF(
 ISNUMBER(MATCH("*PG13*",F83,0)),
 "PG13",
 IF(
  ISNUMBER(MATCH("*PG16*",F83,0)),
  "PG16",
  IF(
   ISNUMBER(MATCH("*PG21*",F83,0)),
   "PG21",
   IF(
    ISNUMBER(MATCH("*PG29*",F83,0)),
    "PG29",
    IF(
     ISNUMBER(MATCH("*PG36*",F83,0)),
     "PG36",
     0
    )
   )
  )
 )
)</f>
        <v>PG16</v>
      </c>
      <c r="H83" s="5">
        <f t="shared" si="32"/>
        <v>0</v>
      </c>
      <c r="I83" s="126" t="str">
        <f t="shared" si="33"/>
        <v>АВВГнг-LS 3x4</v>
      </c>
      <c r="J83" s="5" t="str">
        <f t="shared" ref="J83:J89" si="41">IF(G83=0,H83,G83)</f>
        <v>PG16</v>
      </c>
      <c r="K83" s="22"/>
    </row>
    <row r="84" spans="1:11" x14ac:dyDescent="0.2">
      <c r="A84" s="121" t="s">
        <v>196</v>
      </c>
      <c r="B84" s="121">
        <v>3</v>
      </c>
      <c r="C84" s="121">
        <v>4</v>
      </c>
      <c r="D84" s="121" t="str">
        <f t="shared" si="35"/>
        <v>3x4</v>
      </c>
      <c r="E84" s="121">
        <v>11.6</v>
      </c>
      <c r="F84" s="121" t="s">
        <v>195</v>
      </c>
      <c r="G84" s="5" t="str">
        <f t="shared" si="40"/>
        <v>PG16</v>
      </c>
      <c r="H84" s="5">
        <f t="shared" si="32"/>
        <v>0</v>
      </c>
      <c r="I84" s="126" t="str">
        <f t="shared" si="33"/>
        <v>АВВГнг-LS 3x4</v>
      </c>
      <c r="J84" s="5" t="str">
        <f t="shared" si="41"/>
        <v>PG16</v>
      </c>
      <c r="K84" s="22"/>
    </row>
    <row r="85" spans="1:11" x14ac:dyDescent="0.2">
      <c r="A85" s="121" t="s">
        <v>159</v>
      </c>
      <c r="B85" s="121">
        <v>3</v>
      </c>
      <c r="C85" s="121">
        <v>4</v>
      </c>
      <c r="D85" s="121" t="str">
        <f t="shared" si="35"/>
        <v>3x4</v>
      </c>
      <c r="E85" s="121">
        <v>13.3</v>
      </c>
      <c r="F85" s="121" t="s">
        <v>194</v>
      </c>
      <c r="G85" s="5" t="str">
        <f t="shared" si="40"/>
        <v>PG21</v>
      </c>
      <c r="H85" s="5">
        <f t="shared" si="32"/>
        <v>0</v>
      </c>
      <c r="I85" s="126" t="str">
        <f t="shared" si="33"/>
        <v>ВВГнг-LS 3x4</v>
      </c>
      <c r="J85" s="5" t="str">
        <f t="shared" si="41"/>
        <v>PG21</v>
      </c>
      <c r="K85" s="22"/>
    </row>
    <row r="86" spans="1:11" x14ac:dyDescent="0.2">
      <c r="A86" s="121" t="s">
        <v>898</v>
      </c>
      <c r="B86" s="121">
        <v>3</v>
      </c>
      <c r="C86" s="121">
        <v>4</v>
      </c>
      <c r="D86" s="121" t="str">
        <f t="shared" si="35"/>
        <v>3x4</v>
      </c>
      <c r="E86" s="121">
        <v>13.8</v>
      </c>
      <c r="F86" s="121" t="s">
        <v>194</v>
      </c>
      <c r="G86" s="5" t="str">
        <f t="shared" si="40"/>
        <v>PG21</v>
      </c>
      <c r="H86" s="5">
        <f t="shared" si="32"/>
        <v>0</v>
      </c>
      <c r="I86" s="126" t="str">
        <f t="shared" si="33"/>
        <v>ВВГНг 3x4</v>
      </c>
      <c r="J86" s="5" t="str">
        <f t="shared" si="41"/>
        <v>PG21</v>
      </c>
      <c r="K86" s="22"/>
    </row>
    <row r="87" spans="1:11" x14ac:dyDescent="0.2">
      <c r="A87" s="121" t="s">
        <v>909</v>
      </c>
      <c r="B87" s="121">
        <v>3</v>
      </c>
      <c r="C87" s="121">
        <v>4</v>
      </c>
      <c r="D87" s="121" t="str">
        <f t="shared" si="35"/>
        <v>3x4</v>
      </c>
      <c r="E87" s="121">
        <v>14.5</v>
      </c>
      <c r="F87" s="121" t="s">
        <v>194</v>
      </c>
      <c r="G87" s="5" t="str">
        <f t="shared" si="40"/>
        <v>PG21</v>
      </c>
      <c r="H87" s="5">
        <f t="shared" si="32"/>
        <v>0</v>
      </c>
      <c r="I87" s="126" t="str">
        <f t="shared" si="33"/>
        <v>ПвПнг(А)-HF 3x4</v>
      </c>
      <c r="J87" s="5" t="str">
        <f t="shared" si="41"/>
        <v>PG21</v>
      </c>
      <c r="K87" s="22"/>
    </row>
    <row r="88" spans="1:11" x14ac:dyDescent="0.2">
      <c r="A88" s="121" t="s">
        <v>201</v>
      </c>
      <c r="B88" s="121">
        <v>3</v>
      </c>
      <c r="C88" s="121">
        <v>4</v>
      </c>
      <c r="D88" s="121" t="str">
        <f t="shared" si="35"/>
        <v>3x4</v>
      </c>
      <c r="E88" s="121">
        <v>16.5</v>
      </c>
      <c r="F88" s="121" t="s">
        <v>194</v>
      </c>
      <c r="G88" s="5" t="str">
        <f t="shared" si="40"/>
        <v>PG21</v>
      </c>
      <c r="H88" s="5">
        <f t="shared" si="32"/>
        <v>0</v>
      </c>
      <c r="I88" s="126" t="str">
        <f t="shared" si="33"/>
        <v>ВВГнг-FRLS 3x4</v>
      </c>
      <c r="J88" s="5" t="str">
        <f t="shared" si="41"/>
        <v>PG21</v>
      </c>
      <c r="K88" s="22"/>
    </row>
    <row r="89" spans="1:11" x14ac:dyDescent="0.2">
      <c r="A89" s="121" t="s">
        <v>212</v>
      </c>
      <c r="B89" s="121">
        <v>3</v>
      </c>
      <c r="C89" s="121">
        <v>4</v>
      </c>
      <c r="D89" s="121" t="str">
        <f t="shared" si="35"/>
        <v>3x4</v>
      </c>
      <c r="E89" s="121">
        <v>16.8</v>
      </c>
      <c r="F89" s="121" t="s">
        <v>194</v>
      </c>
      <c r="G89" s="5" t="str">
        <f t="shared" si="40"/>
        <v>PG21</v>
      </c>
      <c r="H89" s="5">
        <f t="shared" si="32"/>
        <v>0</v>
      </c>
      <c r="I89" s="126" t="str">
        <f t="shared" si="33"/>
        <v>ППГнг-FRHF 3x4</v>
      </c>
      <c r="J89" s="5" t="str">
        <f t="shared" si="41"/>
        <v>PG21</v>
      </c>
      <c r="K89" s="22"/>
    </row>
    <row r="90" spans="1:11" x14ac:dyDescent="0.2">
      <c r="A90" s="121" t="s">
        <v>30</v>
      </c>
      <c r="B90" s="121">
        <v>3</v>
      </c>
      <c r="C90" s="121">
        <v>6</v>
      </c>
      <c r="D90" s="121" t="str">
        <f t="shared" si="35"/>
        <v>3x6</v>
      </c>
      <c r="E90" s="121">
        <v>0</v>
      </c>
      <c r="F90" s="296" t="str">
        <f>F91</f>
        <v>18153414  САЛЬНИК PG16, ДИАМЕТР ПРОВОДНИКА 9...13 ММ ТУ 3449-110-18461115-03</v>
      </c>
      <c r="G90" s="1087" t="str">
        <f>G91</f>
        <v>PG16</v>
      </c>
      <c r="H90" s="1087">
        <f t="shared" si="32"/>
        <v>0</v>
      </c>
      <c r="I90" s="543" t="str">
        <f t="shared" si="33"/>
        <v>- 3x6</v>
      </c>
      <c r="J90" s="1087" t="str">
        <f t="shared" ref="J90" si="42">J91</f>
        <v>PG16</v>
      </c>
      <c r="K90" s="22"/>
    </row>
    <row r="91" spans="1:11" x14ac:dyDescent="0.2">
      <c r="A91" s="121" t="s">
        <v>896</v>
      </c>
      <c r="B91" s="121">
        <v>3</v>
      </c>
      <c r="C91" s="121">
        <v>6</v>
      </c>
      <c r="D91" s="121" t="str">
        <f t="shared" si="35"/>
        <v>3x6</v>
      </c>
      <c r="E91" s="121">
        <v>11.9</v>
      </c>
      <c r="F91" s="121" t="s">
        <v>195</v>
      </c>
      <c r="G91" s="5" t="str">
        <f t="shared" ref="G91:G96" si="43">IF(
 ISNUMBER(MATCH("*PG13*",F91,0)),
 "PG13",
 IF(
  ISNUMBER(MATCH("*PG16*",F91,0)),
  "PG16",
  IF(
   ISNUMBER(MATCH("*PG21*",F91,0)),
   "PG21",
   IF(
    ISNUMBER(MATCH("*PG29*",F91,0)),
    "PG29",
    IF(
     ISNUMBER(MATCH("*PG36*",F91,0)),
     "PG36",
     0
    )
   )
  )
 )
)</f>
        <v>PG16</v>
      </c>
      <c r="H91" s="5">
        <f t="shared" si="32"/>
        <v>0</v>
      </c>
      <c r="I91" s="126" t="str">
        <f t="shared" si="33"/>
        <v>АВВГНг 3x6</v>
      </c>
      <c r="J91" s="5" t="str">
        <f t="shared" ref="J91:J96" si="44">IF(G91=0,H91,G91)</f>
        <v>PG16</v>
      </c>
      <c r="K91" s="22"/>
    </row>
    <row r="92" spans="1:11" x14ac:dyDescent="0.2">
      <c r="A92" s="121" t="s">
        <v>196</v>
      </c>
      <c r="B92" s="121">
        <v>3</v>
      </c>
      <c r="C92" s="121">
        <v>6</v>
      </c>
      <c r="D92" s="121" t="str">
        <f t="shared" si="35"/>
        <v>3x6</v>
      </c>
      <c r="E92" s="121">
        <v>12</v>
      </c>
      <c r="F92" s="121" t="s">
        <v>195</v>
      </c>
      <c r="G92" s="5" t="str">
        <f t="shared" si="43"/>
        <v>PG16</v>
      </c>
      <c r="H92" s="5">
        <f t="shared" si="32"/>
        <v>0</v>
      </c>
      <c r="I92" s="126" t="str">
        <f t="shared" si="33"/>
        <v>АВВГнг-LS 3x6</v>
      </c>
      <c r="J92" s="5" t="str">
        <f t="shared" si="44"/>
        <v>PG16</v>
      </c>
      <c r="K92" s="22"/>
    </row>
    <row r="93" spans="1:11" x14ac:dyDescent="0.2">
      <c r="A93" s="121" t="s">
        <v>213</v>
      </c>
      <c r="B93" s="121">
        <v>3</v>
      </c>
      <c r="C93" s="121">
        <v>6</v>
      </c>
      <c r="D93" s="121" t="str">
        <f t="shared" si="35"/>
        <v>3x6</v>
      </c>
      <c r="E93" s="121">
        <v>14.1</v>
      </c>
      <c r="F93" s="121" t="s">
        <v>194</v>
      </c>
      <c r="G93" s="5" t="str">
        <f t="shared" si="43"/>
        <v>PG21</v>
      </c>
      <c r="H93" s="5">
        <f t="shared" si="32"/>
        <v>0</v>
      </c>
      <c r="I93" s="126" t="str">
        <f t="shared" si="33"/>
        <v>ППГнг-НF 3x6</v>
      </c>
      <c r="J93" s="5" t="str">
        <f t="shared" si="44"/>
        <v>PG21</v>
      </c>
      <c r="K93" s="22"/>
    </row>
    <row r="94" spans="1:11" x14ac:dyDescent="0.2">
      <c r="A94" s="121" t="s">
        <v>159</v>
      </c>
      <c r="B94" s="121">
        <v>3</v>
      </c>
      <c r="C94" s="121">
        <v>6</v>
      </c>
      <c r="D94" s="121" t="str">
        <f t="shared" si="35"/>
        <v>3x6</v>
      </c>
      <c r="E94" s="121">
        <v>14.3</v>
      </c>
      <c r="F94" s="121" t="s">
        <v>194</v>
      </c>
      <c r="G94" s="5" t="str">
        <f t="shared" si="43"/>
        <v>PG21</v>
      </c>
      <c r="H94" s="5">
        <f t="shared" si="32"/>
        <v>0</v>
      </c>
      <c r="I94" s="126" t="str">
        <f t="shared" si="33"/>
        <v>ВВГнг-LS 3x6</v>
      </c>
      <c r="J94" s="5" t="str">
        <f t="shared" si="44"/>
        <v>PG21</v>
      </c>
      <c r="K94" s="22"/>
    </row>
    <row r="95" spans="1:11" x14ac:dyDescent="0.2">
      <c r="A95" s="121" t="s">
        <v>898</v>
      </c>
      <c r="B95" s="121">
        <v>3</v>
      </c>
      <c r="C95" s="121">
        <v>6</v>
      </c>
      <c r="D95" s="121" t="str">
        <f t="shared" si="35"/>
        <v>3x6</v>
      </c>
      <c r="E95" s="121">
        <v>15</v>
      </c>
      <c r="F95" s="121" t="s">
        <v>194</v>
      </c>
      <c r="G95" s="5" t="str">
        <f t="shared" si="43"/>
        <v>PG21</v>
      </c>
      <c r="H95" s="5">
        <f t="shared" ref="H95:H126" si="45">IF(
 ISNUMBER(MATCH("*PG42*",F95,0)),
 "PG42",
 IF(
  ISNUMBER(MATCH("*PG48*",F95,0)),
  "PG48",
  IF(
   ISNUMBER(MATCH("*MG63*",F95,0)),
   "MG63",
   IF(
    ISNUMBER(MATCH("*У479*",F95,0)),
    "У479",
    IF(
     ISNUMBER(MATCH("*У480*",F95,0)),
     "У480",
     0
    )
   )
  )
 )
)</f>
        <v>0</v>
      </c>
      <c r="I95" s="126" t="str">
        <f t="shared" ref="I95:I126" si="46">A95&amp;" "&amp;D95</f>
        <v>ВВГНг 3x6</v>
      </c>
      <c r="J95" s="5" t="str">
        <f t="shared" si="44"/>
        <v>PG21</v>
      </c>
      <c r="K95" s="22"/>
    </row>
    <row r="96" spans="1:11" x14ac:dyDescent="0.2">
      <c r="A96" s="121" t="s">
        <v>201</v>
      </c>
      <c r="B96" s="121">
        <v>3</v>
      </c>
      <c r="C96" s="121">
        <v>6</v>
      </c>
      <c r="D96" s="121" t="str">
        <f t="shared" si="35"/>
        <v>3x6</v>
      </c>
      <c r="E96" s="121">
        <v>17.600000000000001</v>
      </c>
      <c r="F96" s="121" t="s">
        <v>194</v>
      </c>
      <c r="G96" s="5" t="str">
        <f t="shared" si="43"/>
        <v>PG21</v>
      </c>
      <c r="H96" s="5">
        <f t="shared" si="45"/>
        <v>0</v>
      </c>
      <c r="I96" s="126" t="str">
        <f t="shared" si="46"/>
        <v>ВВГнг-FRLS 3x6</v>
      </c>
      <c r="J96" s="5" t="str">
        <f t="shared" si="44"/>
        <v>PG21</v>
      </c>
      <c r="K96" s="22"/>
    </row>
    <row r="97" spans="1:11" x14ac:dyDescent="0.2">
      <c r="A97" s="121" t="s">
        <v>30</v>
      </c>
      <c r="B97" s="121">
        <v>3</v>
      </c>
      <c r="C97" s="121">
        <v>10</v>
      </c>
      <c r="D97" s="121" t="str">
        <f t="shared" si="35"/>
        <v>3x10</v>
      </c>
      <c r="E97" s="121">
        <v>0</v>
      </c>
      <c r="F97" s="296" t="str">
        <f>F98</f>
        <v>18153415  САЛЬНИК PG21, ДИАМЕТР ПРОВОДНИКА 15...18 ММ ТУ 3449-110-18461115-03</v>
      </c>
      <c r="G97" s="1087" t="str">
        <f>G98</f>
        <v>PG21</v>
      </c>
      <c r="H97" s="1087">
        <f t="shared" si="45"/>
        <v>0</v>
      </c>
      <c r="I97" s="543" t="str">
        <f t="shared" si="46"/>
        <v>- 3x10</v>
      </c>
      <c r="J97" s="1087" t="str">
        <f t="shared" ref="J97" si="47">J98</f>
        <v>PG21</v>
      </c>
      <c r="K97" s="22"/>
    </row>
    <row r="98" spans="1:11" x14ac:dyDescent="0.2">
      <c r="A98" s="121" t="s">
        <v>896</v>
      </c>
      <c r="B98" s="121">
        <v>3</v>
      </c>
      <c r="C98" s="121">
        <v>10</v>
      </c>
      <c r="D98" s="121" t="str">
        <f t="shared" si="35"/>
        <v>3x10</v>
      </c>
      <c r="E98" s="121">
        <v>14.4</v>
      </c>
      <c r="F98" s="121" t="s">
        <v>194</v>
      </c>
      <c r="G98" s="5" t="str">
        <f t="shared" ref="G98:G103" si="48">IF(
 ISNUMBER(MATCH("*PG13*",F98,0)),
 "PG13",
 IF(
  ISNUMBER(MATCH("*PG16*",F98,0)),
  "PG16",
  IF(
   ISNUMBER(MATCH("*PG21*",F98,0)),
   "PG21",
   IF(
    ISNUMBER(MATCH("*PG29*",F98,0)),
    "PG29",
    IF(
     ISNUMBER(MATCH("*PG36*",F98,0)),
     "PG36",
     0
    )
   )
  )
 )
)</f>
        <v>PG21</v>
      </c>
      <c r="H98" s="5">
        <f t="shared" si="45"/>
        <v>0</v>
      </c>
      <c r="I98" s="126" t="str">
        <f t="shared" si="46"/>
        <v>АВВГНг 3x10</v>
      </c>
      <c r="J98" s="5" t="str">
        <f t="shared" ref="J98:J103" si="49">IF(G98=0,H98,G98)</f>
        <v>PG21</v>
      </c>
      <c r="K98" s="22"/>
    </row>
    <row r="99" spans="1:11" x14ac:dyDescent="0.2">
      <c r="A99" s="121" t="s">
        <v>196</v>
      </c>
      <c r="B99" s="121">
        <v>3</v>
      </c>
      <c r="C99" s="121">
        <v>10</v>
      </c>
      <c r="D99" s="121" t="str">
        <f t="shared" si="35"/>
        <v>3x10</v>
      </c>
      <c r="E99" s="121">
        <v>14.5</v>
      </c>
      <c r="F99" s="121" t="s">
        <v>194</v>
      </c>
      <c r="G99" s="5" t="str">
        <f t="shared" si="48"/>
        <v>PG21</v>
      </c>
      <c r="H99" s="5">
        <f t="shared" si="45"/>
        <v>0</v>
      </c>
      <c r="I99" s="126" t="str">
        <f t="shared" si="46"/>
        <v>АВВГнг-LS 3x10</v>
      </c>
      <c r="J99" s="5" t="str">
        <f t="shared" si="49"/>
        <v>PG21</v>
      </c>
      <c r="K99" s="22"/>
    </row>
    <row r="100" spans="1:11" x14ac:dyDescent="0.2">
      <c r="A100" s="121" t="s">
        <v>898</v>
      </c>
      <c r="B100" s="121">
        <v>3</v>
      </c>
      <c r="C100" s="121">
        <v>10</v>
      </c>
      <c r="D100" s="121" t="str">
        <f t="shared" si="35"/>
        <v>3x10</v>
      </c>
      <c r="E100" s="121">
        <v>14.5</v>
      </c>
      <c r="F100" s="121" t="s">
        <v>194</v>
      </c>
      <c r="G100" s="5" t="str">
        <f t="shared" si="48"/>
        <v>PG21</v>
      </c>
      <c r="H100" s="5">
        <f t="shared" si="45"/>
        <v>0</v>
      </c>
      <c r="I100" s="126" t="str">
        <f t="shared" si="46"/>
        <v>ВВГНг 3x10</v>
      </c>
      <c r="J100" s="5" t="str">
        <f t="shared" si="49"/>
        <v>PG21</v>
      </c>
      <c r="K100" s="22"/>
    </row>
    <row r="101" spans="1:11" x14ac:dyDescent="0.2">
      <c r="A101" s="121" t="s">
        <v>213</v>
      </c>
      <c r="B101" s="121">
        <v>3</v>
      </c>
      <c r="C101" s="121">
        <v>10</v>
      </c>
      <c r="D101" s="121" t="str">
        <f t="shared" si="35"/>
        <v>3x10</v>
      </c>
      <c r="E101" s="121">
        <v>15.8</v>
      </c>
      <c r="F101" s="121" t="s">
        <v>194</v>
      </c>
      <c r="G101" s="5" t="str">
        <f t="shared" si="48"/>
        <v>PG21</v>
      </c>
      <c r="H101" s="5">
        <f t="shared" si="45"/>
        <v>0</v>
      </c>
      <c r="I101" s="126" t="str">
        <f t="shared" si="46"/>
        <v>ППГнг-НF 3x10</v>
      </c>
      <c r="J101" s="5" t="str">
        <f t="shared" si="49"/>
        <v>PG21</v>
      </c>
      <c r="K101" s="22"/>
    </row>
    <row r="102" spans="1:11" x14ac:dyDescent="0.2">
      <c r="A102" s="121" t="s">
        <v>159</v>
      </c>
      <c r="B102" s="121">
        <v>3</v>
      </c>
      <c r="C102" s="121">
        <v>10</v>
      </c>
      <c r="D102" s="121" t="str">
        <f t="shared" si="35"/>
        <v>3x10</v>
      </c>
      <c r="E102" s="121">
        <v>17</v>
      </c>
      <c r="F102" s="121" t="s">
        <v>194</v>
      </c>
      <c r="G102" s="5" t="str">
        <f t="shared" si="48"/>
        <v>PG21</v>
      </c>
      <c r="H102" s="5">
        <f t="shared" si="45"/>
        <v>0</v>
      </c>
      <c r="I102" s="126" t="str">
        <f t="shared" si="46"/>
        <v>ВВГнг-LS 3x10</v>
      </c>
      <c r="J102" s="5" t="str">
        <f t="shared" si="49"/>
        <v>PG21</v>
      </c>
      <c r="K102" s="22"/>
    </row>
    <row r="103" spans="1:11" x14ac:dyDescent="0.2">
      <c r="A103" s="121" t="s">
        <v>201</v>
      </c>
      <c r="B103" s="121">
        <v>3</v>
      </c>
      <c r="C103" s="121">
        <v>10</v>
      </c>
      <c r="D103" s="121" t="str">
        <f t="shared" si="35"/>
        <v>3x10</v>
      </c>
      <c r="E103" s="121">
        <v>19.8</v>
      </c>
      <c r="F103" s="121" t="s">
        <v>193</v>
      </c>
      <c r="G103" s="5" t="str">
        <f t="shared" si="48"/>
        <v>PG29</v>
      </c>
      <c r="H103" s="5">
        <f t="shared" si="45"/>
        <v>0</v>
      </c>
      <c r="I103" s="126" t="str">
        <f t="shared" si="46"/>
        <v>ВВГнг-FRLS 3x10</v>
      </c>
      <c r="J103" s="5" t="str">
        <f t="shared" si="49"/>
        <v>PG29</v>
      </c>
      <c r="K103" s="22"/>
    </row>
    <row r="104" spans="1:11" x14ac:dyDescent="0.2">
      <c r="A104" s="121" t="s">
        <v>30</v>
      </c>
      <c r="B104" s="121">
        <v>3</v>
      </c>
      <c r="C104" s="121">
        <v>16</v>
      </c>
      <c r="D104" s="121" t="str">
        <f t="shared" si="35"/>
        <v>3x16</v>
      </c>
      <c r="E104" s="121">
        <v>0</v>
      </c>
      <c r="F104" s="296" t="str">
        <f>F105</f>
        <v>18153415  САЛЬНИК PG21, ДИАМЕТР ПРОВОДНИКА 15...18 ММ ТУ 3449-110-18461115-03</v>
      </c>
      <c r="G104" s="1087" t="str">
        <f>G105</f>
        <v>PG21</v>
      </c>
      <c r="H104" s="1087">
        <f t="shared" si="45"/>
        <v>0</v>
      </c>
      <c r="I104" s="543" t="str">
        <f t="shared" si="46"/>
        <v>- 3x16</v>
      </c>
      <c r="J104" s="1087" t="str">
        <f t="shared" ref="J104" si="50">J105</f>
        <v>PG21</v>
      </c>
      <c r="K104" s="22"/>
    </row>
    <row r="105" spans="1:11" x14ac:dyDescent="0.2">
      <c r="A105" s="121" t="s">
        <v>896</v>
      </c>
      <c r="B105" s="121">
        <v>3</v>
      </c>
      <c r="C105" s="121">
        <v>16</v>
      </c>
      <c r="D105" s="121" t="str">
        <f t="shared" si="35"/>
        <v>3x16</v>
      </c>
      <c r="E105" s="121">
        <v>16.399999999999999</v>
      </c>
      <c r="F105" s="121" t="s">
        <v>194</v>
      </c>
      <c r="G105" s="5" t="str">
        <f t="shared" ref="G105:G110" si="51">IF(
 ISNUMBER(MATCH("*PG13*",F105,0)),
 "PG13",
 IF(
  ISNUMBER(MATCH("*PG16*",F105,0)),
  "PG16",
  IF(
   ISNUMBER(MATCH("*PG21*",F105,0)),
   "PG21",
   IF(
    ISNUMBER(MATCH("*PG29*",F105,0)),
    "PG29",
    IF(
     ISNUMBER(MATCH("*PG36*",F105,0)),
     "PG36",
     0
    )
   )
  )
 )
)</f>
        <v>PG21</v>
      </c>
      <c r="H105" s="5">
        <f t="shared" si="45"/>
        <v>0</v>
      </c>
      <c r="I105" s="126" t="str">
        <f t="shared" si="46"/>
        <v>АВВГНг 3x16</v>
      </c>
      <c r="J105" s="5" t="str">
        <f t="shared" ref="J105:J110" si="52">IF(G105=0,H105,G105)</f>
        <v>PG21</v>
      </c>
      <c r="K105" s="22"/>
    </row>
    <row r="106" spans="1:11" x14ac:dyDescent="0.2">
      <c r="A106" s="121" t="s">
        <v>196</v>
      </c>
      <c r="B106" s="121">
        <v>3</v>
      </c>
      <c r="C106" s="121">
        <v>16</v>
      </c>
      <c r="D106" s="121" t="str">
        <f t="shared" si="35"/>
        <v>3x16</v>
      </c>
      <c r="E106" s="121">
        <v>16.399999999999999</v>
      </c>
      <c r="F106" s="121" t="s">
        <v>194</v>
      </c>
      <c r="G106" s="5" t="str">
        <f t="shared" si="51"/>
        <v>PG21</v>
      </c>
      <c r="H106" s="5">
        <f t="shared" si="45"/>
        <v>0</v>
      </c>
      <c r="I106" s="126" t="str">
        <f t="shared" si="46"/>
        <v>АВВГнг-LS 3x16</v>
      </c>
      <c r="J106" s="5" t="str">
        <f t="shared" si="52"/>
        <v>PG21</v>
      </c>
      <c r="K106" s="22"/>
    </row>
    <row r="107" spans="1:11" x14ac:dyDescent="0.2">
      <c r="A107" s="121" t="s">
        <v>898</v>
      </c>
      <c r="B107" s="121">
        <v>3</v>
      </c>
      <c r="C107" s="121">
        <v>16</v>
      </c>
      <c r="D107" s="121" t="str">
        <f t="shared" si="35"/>
        <v>3x16</v>
      </c>
      <c r="E107" s="121">
        <v>17.8</v>
      </c>
      <c r="F107" s="121" t="s">
        <v>194</v>
      </c>
      <c r="G107" s="5" t="str">
        <f t="shared" si="51"/>
        <v>PG21</v>
      </c>
      <c r="H107" s="5">
        <f t="shared" si="45"/>
        <v>0</v>
      </c>
      <c r="I107" s="126" t="str">
        <f t="shared" si="46"/>
        <v>ВВГНг 3x16</v>
      </c>
      <c r="J107" s="5" t="str">
        <f t="shared" si="52"/>
        <v>PG21</v>
      </c>
      <c r="K107" s="22"/>
    </row>
    <row r="108" spans="1:11" x14ac:dyDescent="0.2">
      <c r="A108" s="121" t="s">
        <v>159</v>
      </c>
      <c r="B108" s="121">
        <v>3</v>
      </c>
      <c r="C108" s="121">
        <v>16</v>
      </c>
      <c r="D108" s="121" t="str">
        <f t="shared" si="35"/>
        <v>3x16</v>
      </c>
      <c r="E108" s="121">
        <v>19</v>
      </c>
      <c r="F108" s="121" t="s">
        <v>193</v>
      </c>
      <c r="G108" s="5" t="str">
        <f t="shared" si="51"/>
        <v>PG29</v>
      </c>
      <c r="H108" s="5">
        <f t="shared" si="45"/>
        <v>0</v>
      </c>
      <c r="I108" s="126" t="str">
        <f t="shared" si="46"/>
        <v>ВВГнг-LS 3x16</v>
      </c>
      <c r="J108" s="5" t="str">
        <f t="shared" si="52"/>
        <v>PG29</v>
      </c>
      <c r="K108" s="22"/>
    </row>
    <row r="109" spans="1:11" x14ac:dyDescent="0.2">
      <c r="A109" s="121" t="s">
        <v>213</v>
      </c>
      <c r="B109" s="121">
        <v>3</v>
      </c>
      <c r="C109" s="121">
        <v>16</v>
      </c>
      <c r="D109" s="121" t="str">
        <f t="shared" si="35"/>
        <v>3x16</v>
      </c>
      <c r="E109" s="121">
        <v>19.2</v>
      </c>
      <c r="F109" s="121" t="s">
        <v>193</v>
      </c>
      <c r="G109" s="5" t="str">
        <f t="shared" si="51"/>
        <v>PG29</v>
      </c>
      <c r="H109" s="5">
        <f t="shared" si="45"/>
        <v>0</v>
      </c>
      <c r="I109" s="126" t="str">
        <f t="shared" si="46"/>
        <v>ППГнг-НF 3x16</v>
      </c>
      <c r="J109" s="5" t="str">
        <f t="shared" si="52"/>
        <v>PG29</v>
      </c>
      <c r="K109" s="22"/>
    </row>
    <row r="110" spans="1:11" x14ac:dyDescent="0.2">
      <c r="A110" s="121" t="s">
        <v>201</v>
      </c>
      <c r="B110" s="121">
        <v>3</v>
      </c>
      <c r="C110" s="121">
        <v>16</v>
      </c>
      <c r="D110" s="121" t="str">
        <f t="shared" si="35"/>
        <v>3x16</v>
      </c>
      <c r="E110" s="121">
        <v>21.3</v>
      </c>
      <c r="F110" s="121" t="s">
        <v>193</v>
      </c>
      <c r="G110" s="5" t="str">
        <f t="shared" si="51"/>
        <v>PG29</v>
      </c>
      <c r="H110" s="5">
        <f t="shared" si="45"/>
        <v>0</v>
      </c>
      <c r="I110" s="126" t="str">
        <f t="shared" si="46"/>
        <v>ВВГнг-FRLS 3x16</v>
      </c>
      <c r="J110" s="5" t="str">
        <f t="shared" si="52"/>
        <v>PG29</v>
      </c>
      <c r="K110" s="22"/>
    </row>
    <row r="111" spans="1:11" x14ac:dyDescent="0.2">
      <c r="A111" s="121" t="s">
        <v>30</v>
      </c>
      <c r="B111" s="121">
        <v>3</v>
      </c>
      <c r="C111" s="121">
        <v>25</v>
      </c>
      <c r="D111" s="121" t="str">
        <f t="shared" si="35"/>
        <v>3x25</v>
      </c>
      <c r="E111" s="121">
        <v>0</v>
      </c>
      <c r="F111" s="296" t="str">
        <f>F112</f>
        <v>18153416  САЛЬНИК PG29, ДИАМЕТР ПРОВОДНИКА 18...24 ММ ТУ 3449-110-18461115-03</v>
      </c>
      <c r="G111" s="1087" t="str">
        <f>G112</f>
        <v>PG29</v>
      </c>
      <c r="H111" s="1087">
        <f t="shared" si="45"/>
        <v>0</v>
      </c>
      <c r="I111" s="543" t="str">
        <f t="shared" si="46"/>
        <v>- 3x25</v>
      </c>
      <c r="J111" s="1087" t="str">
        <f t="shared" ref="J111" si="53">J112</f>
        <v>PG29</v>
      </c>
      <c r="K111" s="22"/>
    </row>
    <row r="112" spans="1:11" x14ac:dyDescent="0.2">
      <c r="A112" s="121" t="s">
        <v>196</v>
      </c>
      <c r="B112" s="121">
        <v>3</v>
      </c>
      <c r="C112" s="121">
        <v>25</v>
      </c>
      <c r="D112" s="121" t="str">
        <f t="shared" si="35"/>
        <v>3x25</v>
      </c>
      <c r="E112" s="121">
        <v>21.2</v>
      </c>
      <c r="F112" s="121" t="s">
        <v>193</v>
      </c>
      <c r="G112" s="5" t="str">
        <f t="shared" ref="G112:G117" si="54">IF(
 ISNUMBER(MATCH("*PG13*",F112,0)),
 "PG13",
 IF(
  ISNUMBER(MATCH("*PG16*",F112,0)),
  "PG16",
  IF(
   ISNUMBER(MATCH("*PG21*",F112,0)),
   "PG21",
   IF(
    ISNUMBER(MATCH("*PG29*",F112,0)),
    "PG29",
    IF(
     ISNUMBER(MATCH("*PG36*",F112,0)),
     "PG36",
     0
    )
   )
  )
 )
)</f>
        <v>PG29</v>
      </c>
      <c r="H112" s="5">
        <f t="shared" si="45"/>
        <v>0</v>
      </c>
      <c r="I112" s="126" t="str">
        <f t="shared" si="46"/>
        <v>АВВГнг-LS 3x25</v>
      </c>
      <c r="J112" s="5" t="str">
        <f t="shared" ref="J112:J117" si="55">IF(G112=0,H112,G112)</f>
        <v>PG29</v>
      </c>
      <c r="K112" s="22"/>
    </row>
    <row r="113" spans="1:11" x14ac:dyDescent="0.2">
      <c r="A113" s="121" t="s">
        <v>896</v>
      </c>
      <c r="B113" s="121">
        <v>3</v>
      </c>
      <c r="C113" s="121">
        <v>25</v>
      </c>
      <c r="D113" s="121" t="str">
        <f t="shared" si="35"/>
        <v>3x25</v>
      </c>
      <c r="E113" s="121">
        <v>22.2</v>
      </c>
      <c r="F113" s="121" t="s">
        <v>193</v>
      </c>
      <c r="G113" s="5" t="str">
        <f t="shared" si="54"/>
        <v>PG29</v>
      </c>
      <c r="H113" s="5">
        <f t="shared" si="45"/>
        <v>0</v>
      </c>
      <c r="I113" s="126" t="str">
        <f t="shared" si="46"/>
        <v>АВВГНг 3x25</v>
      </c>
      <c r="J113" s="5" t="str">
        <f t="shared" si="55"/>
        <v>PG29</v>
      </c>
      <c r="K113" s="22"/>
    </row>
    <row r="114" spans="1:11" x14ac:dyDescent="0.2">
      <c r="A114" s="121" t="s">
        <v>898</v>
      </c>
      <c r="B114" s="121">
        <v>3</v>
      </c>
      <c r="C114" s="121">
        <v>25</v>
      </c>
      <c r="D114" s="121" t="str">
        <f t="shared" si="35"/>
        <v>3x25</v>
      </c>
      <c r="E114" s="121">
        <v>22.6</v>
      </c>
      <c r="F114" s="121" t="s">
        <v>193</v>
      </c>
      <c r="G114" s="5" t="str">
        <f t="shared" si="54"/>
        <v>PG29</v>
      </c>
      <c r="H114" s="5">
        <f t="shared" si="45"/>
        <v>0</v>
      </c>
      <c r="I114" s="126" t="str">
        <f t="shared" si="46"/>
        <v>ВВГНг 3x25</v>
      </c>
      <c r="J114" s="5" t="str">
        <f t="shared" si="55"/>
        <v>PG29</v>
      </c>
      <c r="K114" s="22"/>
    </row>
    <row r="115" spans="1:11" x14ac:dyDescent="0.2">
      <c r="A115" s="121" t="s">
        <v>159</v>
      </c>
      <c r="B115" s="121">
        <v>3</v>
      </c>
      <c r="C115" s="121">
        <v>25</v>
      </c>
      <c r="D115" s="121" t="str">
        <f t="shared" si="35"/>
        <v>3x25</v>
      </c>
      <c r="E115" s="121">
        <v>22.9</v>
      </c>
      <c r="F115" s="121" t="s">
        <v>193</v>
      </c>
      <c r="G115" s="5" t="str">
        <f t="shared" si="54"/>
        <v>PG29</v>
      </c>
      <c r="H115" s="5">
        <f t="shared" si="45"/>
        <v>0</v>
      </c>
      <c r="I115" s="126" t="str">
        <f t="shared" si="46"/>
        <v>ВВГнг-LS 3x25</v>
      </c>
      <c r="J115" s="5" t="str">
        <f t="shared" si="55"/>
        <v>PG29</v>
      </c>
      <c r="K115" s="22"/>
    </row>
    <row r="116" spans="1:11" x14ac:dyDescent="0.2">
      <c r="A116" s="121" t="s">
        <v>200</v>
      </c>
      <c r="B116" s="121">
        <v>3</v>
      </c>
      <c r="C116" s="121">
        <v>25</v>
      </c>
      <c r="D116" s="121" t="str">
        <f t="shared" si="35"/>
        <v>3x25</v>
      </c>
      <c r="E116" s="121">
        <v>25.4</v>
      </c>
      <c r="F116" s="121" t="s">
        <v>188</v>
      </c>
      <c r="G116" s="5" t="str">
        <f t="shared" si="54"/>
        <v>PG36</v>
      </c>
      <c r="H116" s="5">
        <f t="shared" si="45"/>
        <v>0</v>
      </c>
      <c r="I116" s="126" t="str">
        <f t="shared" si="46"/>
        <v>ВБбШвнг 3x25</v>
      </c>
      <c r="J116" s="5" t="str">
        <f t="shared" si="55"/>
        <v>PG36</v>
      </c>
      <c r="K116" s="22"/>
    </row>
    <row r="117" spans="1:11" x14ac:dyDescent="0.2">
      <c r="A117" s="121" t="s">
        <v>201</v>
      </c>
      <c r="B117" s="121">
        <v>3</v>
      </c>
      <c r="C117" s="121">
        <v>25</v>
      </c>
      <c r="D117" s="121" t="str">
        <f t="shared" si="35"/>
        <v>3x25</v>
      </c>
      <c r="E117" s="121">
        <v>27</v>
      </c>
      <c r="F117" s="121" t="s">
        <v>188</v>
      </c>
      <c r="G117" s="5" t="str">
        <f t="shared" si="54"/>
        <v>PG36</v>
      </c>
      <c r="H117" s="5">
        <f t="shared" si="45"/>
        <v>0</v>
      </c>
      <c r="I117" s="126" t="str">
        <f t="shared" si="46"/>
        <v>ВВГнг-FRLS 3x25</v>
      </c>
      <c r="J117" s="5" t="str">
        <f t="shared" si="55"/>
        <v>PG36</v>
      </c>
      <c r="K117" s="22"/>
    </row>
    <row r="118" spans="1:11" x14ac:dyDescent="0.2">
      <c r="A118" s="121" t="s">
        <v>30</v>
      </c>
      <c r="B118" s="121">
        <v>3</v>
      </c>
      <c r="C118" s="121">
        <v>35</v>
      </c>
      <c r="D118" s="121" t="str">
        <f t="shared" si="35"/>
        <v>3x35</v>
      </c>
      <c r="E118" s="121">
        <v>0</v>
      </c>
      <c r="F118" s="296" t="str">
        <f>F119</f>
        <v>18153416  САЛЬНИК PG29, ДИАМЕТР ПРОВОДНИКА 18...24 ММ ТУ 3449-110-18461115-03</v>
      </c>
      <c r="G118" s="1087" t="str">
        <f>G119</f>
        <v>PG29</v>
      </c>
      <c r="H118" s="1087">
        <f t="shared" si="45"/>
        <v>0</v>
      </c>
      <c r="I118" s="543" t="str">
        <f t="shared" si="46"/>
        <v>- 3x35</v>
      </c>
      <c r="J118" s="1087" t="str">
        <f t="shared" ref="J118" si="56">J119</f>
        <v>PG29</v>
      </c>
      <c r="K118" s="22"/>
    </row>
    <row r="119" spans="1:11" x14ac:dyDescent="0.2">
      <c r="A119" s="121" t="s">
        <v>896</v>
      </c>
      <c r="B119" s="121">
        <v>3</v>
      </c>
      <c r="C119" s="121">
        <v>35</v>
      </c>
      <c r="D119" s="121" t="str">
        <f t="shared" si="35"/>
        <v>3x35</v>
      </c>
      <c r="E119" s="121">
        <v>22.2</v>
      </c>
      <c r="F119" s="121" t="s">
        <v>193</v>
      </c>
      <c r="G119" s="5" t="str">
        <f t="shared" ref="G119:G124" si="57">IF(
 ISNUMBER(MATCH("*PG13*",F119,0)),
 "PG13",
 IF(
  ISNUMBER(MATCH("*PG16*",F119,0)),
  "PG16",
  IF(
   ISNUMBER(MATCH("*PG21*",F119,0)),
   "PG21",
   IF(
    ISNUMBER(MATCH("*PG29*",F119,0)),
    "PG29",
    IF(
     ISNUMBER(MATCH("*PG36*",F119,0)),
     "PG36",
     0
    )
   )
  )
 )
)</f>
        <v>PG29</v>
      </c>
      <c r="H119" s="5">
        <f t="shared" si="45"/>
        <v>0</v>
      </c>
      <c r="I119" s="126" t="str">
        <f t="shared" si="46"/>
        <v>АВВГНг 3x35</v>
      </c>
      <c r="J119" s="5" t="str">
        <f t="shared" ref="J119:J124" si="58">IF(G119=0,H119,G119)</f>
        <v>PG29</v>
      </c>
      <c r="K119" s="22"/>
    </row>
    <row r="120" spans="1:11" x14ac:dyDescent="0.2">
      <c r="A120" s="121" t="s">
        <v>898</v>
      </c>
      <c r="B120" s="121">
        <v>3</v>
      </c>
      <c r="C120" s="121">
        <v>35</v>
      </c>
      <c r="D120" s="121" t="str">
        <f t="shared" si="35"/>
        <v>3x35</v>
      </c>
      <c r="E120" s="121">
        <v>23</v>
      </c>
      <c r="F120" s="121" t="s">
        <v>193</v>
      </c>
      <c r="G120" s="5" t="str">
        <f t="shared" si="57"/>
        <v>PG29</v>
      </c>
      <c r="H120" s="5">
        <f t="shared" si="45"/>
        <v>0</v>
      </c>
      <c r="I120" s="126" t="str">
        <f t="shared" si="46"/>
        <v>ВВГНг 3x35</v>
      </c>
      <c r="J120" s="5" t="str">
        <f t="shared" si="58"/>
        <v>PG29</v>
      </c>
      <c r="K120" s="22"/>
    </row>
    <row r="121" spans="1:11" x14ac:dyDescent="0.2">
      <c r="A121" s="121" t="s">
        <v>196</v>
      </c>
      <c r="B121" s="121">
        <v>3</v>
      </c>
      <c r="C121" s="121">
        <v>35</v>
      </c>
      <c r="D121" s="121" t="str">
        <f t="shared" si="35"/>
        <v>3x35</v>
      </c>
      <c r="E121" s="121">
        <v>23.3</v>
      </c>
      <c r="F121" s="121" t="s">
        <v>193</v>
      </c>
      <c r="G121" s="5" t="str">
        <f t="shared" si="57"/>
        <v>PG29</v>
      </c>
      <c r="H121" s="5">
        <f t="shared" si="45"/>
        <v>0</v>
      </c>
      <c r="I121" s="126" t="str">
        <f t="shared" si="46"/>
        <v>АВВГнг-LS 3x35</v>
      </c>
      <c r="J121" s="5" t="str">
        <f t="shared" si="58"/>
        <v>PG29</v>
      </c>
      <c r="K121" s="22"/>
    </row>
    <row r="122" spans="1:11" x14ac:dyDescent="0.2">
      <c r="A122" s="121" t="s">
        <v>213</v>
      </c>
      <c r="B122" s="121">
        <v>3</v>
      </c>
      <c r="C122" s="121">
        <v>35</v>
      </c>
      <c r="D122" s="121" t="str">
        <f t="shared" si="35"/>
        <v>3x35</v>
      </c>
      <c r="E122" s="121">
        <v>26</v>
      </c>
      <c r="F122" s="121" t="s">
        <v>188</v>
      </c>
      <c r="G122" s="5" t="str">
        <f t="shared" si="57"/>
        <v>PG36</v>
      </c>
      <c r="H122" s="5">
        <f t="shared" si="45"/>
        <v>0</v>
      </c>
      <c r="I122" s="126" t="str">
        <f t="shared" si="46"/>
        <v>ППГнг-НF 3x35</v>
      </c>
      <c r="J122" s="5" t="str">
        <f t="shared" si="58"/>
        <v>PG36</v>
      </c>
      <c r="K122" s="22"/>
    </row>
    <row r="123" spans="1:11" x14ac:dyDescent="0.2">
      <c r="A123" s="121" t="s">
        <v>159</v>
      </c>
      <c r="B123" s="121">
        <v>3</v>
      </c>
      <c r="C123" s="121">
        <v>35</v>
      </c>
      <c r="D123" s="121" t="str">
        <f t="shared" si="35"/>
        <v>3x35</v>
      </c>
      <c r="E123" s="121">
        <v>27.4</v>
      </c>
      <c r="F123" s="121" t="s">
        <v>188</v>
      </c>
      <c r="G123" s="5" t="str">
        <f t="shared" si="57"/>
        <v>PG36</v>
      </c>
      <c r="H123" s="5">
        <f t="shared" si="45"/>
        <v>0</v>
      </c>
      <c r="I123" s="126" t="str">
        <f t="shared" si="46"/>
        <v>ВВГнг-LS 3x35</v>
      </c>
      <c r="J123" s="5" t="str">
        <f t="shared" si="58"/>
        <v>PG36</v>
      </c>
      <c r="K123" s="22"/>
    </row>
    <row r="124" spans="1:11" x14ac:dyDescent="0.2">
      <c r="A124" s="121" t="s">
        <v>201</v>
      </c>
      <c r="B124" s="121">
        <v>3</v>
      </c>
      <c r="C124" s="121">
        <v>35</v>
      </c>
      <c r="D124" s="121" t="str">
        <f t="shared" si="35"/>
        <v>3x35</v>
      </c>
      <c r="E124" s="121">
        <v>28.1</v>
      </c>
      <c r="F124" s="121" t="s">
        <v>188</v>
      </c>
      <c r="G124" s="5" t="str">
        <f t="shared" si="57"/>
        <v>PG36</v>
      </c>
      <c r="H124" s="5">
        <f t="shared" si="45"/>
        <v>0</v>
      </c>
      <c r="I124" s="126" t="str">
        <f t="shared" si="46"/>
        <v>ВВГнг-FRLS 3x35</v>
      </c>
      <c r="J124" s="5" t="str">
        <f t="shared" si="58"/>
        <v>PG36</v>
      </c>
      <c r="K124" s="22"/>
    </row>
    <row r="125" spans="1:11" x14ac:dyDescent="0.2">
      <c r="A125" s="121" t="s">
        <v>30</v>
      </c>
      <c r="B125" s="121">
        <v>3</v>
      </c>
      <c r="C125" s="121">
        <v>50</v>
      </c>
      <c r="D125" s="121" t="str">
        <f t="shared" si="35"/>
        <v>3x50</v>
      </c>
      <c r="E125" s="121">
        <v>0</v>
      </c>
      <c r="F125" s="296" t="str">
        <f>F126</f>
        <v>18153417  САЛЬНИК PG36, ДИАМЕТР ПРОВОДНИКА 24...32 ММ ТУ 3449-110-18461115-03</v>
      </c>
      <c r="G125" s="1087" t="str">
        <f>G126</f>
        <v>PG36</v>
      </c>
      <c r="H125" s="1087">
        <f t="shared" si="45"/>
        <v>0</v>
      </c>
      <c r="I125" s="543" t="str">
        <f t="shared" si="46"/>
        <v>- 3x50</v>
      </c>
      <c r="J125" s="1087" t="str">
        <f t="shared" ref="J125" si="59">J126</f>
        <v>PG36</v>
      </c>
      <c r="K125" s="22"/>
    </row>
    <row r="126" spans="1:11" x14ac:dyDescent="0.2">
      <c r="A126" s="121" t="s">
        <v>898</v>
      </c>
      <c r="B126" s="121">
        <v>3</v>
      </c>
      <c r="C126" s="121">
        <v>50</v>
      </c>
      <c r="D126" s="121" t="str">
        <f t="shared" si="35"/>
        <v>3x50</v>
      </c>
      <c r="E126" s="121">
        <v>26.8</v>
      </c>
      <c r="F126" s="121" t="s">
        <v>188</v>
      </c>
      <c r="G126" s="5" t="str">
        <f>IF(
 ISNUMBER(MATCH("*PG13*",F126,0)),
 "PG13",
 IF(
  ISNUMBER(MATCH("*PG16*",F126,0)),
  "PG16",
  IF(
   ISNUMBER(MATCH("*PG21*",F126,0)),
   "PG21",
   IF(
    ISNUMBER(MATCH("*PG29*",F126,0)),
    "PG29",
    IF(
     ISNUMBER(MATCH("*PG36*",F126,0)),
     "PG36",
     0
    )
   )
  )
 )
)</f>
        <v>PG36</v>
      </c>
      <c r="H126" s="5">
        <f t="shared" si="45"/>
        <v>0</v>
      </c>
      <c r="I126" s="126" t="str">
        <f t="shared" si="46"/>
        <v>ВВГНг 3x50</v>
      </c>
      <c r="J126" s="5" t="str">
        <f>IF(G126=0,H126,G126)</f>
        <v>PG36</v>
      </c>
      <c r="K126" s="22"/>
    </row>
    <row r="127" spans="1:11" x14ac:dyDescent="0.2">
      <c r="A127" s="121" t="s">
        <v>896</v>
      </c>
      <c r="B127" s="121">
        <v>3</v>
      </c>
      <c r="C127" s="121">
        <v>50</v>
      </c>
      <c r="D127" s="121" t="str">
        <f t="shared" si="35"/>
        <v>3x50</v>
      </c>
      <c r="E127" s="121">
        <v>26.9</v>
      </c>
      <c r="F127" s="121" t="s">
        <v>188</v>
      </c>
      <c r="G127" s="5" t="str">
        <f>IF(
 ISNUMBER(MATCH("*PG13*",F127,0)),
 "PG13",
 IF(
  ISNUMBER(MATCH("*PG16*",F127,0)),
  "PG16",
  IF(
   ISNUMBER(MATCH("*PG21*",F127,0)),
   "PG21",
   IF(
    ISNUMBER(MATCH("*PG29*",F127,0)),
    "PG29",
    IF(
     ISNUMBER(MATCH("*PG36*",F127,0)),
     "PG36",
     0
    )
   )
  )
 )
)</f>
        <v>PG36</v>
      </c>
      <c r="H127" s="5">
        <f t="shared" ref="H127:H153" si="60">IF(
 ISNUMBER(MATCH("*PG42*",F127,0)),
 "PG42",
 IF(
  ISNUMBER(MATCH("*PG48*",F127,0)),
  "PG48",
  IF(
   ISNUMBER(MATCH("*MG63*",F127,0)),
   "MG63",
   IF(
    ISNUMBER(MATCH("*У479*",F127,0)),
    "У479",
    IF(
     ISNUMBER(MATCH("*У480*",F127,0)),
     "У480",
     0
    )
   )
  )
 )
)</f>
        <v>0</v>
      </c>
      <c r="I127" s="126" t="str">
        <f t="shared" ref="I127:I153" si="61">A127&amp;" "&amp;D127</f>
        <v>АВВГНг 3x50</v>
      </c>
      <c r="J127" s="5" t="str">
        <f>IF(G127=0,H127,G127)</f>
        <v>PG36</v>
      </c>
      <c r="K127" s="22"/>
    </row>
    <row r="128" spans="1:11" x14ac:dyDescent="0.2">
      <c r="A128" s="121" t="s">
        <v>196</v>
      </c>
      <c r="B128" s="121">
        <v>3</v>
      </c>
      <c r="C128" s="121">
        <v>50</v>
      </c>
      <c r="D128" s="121" t="str">
        <f t="shared" si="35"/>
        <v>3x50</v>
      </c>
      <c r="E128" s="121">
        <v>28</v>
      </c>
      <c r="F128" s="121" t="s">
        <v>188</v>
      </c>
      <c r="G128" s="5" t="str">
        <f>IF(
 ISNUMBER(MATCH("*PG13*",F128,0)),
 "PG13",
 IF(
  ISNUMBER(MATCH("*PG16*",F128,0)),
  "PG16",
  IF(
   ISNUMBER(MATCH("*PG21*",F128,0)),
   "PG21",
   IF(
    ISNUMBER(MATCH("*PG29*",F128,0)),
    "PG29",
    IF(
     ISNUMBER(MATCH("*PG36*",F128,0)),
     "PG36",
     0
    )
   )
  )
 )
)</f>
        <v>PG36</v>
      </c>
      <c r="H128" s="5">
        <f t="shared" si="60"/>
        <v>0</v>
      </c>
      <c r="I128" s="126" t="str">
        <f t="shared" si="61"/>
        <v>АВВГнг-LS 3x50</v>
      </c>
      <c r="J128" s="5" t="str">
        <f>IF(G128=0,H128,G128)</f>
        <v>PG36</v>
      </c>
      <c r="K128" s="22"/>
    </row>
    <row r="129" spans="1:11" x14ac:dyDescent="0.2">
      <c r="A129" s="121" t="s">
        <v>159</v>
      </c>
      <c r="B129" s="121">
        <v>3</v>
      </c>
      <c r="C129" s="121">
        <v>50</v>
      </c>
      <c r="D129" s="121" t="str">
        <f t="shared" si="35"/>
        <v>3x50</v>
      </c>
      <c r="E129" s="121">
        <v>30.9</v>
      </c>
      <c r="F129" s="121" t="s">
        <v>188</v>
      </c>
      <c r="G129" s="5" t="str">
        <f>IF(
 ISNUMBER(MATCH("*PG13*",F129,0)),
 "PG13",
 IF(
  ISNUMBER(MATCH("*PG16*",F129,0)),
  "PG16",
  IF(
   ISNUMBER(MATCH("*PG21*",F129,0)),
   "PG21",
   IF(
    ISNUMBER(MATCH("*PG29*",F129,0)),
    "PG29",
    IF(
     ISNUMBER(MATCH("*PG36*",F129,0)),
     "PG36",
     0
    )
   )
  )
 )
)</f>
        <v>PG36</v>
      </c>
      <c r="H129" s="5">
        <f t="shared" si="60"/>
        <v>0</v>
      </c>
      <c r="I129" s="126" t="str">
        <f t="shared" si="61"/>
        <v>ВВГнг-LS 3x50</v>
      </c>
      <c r="J129" s="5" t="str">
        <f>IF(G129=0,H129,G129)</f>
        <v>PG36</v>
      </c>
      <c r="K129" s="22"/>
    </row>
    <row r="130" spans="1:11" x14ac:dyDescent="0.2">
      <c r="A130" s="121" t="s">
        <v>30</v>
      </c>
      <c r="B130" s="121">
        <v>3</v>
      </c>
      <c r="C130" s="121">
        <v>70</v>
      </c>
      <c r="D130" s="121" t="str">
        <f t="shared" si="35"/>
        <v>3x70</v>
      </c>
      <c r="E130" s="121">
        <v>0</v>
      </c>
      <c r="F130" s="296" t="str">
        <f>F131</f>
        <v>18153417  САЛЬНИК PG36, ДИАМЕТР ПРОВОДНИКА 24...32 ММ ТУ 3449-110-18461115-03</v>
      </c>
      <c r="G130" s="1087" t="str">
        <f>G131</f>
        <v>PG36</v>
      </c>
      <c r="H130" s="1087">
        <f t="shared" si="60"/>
        <v>0</v>
      </c>
      <c r="I130" s="543" t="str">
        <f t="shared" si="61"/>
        <v>- 3x70</v>
      </c>
      <c r="J130" s="1087" t="str">
        <f t="shared" ref="J130" si="62">J131</f>
        <v>PG36</v>
      </c>
      <c r="K130" s="22"/>
    </row>
    <row r="131" spans="1:11" x14ac:dyDescent="0.2">
      <c r="A131" s="121" t="s">
        <v>898</v>
      </c>
      <c r="B131" s="121">
        <v>3</v>
      </c>
      <c r="C131" s="121">
        <v>70</v>
      </c>
      <c r="D131" s="121" t="str">
        <f t="shared" ref="D131:D194" si="63">B131&amp;"x"&amp;C131</f>
        <v>3x70</v>
      </c>
      <c r="E131" s="121">
        <v>28.1</v>
      </c>
      <c r="F131" s="121" t="s">
        <v>188</v>
      </c>
      <c r="G131" s="5" t="str">
        <f>IF(
 ISNUMBER(MATCH("*PG13*",F131,0)),
 "PG13",
 IF(
  ISNUMBER(MATCH("*PG16*",F131,0)),
  "PG16",
  IF(
   ISNUMBER(MATCH("*PG21*",F131,0)),
   "PG21",
   IF(
    ISNUMBER(MATCH("*PG29*",F131,0)),
    "PG29",
    IF(
     ISNUMBER(MATCH("*PG36*",F131,0)),
     "PG36",
     0
    )
   )
  )
 )
)</f>
        <v>PG36</v>
      </c>
      <c r="H131" s="5">
        <f t="shared" si="60"/>
        <v>0</v>
      </c>
      <c r="I131" s="126" t="str">
        <f t="shared" si="61"/>
        <v>ВВГНг 3x70</v>
      </c>
      <c r="J131" s="5" t="str">
        <f>IF(G131=0,H131,G131)</f>
        <v>PG36</v>
      </c>
      <c r="K131" s="22"/>
    </row>
    <row r="132" spans="1:11" x14ac:dyDescent="0.2">
      <c r="A132" s="121" t="s">
        <v>896</v>
      </c>
      <c r="B132" s="121">
        <v>3</v>
      </c>
      <c r="C132" s="121">
        <v>70</v>
      </c>
      <c r="D132" s="121" t="str">
        <f t="shared" si="63"/>
        <v>3x70</v>
      </c>
      <c r="E132" s="121">
        <v>29.9</v>
      </c>
      <c r="F132" s="121" t="s">
        <v>188</v>
      </c>
      <c r="G132" s="5" t="str">
        <f>IF(
 ISNUMBER(MATCH("*PG13*",F132,0)),
 "PG13",
 IF(
  ISNUMBER(MATCH("*PG16*",F132,0)),
  "PG16",
  IF(
   ISNUMBER(MATCH("*PG21*",F132,0)),
   "PG21",
   IF(
    ISNUMBER(MATCH("*PG29*",F132,0)),
    "PG29",
    IF(
     ISNUMBER(MATCH("*PG36*",F132,0)),
     "PG36",
     0
    )
   )
  )
 )
)</f>
        <v>PG36</v>
      </c>
      <c r="H132" s="5">
        <f t="shared" si="60"/>
        <v>0</v>
      </c>
      <c r="I132" s="126" t="str">
        <f t="shared" si="61"/>
        <v>АВВГНг 3x70</v>
      </c>
      <c r="J132" s="5" t="str">
        <f>IF(G132=0,H132,G132)</f>
        <v>PG36</v>
      </c>
      <c r="K132" s="22"/>
    </row>
    <row r="133" spans="1:11" x14ac:dyDescent="0.2">
      <c r="A133" s="121" t="s">
        <v>201</v>
      </c>
      <c r="B133" s="121">
        <v>3</v>
      </c>
      <c r="C133" s="121">
        <v>70</v>
      </c>
      <c r="D133" s="121" t="str">
        <f t="shared" si="63"/>
        <v>3x70</v>
      </c>
      <c r="E133" s="121">
        <v>31.7</v>
      </c>
      <c r="F133" s="121" t="s">
        <v>188</v>
      </c>
      <c r="G133" s="5" t="str">
        <f>IF(
 ISNUMBER(MATCH("*PG13*",F133,0)),
 "PG13",
 IF(
  ISNUMBER(MATCH("*PG16*",F133,0)),
  "PG16",
  IF(
   ISNUMBER(MATCH("*PG21*",F133,0)),
   "PG21",
   IF(
    ISNUMBER(MATCH("*PG29*",F133,0)),
    "PG29",
    IF(
     ISNUMBER(MATCH("*PG36*",F133,0)),
     "PG36",
     0
    )
   )
  )
 )
)</f>
        <v>PG36</v>
      </c>
      <c r="H133" s="5">
        <f t="shared" si="60"/>
        <v>0</v>
      </c>
      <c r="I133" s="126" t="str">
        <f t="shared" si="61"/>
        <v>ВВГнг-FRLS 3x70</v>
      </c>
      <c r="J133" s="5" t="str">
        <f>IF(G133=0,H133,G133)</f>
        <v>PG36</v>
      </c>
      <c r="K133" s="22"/>
    </row>
    <row r="134" spans="1:11" x14ac:dyDescent="0.2">
      <c r="A134" s="121" t="s">
        <v>159</v>
      </c>
      <c r="B134" s="121">
        <v>3</v>
      </c>
      <c r="C134" s="121">
        <v>70</v>
      </c>
      <c r="D134" s="121" t="str">
        <f t="shared" si="63"/>
        <v>3x70</v>
      </c>
      <c r="E134" s="121">
        <v>32</v>
      </c>
      <c r="F134" s="121" t="s">
        <v>188</v>
      </c>
      <c r="G134" s="5" t="str">
        <f>IF(
 ISNUMBER(MATCH("*PG13*",F134,0)),
 "PG13",
 IF(
  ISNUMBER(MATCH("*PG16*",F134,0)),
  "PG16",
  IF(
   ISNUMBER(MATCH("*PG21*",F134,0)),
   "PG21",
   IF(
    ISNUMBER(MATCH("*PG29*",F134,0)),
    "PG29",
    IF(
     ISNUMBER(MATCH("*PG36*",F134,0)),
     "PG36",
     0
    )
   )
  )
 )
)</f>
        <v>PG36</v>
      </c>
      <c r="H134" s="5">
        <f t="shared" si="60"/>
        <v>0</v>
      </c>
      <c r="I134" s="126" t="str">
        <f t="shared" si="61"/>
        <v>ВВГнг-LS 3x70</v>
      </c>
      <c r="J134" s="5" t="str">
        <f>IF(G134=0,H134,G134)</f>
        <v>PG36</v>
      </c>
      <c r="K134" s="22"/>
    </row>
    <row r="135" spans="1:11" x14ac:dyDescent="0.2">
      <c r="A135" s="121" t="s">
        <v>30</v>
      </c>
      <c r="B135" s="121">
        <v>3</v>
      </c>
      <c r="C135" s="121">
        <v>95</v>
      </c>
      <c r="D135" s="121" t="str">
        <f t="shared" si="63"/>
        <v>3x95</v>
      </c>
      <c r="E135" s="121">
        <v>0</v>
      </c>
      <c r="F135" s="296" t="str">
        <f>F136</f>
        <v>18153417  САЛЬНИК PG36, ДИАМЕТР ПРОВОДНИКА 24...32 ММ ТУ 3449-110-18461115-03</v>
      </c>
      <c r="G135" s="1087" t="str">
        <f>G136</f>
        <v>PG36</v>
      </c>
      <c r="H135" s="1087">
        <f t="shared" si="60"/>
        <v>0</v>
      </c>
      <c r="I135" s="543" t="str">
        <f t="shared" si="61"/>
        <v>- 3x95</v>
      </c>
      <c r="J135" s="1087" t="str">
        <f t="shared" ref="J135" si="64">J136</f>
        <v>PG36</v>
      </c>
      <c r="K135" s="22"/>
    </row>
    <row r="136" spans="1:11" x14ac:dyDescent="0.2">
      <c r="A136" s="121" t="s">
        <v>896</v>
      </c>
      <c r="B136" s="121">
        <v>3</v>
      </c>
      <c r="C136" s="121">
        <v>95</v>
      </c>
      <c r="D136" s="121" t="str">
        <f t="shared" si="63"/>
        <v>3x95</v>
      </c>
      <c r="E136" s="121">
        <v>31.4</v>
      </c>
      <c r="F136" s="121" t="s">
        <v>188</v>
      </c>
      <c r="G136" s="5" t="str">
        <f>IF(
 ISNUMBER(MATCH("*PG13*",F136,0)),
 "PG13",
 IF(
  ISNUMBER(MATCH("*PG16*",F136,0)),
  "PG16",
  IF(
   ISNUMBER(MATCH("*PG21*",F136,0)),
   "PG21",
   IF(
    ISNUMBER(MATCH("*PG29*",F136,0)),
    "PG29",
    IF(
     ISNUMBER(MATCH("*PG36*",F136,0)),
     "PG36",
     0
    )
   )
  )
 )
)</f>
        <v>PG36</v>
      </c>
      <c r="H136" s="5">
        <f t="shared" si="60"/>
        <v>0</v>
      </c>
      <c r="I136" s="126" t="str">
        <f t="shared" si="61"/>
        <v>АВВГНг 3x95</v>
      </c>
      <c r="J136" s="5" t="str">
        <f>IF(G136=0,H136,G136)</f>
        <v>PG36</v>
      </c>
      <c r="K136" s="22"/>
    </row>
    <row r="137" spans="1:11" x14ac:dyDescent="0.2">
      <c r="A137" s="121" t="s">
        <v>898</v>
      </c>
      <c r="B137" s="121">
        <v>3</v>
      </c>
      <c r="C137" s="121">
        <v>95</v>
      </c>
      <c r="D137" s="121" t="str">
        <f t="shared" si="63"/>
        <v>3x95</v>
      </c>
      <c r="E137" s="121">
        <v>31.6</v>
      </c>
      <c r="F137" s="121" t="s">
        <v>188</v>
      </c>
      <c r="G137" s="5" t="str">
        <f>IF(
 ISNUMBER(MATCH("*PG13*",F137,0)),
 "PG13",
 IF(
  ISNUMBER(MATCH("*PG16*",F137,0)),
  "PG16",
  IF(
   ISNUMBER(MATCH("*PG21*",F137,0)),
   "PG21",
   IF(
    ISNUMBER(MATCH("*PG29*",F137,0)),
    "PG29",
    IF(
     ISNUMBER(MATCH("*PG36*",F137,0)),
     "PG36",
     0
    )
   )
  )
 )
)</f>
        <v>PG36</v>
      </c>
      <c r="H137" s="5">
        <f t="shared" si="60"/>
        <v>0</v>
      </c>
      <c r="I137" s="126" t="str">
        <f t="shared" si="61"/>
        <v>ВВГНг 3x95</v>
      </c>
      <c r="J137" s="5" t="str">
        <f>IF(G137=0,H137,G137)</f>
        <v>PG36</v>
      </c>
      <c r="K137" s="22"/>
    </row>
    <row r="138" spans="1:11" x14ac:dyDescent="0.2">
      <c r="A138" s="121" t="s">
        <v>159</v>
      </c>
      <c r="B138" s="121">
        <v>3</v>
      </c>
      <c r="C138" s="121">
        <v>95</v>
      </c>
      <c r="D138" s="121" t="str">
        <f t="shared" si="63"/>
        <v>3x95</v>
      </c>
      <c r="E138" s="121">
        <v>36</v>
      </c>
      <c r="F138" s="121" t="s">
        <v>189</v>
      </c>
      <c r="G138" s="5">
        <f>IF(
 ISNUMBER(MATCH("*PG13*",F138,0)),
 "PG13",
 IF(
  ISNUMBER(MATCH("*PG16*",F138,0)),
  "PG16",
  IF(
   ISNUMBER(MATCH("*PG21*",F138,0)),
   "PG21",
   IF(
    ISNUMBER(MATCH("*PG29*",F138,0)),
    "PG29",
    IF(
     ISNUMBER(MATCH("*PG36*",F138,0)),
     "PG36",
     0
    )
   )
  )
 )
)</f>
        <v>0</v>
      </c>
      <c r="H138" s="5" t="str">
        <f t="shared" si="60"/>
        <v>PG42</v>
      </c>
      <c r="I138" s="126" t="str">
        <f t="shared" si="61"/>
        <v>ВВГнг-LS 3x95</v>
      </c>
      <c r="J138" s="5" t="str">
        <f>IF(G138=0,H138,G138)</f>
        <v>PG42</v>
      </c>
      <c r="K138" s="22"/>
    </row>
    <row r="139" spans="1:11" x14ac:dyDescent="0.2">
      <c r="A139" s="121" t="s">
        <v>213</v>
      </c>
      <c r="B139" s="121">
        <v>3</v>
      </c>
      <c r="C139" s="121">
        <v>95</v>
      </c>
      <c r="D139" s="121" t="str">
        <f t="shared" si="63"/>
        <v>3x95</v>
      </c>
      <c r="E139" s="121">
        <v>37</v>
      </c>
      <c r="F139" s="121" t="s">
        <v>189</v>
      </c>
      <c r="G139" s="5">
        <f>IF(
 ISNUMBER(MATCH("*PG13*",F139,0)),
 "PG13",
 IF(
  ISNUMBER(MATCH("*PG16*",F139,0)),
  "PG16",
  IF(
   ISNUMBER(MATCH("*PG21*",F139,0)),
   "PG21",
   IF(
    ISNUMBER(MATCH("*PG29*",F139,0)),
    "PG29",
    IF(
     ISNUMBER(MATCH("*PG36*",F139,0)),
     "PG36",
     0
    )
   )
  )
 )
)</f>
        <v>0</v>
      </c>
      <c r="H139" s="5" t="str">
        <f t="shared" si="60"/>
        <v>PG42</v>
      </c>
      <c r="I139" s="126" t="str">
        <f t="shared" si="61"/>
        <v>ППГнг-НF 3x95</v>
      </c>
      <c r="J139" s="5" t="str">
        <f>IF(G139=0,H139,G139)</f>
        <v>PG42</v>
      </c>
      <c r="K139" s="22"/>
    </row>
    <row r="140" spans="1:11" x14ac:dyDescent="0.2">
      <c r="A140" s="121" t="s">
        <v>30</v>
      </c>
      <c r="B140" s="121">
        <v>3</v>
      </c>
      <c r="C140" s="121">
        <v>120</v>
      </c>
      <c r="D140" s="121" t="str">
        <f t="shared" si="63"/>
        <v>3x120</v>
      </c>
      <c r="E140" s="121">
        <v>0</v>
      </c>
      <c r="F140" s="296" t="str">
        <f>F141</f>
        <v>18153418  САЛЬНИК PG42, ДИАМЕТР ПРОВОДНИКА 30...40 ММ ТУ 3449-110-18461115-03</v>
      </c>
      <c r="G140" s="1087">
        <f>G141</f>
        <v>0</v>
      </c>
      <c r="H140" s="1087" t="str">
        <f t="shared" si="60"/>
        <v>PG42</v>
      </c>
      <c r="I140" s="543" t="str">
        <f t="shared" si="61"/>
        <v>- 3x120</v>
      </c>
      <c r="J140" s="1087" t="str">
        <f t="shared" ref="J140" si="65">J141</f>
        <v>PG42</v>
      </c>
      <c r="K140" s="22"/>
    </row>
    <row r="141" spans="1:11" x14ac:dyDescent="0.2">
      <c r="A141" s="121" t="s">
        <v>896</v>
      </c>
      <c r="B141" s="121">
        <v>3</v>
      </c>
      <c r="C141" s="121">
        <v>120</v>
      </c>
      <c r="D141" s="121" t="str">
        <f t="shared" si="63"/>
        <v>3x120</v>
      </c>
      <c r="E141" s="121">
        <v>34.299999999999997</v>
      </c>
      <c r="F141" s="121" t="s">
        <v>189</v>
      </c>
      <c r="G141" s="5">
        <f>IF(
 ISNUMBER(MATCH("*PG13*",F141,0)),
 "PG13",
 IF(
  ISNUMBER(MATCH("*PG16*",F141,0)),
  "PG16",
  IF(
   ISNUMBER(MATCH("*PG21*",F141,0)),
   "PG21",
   IF(
    ISNUMBER(MATCH("*PG29*",F141,0)),
    "PG29",
    IF(
     ISNUMBER(MATCH("*PG36*",F141,0)),
     "PG36",
     0
    )
   )
  )
 )
)</f>
        <v>0</v>
      </c>
      <c r="H141" s="5" t="str">
        <f t="shared" si="60"/>
        <v>PG42</v>
      </c>
      <c r="I141" s="126" t="str">
        <f t="shared" si="61"/>
        <v>АВВГНг 3x120</v>
      </c>
      <c r="J141" s="5" t="str">
        <f>IF(G141=0,H141,G141)</f>
        <v>PG42</v>
      </c>
      <c r="K141" s="22"/>
    </row>
    <row r="142" spans="1:11" x14ac:dyDescent="0.2">
      <c r="A142" s="121" t="s">
        <v>898</v>
      </c>
      <c r="B142" s="121">
        <v>3</v>
      </c>
      <c r="C142" s="121">
        <v>120</v>
      </c>
      <c r="D142" s="121" t="str">
        <f t="shared" si="63"/>
        <v>3x120</v>
      </c>
      <c r="E142" s="121">
        <v>34.6</v>
      </c>
      <c r="F142" s="121" t="s">
        <v>189</v>
      </c>
      <c r="G142" s="5">
        <f>IF(
 ISNUMBER(MATCH("*PG13*",F142,0)),
 "PG13",
 IF(
  ISNUMBER(MATCH("*PG16*",F142,0)),
  "PG16",
  IF(
   ISNUMBER(MATCH("*PG21*",F142,0)),
   "PG21",
   IF(
    ISNUMBER(MATCH("*PG29*",F142,0)),
    "PG29",
    IF(
     ISNUMBER(MATCH("*PG36*",F142,0)),
     "PG36",
     0
    )
   )
  )
 )
)</f>
        <v>0</v>
      </c>
      <c r="H142" s="5" t="str">
        <f t="shared" si="60"/>
        <v>PG42</v>
      </c>
      <c r="I142" s="126" t="str">
        <f t="shared" si="61"/>
        <v>ВВГНг 3x120</v>
      </c>
      <c r="J142" s="5" t="str">
        <f>IF(G142=0,H142,G142)</f>
        <v>PG42</v>
      </c>
      <c r="K142" s="22"/>
    </row>
    <row r="143" spans="1:11" x14ac:dyDescent="0.2">
      <c r="A143" s="121" t="s">
        <v>159</v>
      </c>
      <c r="B143" s="121">
        <v>3</v>
      </c>
      <c r="C143" s="121">
        <v>120</v>
      </c>
      <c r="D143" s="121" t="str">
        <f t="shared" si="63"/>
        <v>3x120</v>
      </c>
      <c r="E143" s="121">
        <v>38</v>
      </c>
      <c r="F143" s="121" t="s">
        <v>189</v>
      </c>
      <c r="G143" s="5">
        <f>IF(
 ISNUMBER(MATCH("*PG13*",F143,0)),
 "PG13",
 IF(
  ISNUMBER(MATCH("*PG16*",F143,0)),
  "PG16",
  IF(
   ISNUMBER(MATCH("*PG21*",F143,0)),
   "PG21",
   IF(
    ISNUMBER(MATCH("*PG29*",F143,0)),
    "PG29",
    IF(
     ISNUMBER(MATCH("*PG36*",F143,0)),
     "PG36",
     0
    )
   )
  )
 )
)</f>
        <v>0</v>
      </c>
      <c r="H143" s="5" t="str">
        <f t="shared" si="60"/>
        <v>PG42</v>
      </c>
      <c r="I143" s="126" t="str">
        <f t="shared" si="61"/>
        <v>ВВГнг-LS 3x120</v>
      </c>
      <c r="J143" s="5" t="str">
        <f>IF(G143=0,H143,G143)</f>
        <v>PG42</v>
      </c>
      <c r="K143" s="22"/>
    </row>
    <row r="144" spans="1:11" x14ac:dyDescent="0.2">
      <c r="A144" s="121" t="s">
        <v>196</v>
      </c>
      <c r="B144" s="121">
        <v>3</v>
      </c>
      <c r="C144" s="121">
        <v>120</v>
      </c>
      <c r="D144" s="121" t="str">
        <f t="shared" si="63"/>
        <v>3x120</v>
      </c>
      <c r="E144" s="121">
        <v>41</v>
      </c>
      <c r="F144" s="121" t="s">
        <v>190</v>
      </c>
      <c r="G144" s="5">
        <f>IF(
 ISNUMBER(MATCH("*PG13*",F144,0)),
 "PG13",
 IF(
  ISNUMBER(MATCH("*PG16*",F144,0)),
  "PG16",
  IF(
   ISNUMBER(MATCH("*PG21*",F144,0)),
   "PG21",
   IF(
    ISNUMBER(MATCH("*PG29*",F144,0)),
    "PG29",
    IF(
     ISNUMBER(MATCH("*PG36*",F144,0)),
     "PG36",
     0
    )
   )
  )
 )
)</f>
        <v>0</v>
      </c>
      <c r="H144" s="5" t="str">
        <f t="shared" si="60"/>
        <v>PG48</v>
      </c>
      <c r="I144" s="126" t="str">
        <f t="shared" si="61"/>
        <v>АВВГнг-LS 3x120</v>
      </c>
      <c r="J144" s="5" t="str">
        <f>IF(G144=0,H144,G144)</f>
        <v>PG48</v>
      </c>
      <c r="K144" s="22"/>
    </row>
    <row r="145" spans="1:11" x14ac:dyDescent="0.2">
      <c r="A145" s="121" t="s">
        <v>30</v>
      </c>
      <c r="B145" s="121">
        <v>3</v>
      </c>
      <c r="C145" s="121">
        <v>150</v>
      </c>
      <c r="D145" s="121" t="str">
        <f t="shared" si="63"/>
        <v>3x150</v>
      </c>
      <c r="E145" s="121">
        <v>0</v>
      </c>
      <c r="F145" s="296" t="str">
        <f>F146</f>
        <v>18153418  САЛЬНИК PG42, ДИАМЕТР ПРОВОДНИКА 30...40 ММ ТУ 3449-110-18461115-03</v>
      </c>
      <c r="G145" s="1087">
        <f>G146</f>
        <v>0</v>
      </c>
      <c r="H145" s="1087" t="str">
        <f t="shared" si="60"/>
        <v>PG42</v>
      </c>
      <c r="I145" s="543" t="str">
        <f t="shared" si="61"/>
        <v>- 3x150</v>
      </c>
      <c r="J145" s="1087" t="str">
        <f t="shared" ref="J145" si="66">J146</f>
        <v>PG42</v>
      </c>
      <c r="K145" s="22"/>
    </row>
    <row r="146" spans="1:11" x14ac:dyDescent="0.2">
      <c r="A146" s="121" t="s">
        <v>159</v>
      </c>
      <c r="B146" s="121">
        <v>3</v>
      </c>
      <c r="C146" s="121">
        <v>150</v>
      </c>
      <c r="D146" s="121" t="str">
        <f t="shared" si="63"/>
        <v>3x150</v>
      </c>
      <c r="E146" s="121">
        <v>36.799999999999997</v>
      </c>
      <c r="F146" s="121" t="s">
        <v>189</v>
      </c>
      <c r="G146" s="5">
        <f>IF(
 ISNUMBER(MATCH("*PG13*",F146,0)),
 "PG13",
 IF(
  ISNUMBER(MATCH("*PG16*",F146,0)),
  "PG16",
  IF(
   ISNUMBER(MATCH("*PG21*",F146,0)),
   "PG21",
   IF(
    ISNUMBER(MATCH("*PG29*",F146,0)),
    "PG29",
    IF(
     ISNUMBER(MATCH("*PG36*",F146,0)),
     "PG36",
     0
    )
   )
  )
 )
)</f>
        <v>0</v>
      </c>
      <c r="H146" s="5" t="str">
        <f t="shared" si="60"/>
        <v>PG42</v>
      </c>
      <c r="I146" s="126" t="str">
        <f t="shared" si="61"/>
        <v>ВВГнг-LS 3x150</v>
      </c>
      <c r="J146" s="5" t="str">
        <f>IF(G146=0,H146,G146)</f>
        <v>PG42</v>
      </c>
      <c r="K146" s="22"/>
    </row>
    <row r="147" spans="1:11" x14ac:dyDescent="0.2">
      <c r="A147" s="121" t="s">
        <v>896</v>
      </c>
      <c r="B147" s="121">
        <v>3</v>
      </c>
      <c r="C147" s="121">
        <v>150</v>
      </c>
      <c r="D147" s="121" t="str">
        <f t="shared" si="63"/>
        <v>3x150</v>
      </c>
      <c r="E147" s="121">
        <v>37.6</v>
      </c>
      <c r="F147" s="121" t="s">
        <v>189</v>
      </c>
      <c r="G147" s="5">
        <f>IF(
 ISNUMBER(MATCH("*PG13*",F147,0)),
 "PG13",
 IF(
  ISNUMBER(MATCH("*PG16*",F147,0)),
  "PG16",
  IF(
   ISNUMBER(MATCH("*PG21*",F147,0)),
   "PG21",
   IF(
    ISNUMBER(MATCH("*PG29*",F147,0)),
    "PG29",
    IF(
     ISNUMBER(MATCH("*PG36*",F147,0)),
     "PG36",
     0
    )
   )
  )
 )
)</f>
        <v>0</v>
      </c>
      <c r="H147" s="5" t="str">
        <f t="shared" si="60"/>
        <v>PG42</v>
      </c>
      <c r="I147" s="126" t="str">
        <f t="shared" si="61"/>
        <v>АВВГНг 3x150</v>
      </c>
      <c r="J147" s="5" t="str">
        <f>IF(G147=0,H147,G147)</f>
        <v>PG42</v>
      </c>
      <c r="K147" s="22"/>
    </row>
    <row r="148" spans="1:11" x14ac:dyDescent="0.2">
      <c r="A148" s="121" t="s">
        <v>898</v>
      </c>
      <c r="B148" s="121">
        <v>3</v>
      </c>
      <c r="C148" s="121">
        <v>150</v>
      </c>
      <c r="D148" s="121" t="str">
        <f t="shared" si="63"/>
        <v>3x150</v>
      </c>
      <c r="E148" s="121">
        <v>38</v>
      </c>
      <c r="F148" s="121" t="s">
        <v>189</v>
      </c>
      <c r="G148" s="5">
        <f>IF(
 ISNUMBER(MATCH("*PG13*",F148,0)),
 "PG13",
 IF(
  ISNUMBER(MATCH("*PG16*",F148,0)),
  "PG16",
  IF(
   ISNUMBER(MATCH("*PG21*",F148,0)),
   "PG21",
   IF(
    ISNUMBER(MATCH("*PG29*",F148,0)),
    "PG29",
    IF(
     ISNUMBER(MATCH("*PG36*",F148,0)),
     "PG36",
     0
    )
   )
  )
 )
)</f>
        <v>0</v>
      </c>
      <c r="H148" s="5" t="str">
        <f t="shared" si="60"/>
        <v>PG42</v>
      </c>
      <c r="I148" s="126" t="str">
        <f t="shared" si="61"/>
        <v>ВВГНг 3x150</v>
      </c>
      <c r="J148" s="5" t="str">
        <f>IF(G148=0,H148,G148)</f>
        <v>PG42</v>
      </c>
      <c r="K148" s="22"/>
    </row>
    <row r="149" spans="1:11" x14ac:dyDescent="0.2">
      <c r="A149" s="121" t="s">
        <v>201</v>
      </c>
      <c r="B149" s="121">
        <v>3</v>
      </c>
      <c r="C149" s="121">
        <v>150</v>
      </c>
      <c r="D149" s="121" t="str">
        <f t="shared" si="63"/>
        <v>3x150</v>
      </c>
      <c r="E149" s="121">
        <v>38</v>
      </c>
      <c r="F149" s="121" t="s">
        <v>189</v>
      </c>
      <c r="G149" s="5">
        <f>IF(
 ISNUMBER(MATCH("*PG13*",F149,0)),
 "PG13",
 IF(
  ISNUMBER(MATCH("*PG16*",F149,0)),
  "PG16",
  IF(
   ISNUMBER(MATCH("*PG21*",F149,0)),
   "PG21",
   IF(
    ISNUMBER(MATCH("*PG29*",F149,0)),
    "PG29",
    IF(
     ISNUMBER(MATCH("*PG36*",F149,0)),
     "PG36",
     0
    )
   )
  )
 )
)</f>
        <v>0</v>
      </c>
      <c r="H149" s="5" t="str">
        <f t="shared" si="60"/>
        <v>PG42</v>
      </c>
      <c r="I149" s="126" t="str">
        <f t="shared" si="61"/>
        <v>ВВГнг-FRLS 3x150</v>
      </c>
      <c r="J149" s="5" t="str">
        <f>IF(G149=0,H149,G149)</f>
        <v>PG42</v>
      </c>
      <c r="K149" s="22"/>
    </row>
    <row r="150" spans="1:11" x14ac:dyDescent="0.2">
      <c r="A150" s="121" t="s">
        <v>30</v>
      </c>
      <c r="B150" s="121">
        <v>3</v>
      </c>
      <c r="C150" s="121">
        <v>185</v>
      </c>
      <c r="D150" s="121" t="str">
        <f t="shared" si="63"/>
        <v>3x185</v>
      </c>
      <c r="E150" s="121">
        <v>0</v>
      </c>
      <c r="F150" s="296" t="str">
        <f>F151</f>
        <v>18153419  САЛЬНИК PG48, ДИАМЕТР ПРОВОДНИКА 36...44 ММ ТУ 3449-110-18461115-03</v>
      </c>
      <c r="G150" s="1087">
        <f>G151</f>
        <v>0</v>
      </c>
      <c r="H150" s="1087" t="str">
        <f t="shared" si="60"/>
        <v>PG48</v>
      </c>
      <c r="I150" s="543" t="str">
        <f t="shared" si="61"/>
        <v>- 3x185</v>
      </c>
      <c r="J150" s="1087" t="str">
        <f t="shared" ref="J150" si="67">J151</f>
        <v>PG48</v>
      </c>
      <c r="K150" s="22"/>
    </row>
    <row r="151" spans="1:11" x14ac:dyDescent="0.2">
      <c r="A151" s="121" t="s">
        <v>159</v>
      </c>
      <c r="B151" s="121">
        <v>3</v>
      </c>
      <c r="C151" s="121">
        <v>185</v>
      </c>
      <c r="D151" s="121" t="str">
        <f t="shared" si="63"/>
        <v>3x185</v>
      </c>
      <c r="E151" s="121">
        <v>40.299999999999997</v>
      </c>
      <c r="F151" s="121" t="s">
        <v>190</v>
      </c>
      <c r="G151" s="5">
        <f>IF(
 ISNUMBER(MATCH("*PG13*",F151,0)),
 "PG13",
 IF(
  ISNUMBER(MATCH("*PG16*",F151,0)),
  "PG16",
  IF(
   ISNUMBER(MATCH("*PG21*",F151,0)),
   "PG21",
   IF(
    ISNUMBER(MATCH("*PG29*",F151,0)),
    "PG29",
    IF(
     ISNUMBER(MATCH("*PG36*",F151,0)),
     "PG36",
     0
    )
   )
  )
 )
)</f>
        <v>0</v>
      </c>
      <c r="H151" s="5" t="str">
        <f t="shared" si="60"/>
        <v>PG48</v>
      </c>
      <c r="I151" s="126" t="str">
        <f t="shared" si="61"/>
        <v>ВВГнг-LS 3x185</v>
      </c>
      <c r="J151" s="5" t="str">
        <f>IF(G151=0,H151,G151)</f>
        <v>PG48</v>
      </c>
      <c r="K151" s="22"/>
    </row>
    <row r="152" spans="1:11" x14ac:dyDescent="0.2">
      <c r="A152" s="121" t="s">
        <v>896</v>
      </c>
      <c r="B152" s="121">
        <v>3</v>
      </c>
      <c r="C152" s="121">
        <v>185</v>
      </c>
      <c r="D152" s="121" t="str">
        <f t="shared" si="63"/>
        <v>3x185</v>
      </c>
      <c r="E152" s="121">
        <v>41</v>
      </c>
      <c r="F152" s="121" t="s">
        <v>190</v>
      </c>
      <c r="G152" s="5">
        <f>IF(
 ISNUMBER(MATCH("*PG13*",F152,0)),
 "PG13",
 IF(
  ISNUMBER(MATCH("*PG16*",F152,0)),
  "PG16",
  IF(
   ISNUMBER(MATCH("*PG21*",F152,0)),
   "PG21",
   IF(
    ISNUMBER(MATCH("*PG29*",F152,0)),
    "PG29",
    IF(
     ISNUMBER(MATCH("*PG36*",F152,0)),
     "PG36",
     0
    )
   )
  )
 )
)</f>
        <v>0</v>
      </c>
      <c r="H152" s="5" t="str">
        <f t="shared" si="60"/>
        <v>PG48</v>
      </c>
      <c r="I152" s="126" t="str">
        <f t="shared" si="61"/>
        <v>АВВГНг 3x185</v>
      </c>
      <c r="J152" s="5" t="str">
        <f>IF(G152=0,H152,G152)</f>
        <v>PG48</v>
      </c>
      <c r="K152" s="22"/>
    </row>
    <row r="153" spans="1:11" x14ac:dyDescent="0.2">
      <c r="A153" s="121" t="s">
        <v>898</v>
      </c>
      <c r="B153" s="121">
        <v>3</v>
      </c>
      <c r="C153" s="121">
        <v>185</v>
      </c>
      <c r="D153" s="121" t="str">
        <f t="shared" si="63"/>
        <v>3x185</v>
      </c>
      <c r="E153" s="121">
        <v>41.5</v>
      </c>
      <c r="F153" s="121" t="s">
        <v>190</v>
      </c>
      <c r="G153" s="5">
        <f>IF(
 ISNUMBER(MATCH("*PG13*",F153,0)),
 "PG13",
 IF(
  ISNUMBER(MATCH("*PG16*",F153,0)),
  "PG16",
  IF(
   ISNUMBER(MATCH("*PG21*",F153,0)),
   "PG21",
   IF(
    ISNUMBER(MATCH("*PG29*",F153,0)),
    "PG29",
    IF(
     ISNUMBER(MATCH("*PG36*",F153,0)),
     "PG36",
     0
    )
   )
  )
 )
)</f>
        <v>0</v>
      </c>
      <c r="H153" s="5" t="str">
        <f t="shared" si="60"/>
        <v>PG48</v>
      </c>
      <c r="I153" s="126" t="str">
        <f t="shared" si="61"/>
        <v>ВВГНг 3x185</v>
      </c>
      <c r="J153" s="5" t="str">
        <f>IF(G153=0,H153,G153)</f>
        <v>PG48</v>
      </c>
      <c r="K153" s="22"/>
    </row>
    <row r="154" spans="1:11" x14ac:dyDescent="0.2">
      <c r="A154" s="121" t="s">
        <v>30</v>
      </c>
      <c r="B154" s="121">
        <v>3</v>
      </c>
      <c r="C154" s="121">
        <v>200</v>
      </c>
      <c r="D154" s="121" t="str">
        <f t="shared" si="63"/>
        <v>3x200</v>
      </c>
      <c r="E154" s="121">
        <v>0</v>
      </c>
      <c r="F154" s="296" t="str">
        <f t="shared" ref="F154:F157" si="68">F155</f>
        <v>18153411  САЛЬНИК PG9, ДИАМЕТР ПРОВОДНИКА 6...7 ММ ТУ 3449-110-18461115-03</v>
      </c>
      <c r="G154" s="1087">
        <f t="shared" ref="G154:G157" si="69">G155</f>
        <v>0</v>
      </c>
      <c r="H154" s="1087">
        <f t="shared" ref="H154:H157" si="70">IF(
 ISNUMBER(MATCH("*PG42*",F154,0)),
 "PG42",
 IF(
  ISNUMBER(MATCH("*PG48*",F154,0)),
  "PG48",
  IF(
   ISNUMBER(MATCH("*MG63*",F154,0)),
   "MG63",
   IF(
    ISNUMBER(MATCH("*У479*",F154,0)),
    "У479",
    IF(
     ISNUMBER(MATCH("*У480*",F154,0)),
     "У480",
     0
    )
   )
  )
 )
)</f>
        <v>0</v>
      </c>
      <c r="I154" s="543" t="str">
        <f t="shared" ref="I154:I157" si="71">A154&amp;" "&amp;D154</f>
        <v>- 3x200</v>
      </c>
      <c r="J154" s="1087">
        <f t="shared" ref="J154:J157" si="72">J155</f>
        <v>0</v>
      </c>
      <c r="K154" s="22"/>
    </row>
    <row r="155" spans="1:11" x14ac:dyDescent="0.2">
      <c r="A155" s="121" t="s">
        <v>898</v>
      </c>
      <c r="B155" s="121">
        <v>3</v>
      </c>
      <c r="C155" s="121">
        <v>200</v>
      </c>
      <c r="D155" s="121" t="str">
        <f t="shared" si="63"/>
        <v>3x200</v>
      </c>
      <c r="E155" s="121">
        <v>100</v>
      </c>
      <c r="F155" s="296" t="str">
        <f t="shared" si="68"/>
        <v>18153411  САЛЬНИК PG9, ДИАМЕТР ПРОВОДНИКА 6...7 ММ ТУ 3449-110-18461115-03</v>
      </c>
      <c r="G155" s="1087">
        <f t="shared" si="69"/>
        <v>0</v>
      </c>
      <c r="H155" s="1087">
        <f t="shared" si="70"/>
        <v>0</v>
      </c>
      <c r="I155" s="543" t="str">
        <f t="shared" si="71"/>
        <v>ВВГНг 3x200</v>
      </c>
      <c r="J155" s="1087">
        <f t="shared" si="72"/>
        <v>0</v>
      </c>
      <c r="K155" s="22"/>
    </row>
    <row r="156" spans="1:11" x14ac:dyDescent="0.2">
      <c r="A156" s="121" t="s">
        <v>30</v>
      </c>
      <c r="B156" s="121">
        <v>3</v>
      </c>
      <c r="C156" s="121">
        <v>240</v>
      </c>
      <c r="D156" s="121" t="str">
        <f t="shared" si="63"/>
        <v>3x240</v>
      </c>
      <c r="E156" s="121">
        <v>0</v>
      </c>
      <c r="F156" s="296" t="str">
        <f t="shared" si="68"/>
        <v>18153411  САЛЬНИК PG9, ДИАМЕТР ПРОВОДНИКА 6...7 ММ ТУ 3449-110-18461115-03</v>
      </c>
      <c r="G156" s="1087">
        <f t="shared" si="69"/>
        <v>0</v>
      </c>
      <c r="H156" s="1087">
        <f t="shared" si="70"/>
        <v>0</v>
      </c>
      <c r="I156" s="543" t="str">
        <f t="shared" si="71"/>
        <v>- 3x240</v>
      </c>
      <c r="J156" s="1087">
        <f t="shared" si="72"/>
        <v>0</v>
      </c>
      <c r="K156" s="22"/>
    </row>
    <row r="157" spans="1:11" x14ac:dyDescent="0.2">
      <c r="A157" s="121" t="s">
        <v>30</v>
      </c>
      <c r="B157" s="121">
        <v>4</v>
      </c>
      <c r="C157" s="121">
        <v>0.5</v>
      </c>
      <c r="D157" s="121" t="str">
        <f t="shared" si="63"/>
        <v>4x0,5</v>
      </c>
      <c r="E157" s="121">
        <v>0</v>
      </c>
      <c r="F157" s="296" t="str">
        <f t="shared" si="68"/>
        <v>18153411  САЛЬНИК PG9, ДИАМЕТР ПРОВОДНИКА 6...7 ММ ТУ 3449-110-18461115-03</v>
      </c>
      <c r="G157" s="1087">
        <f t="shared" si="69"/>
        <v>0</v>
      </c>
      <c r="H157" s="1087">
        <f t="shared" si="70"/>
        <v>0</v>
      </c>
      <c r="I157" s="543" t="str">
        <f t="shared" si="71"/>
        <v>- 4x0,5</v>
      </c>
      <c r="J157" s="1087">
        <f t="shared" si="72"/>
        <v>0</v>
      </c>
      <c r="K157" s="22"/>
    </row>
    <row r="158" spans="1:11" x14ac:dyDescent="0.2">
      <c r="A158" s="121" t="s">
        <v>906</v>
      </c>
      <c r="B158" s="121">
        <v>4</v>
      </c>
      <c r="C158" s="121">
        <v>0.5</v>
      </c>
      <c r="D158" s="121" t="str">
        <f t="shared" si="63"/>
        <v>4x0,5</v>
      </c>
      <c r="E158" s="121">
        <v>6</v>
      </c>
      <c r="F158" s="121" t="s">
        <v>910</v>
      </c>
      <c r="G158" s="5">
        <f>IF(
 ISNUMBER(MATCH("*PG13*",F158,0)),
 "PG13",
 IF(
  ISNUMBER(MATCH("*PG16*",F158,0)),
  "PG16",
  IF(
   ISNUMBER(MATCH("*PG21*",F158,0)),
   "PG21",
   IF(
    ISNUMBER(MATCH("*PG29*",F158,0)),
    "PG29",
    IF(
     ISNUMBER(MATCH("*PG36*",F158,0)),
     "PG36",
     0
    )
   )
  )
 )
)</f>
        <v>0</v>
      </c>
      <c r="H158" s="5">
        <f t="shared" ref="H158:H189" si="73">IF(
 ISNUMBER(MATCH("*PG42*",F158,0)),
 "PG42",
 IF(
  ISNUMBER(MATCH("*PG48*",F158,0)),
  "PG48",
  IF(
   ISNUMBER(MATCH("*MG63*",F158,0)),
   "MG63",
   IF(
    ISNUMBER(MATCH("*У479*",F158,0)),
    "У479",
    IF(
     ISNUMBER(MATCH("*У480*",F158,0)),
     "У480",
     0
    )
   )
  )
 )
)</f>
        <v>0</v>
      </c>
      <c r="I158" s="126" t="str">
        <f t="shared" ref="I158:I189" si="74">A158&amp;" "&amp;D158</f>
        <v>КУПЭВнг(А)-LS 4x0,5</v>
      </c>
      <c r="J158" s="5">
        <f>IF(G158=0,H158,G158)</f>
        <v>0</v>
      </c>
      <c r="K158" s="22"/>
    </row>
    <row r="159" spans="1:11" x14ac:dyDescent="0.2">
      <c r="A159" s="121" t="s">
        <v>903</v>
      </c>
      <c r="B159" s="121">
        <v>4</v>
      </c>
      <c r="C159" s="121">
        <v>0.5</v>
      </c>
      <c r="D159" s="121" t="str">
        <f t="shared" si="63"/>
        <v>4x0,5</v>
      </c>
      <c r="E159" s="121">
        <v>10.7</v>
      </c>
      <c r="F159" s="121" t="s">
        <v>197</v>
      </c>
      <c r="G159" s="5" t="str">
        <f>IF(
 ISNUMBER(MATCH("*PG13*",F159,0)),
 "PG13",
 IF(
  ISNUMBER(MATCH("*PG16*",F159,0)),
  "PG16",
  IF(
   ISNUMBER(MATCH("*PG21*",F159,0)),
   "PG21",
   IF(
    ISNUMBER(MATCH("*PG29*",F159,0)),
    "PG29",
    IF(
     ISNUMBER(MATCH("*PG36*",F159,0)),
     "PG36",
     0
    )
   )
  )
 )
)</f>
        <v>PG13</v>
      </c>
      <c r="H159" s="5">
        <f t="shared" si="73"/>
        <v>0</v>
      </c>
      <c r="I159" s="126" t="str">
        <f t="shared" si="74"/>
        <v>КМПЭВнг-FRLS 4x0,5</v>
      </c>
      <c r="J159" s="5" t="str">
        <f>IF(G159=0,H159,G159)</f>
        <v>PG13</v>
      </c>
      <c r="K159" s="22"/>
    </row>
    <row r="160" spans="1:11" x14ac:dyDescent="0.2">
      <c r="A160" s="121" t="s">
        <v>30</v>
      </c>
      <c r="B160" s="121">
        <v>4</v>
      </c>
      <c r="C160" s="121">
        <v>0.8</v>
      </c>
      <c r="D160" s="121" t="str">
        <f t="shared" si="63"/>
        <v>4x0,8</v>
      </c>
      <c r="E160" s="121">
        <v>0</v>
      </c>
      <c r="F160" s="296" t="str">
        <f>F161</f>
        <v>18153413  САЛЬНИК PG13.5, ДИАМЕТР ПРОВОДНИКА 7...11 ММ ТУ 3449-110-18461115-03</v>
      </c>
      <c r="G160" s="1087" t="str">
        <f>G161</f>
        <v>PG13</v>
      </c>
      <c r="H160" s="1087">
        <f t="shared" si="73"/>
        <v>0</v>
      </c>
      <c r="I160" s="543" t="str">
        <f t="shared" si="74"/>
        <v>- 4x0,8</v>
      </c>
      <c r="J160" s="1087" t="str">
        <f t="shared" ref="J160" si="75">J161</f>
        <v>PG13</v>
      </c>
      <c r="K160" s="22"/>
    </row>
    <row r="161" spans="1:11" x14ac:dyDescent="0.2">
      <c r="A161" s="121" t="s">
        <v>904</v>
      </c>
      <c r="B161" s="121">
        <v>4</v>
      </c>
      <c r="C161" s="121">
        <v>0.8</v>
      </c>
      <c r="D161" s="121" t="str">
        <f t="shared" si="63"/>
        <v>4x0,8</v>
      </c>
      <c r="E161" s="121">
        <v>8.67</v>
      </c>
      <c r="F161" s="121" t="s">
        <v>197</v>
      </c>
      <c r="G161" s="5" t="str">
        <f>IF(
 ISNUMBER(MATCH("*PG13*",F161,0)),
 "PG13",
 IF(
  ISNUMBER(MATCH("*PG16*",F161,0)),
  "PG16",
  IF(
   ISNUMBER(MATCH("*PG21*",F161,0)),
   "PG21",
   IF(
    ISNUMBER(MATCH("*PG29*",F161,0)),
    "PG29",
    IF(
     ISNUMBER(MATCH("*PG36*",F161,0)),
     "PG36",
     0
    )
   )
  )
 )
)</f>
        <v>PG13</v>
      </c>
      <c r="H161" s="5">
        <f t="shared" si="73"/>
        <v>0</v>
      </c>
      <c r="I161" s="126" t="str">
        <f t="shared" si="74"/>
        <v>КПЭПнг(A)-HF 4x0,8</v>
      </c>
      <c r="J161" s="5" t="str">
        <f>IF(G161=0,H161,G161)</f>
        <v>PG13</v>
      </c>
      <c r="K161" s="22"/>
    </row>
    <row r="162" spans="1:11" x14ac:dyDescent="0.2">
      <c r="A162" s="121" t="s">
        <v>30</v>
      </c>
      <c r="B162" s="121">
        <v>4</v>
      </c>
      <c r="C162" s="121">
        <v>1</v>
      </c>
      <c r="D162" s="121" t="str">
        <f t="shared" si="63"/>
        <v>4x1</v>
      </c>
      <c r="E162" s="121">
        <v>0</v>
      </c>
      <c r="F162" s="296" t="str">
        <f>F163</f>
        <v>18153413  САЛЬНИК PG13.5, ДИАМЕТР ПРОВОДНИКА 7...11 ММ ТУ 3449-110-18461115-03</v>
      </c>
      <c r="G162" s="1087" t="str">
        <f>G163</f>
        <v>PG13</v>
      </c>
      <c r="H162" s="1087">
        <f t="shared" si="73"/>
        <v>0</v>
      </c>
      <c r="I162" s="543" t="str">
        <f t="shared" si="74"/>
        <v>- 4x1</v>
      </c>
      <c r="J162" s="1087" t="str">
        <f t="shared" ref="J162" si="76">J163</f>
        <v>PG13</v>
      </c>
      <c r="K162" s="22"/>
    </row>
    <row r="163" spans="1:11" x14ac:dyDescent="0.2">
      <c r="A163" s="121" t="s">
        <v>900</v>
      </c>
      <c r="B163" s="121">
        <v>4</v>
      </c>
      <c r="C163" s="121">
        <v>1</v>
      </c>
      <c r="D163" s="121" t="str">
        <f t="shared" si="63"/>
        <v>4x1</v>
      </c>
      <c r="E163" s="121">
        <v>8</v>
      </c>
      <c r="F163" s="121" t="s">
        <v>197</v>
      </c>
      <c r="G163" s="5" t="str">
        <f>IF(
 ISNUMBER(MATCH("*PG13*",F163,0)),
 "PG13",
 IF(
  ISNUMBER(MATCH("*PG16*",F163,0)),
  "PG16",
  IF(
   ISNUMBER(MATCH("*PG21*",F163,0)),
   "PG21",
   IF(
    ISNUMBER(MATCH("*PG29*",F163,0)),
    "PG29",
    IF(
     ISNUMBER(MATCH("*PG36*",F163,0)),
     "PG36",
     0
    )
   )
  )
 )
)</f>
        <v>PG13</v>
      </c>
      <c r="H163" s="5">
        <f t="shared" si="73"/>
        <v>0</v>
      </c>
      <c r="I163" s="126" t="str">
        <f t="shared" si="74"/>
        <v>КВВГ 4x1</v>
      </c>
      <c r="J163" s="5" t="str">
        <f>IF(G163=0,H163,G163)</f>
        <v>PG13</v>
      </c>
      <c r="K163" s="22"/>
    </row>
    <row r="164" spans="1:11" x14ac:dyDescent="0.2">
      <c r="A164" s="121" t="s">
        <v>207</v>
      </c>
      <c r="B164" s="121">
        <v>4</v>
      </c>
      <c r="C164" s="121">
        <v>1</v>
      </c>
      <c r="D164" s="121" t="str">
        <f t="shared" si="63"/>
        <v>4x1</v>
      </c>
      <c r="E164" s="121">
        <v>10.9</v>
      </c>
      <c r="F164" s="121" t="s">
        <v>197</v>
      </c>
      <c r="G164" s="5" t="str">
        <f>IF(
 ISNUMBER(MATCH("*PG13*",F164,0)),
 "PG13",
 IF(
  ISNUMBER(MATCH("*PG16*",F164,0)),
  "PG16",
  IF(
   ISNUMBER(MATCH("*PG21*",F164,0)),
   "PG21",
   IF(
    ISNUMBER(MATCH("*PG29*",F164,0)),
    "PG29",
    IF(
     ISNUMBER(MATCH("*PG36*",F164,0)),
     "PG36",
     0
    )
   )
  )
 )
)</f>
        <v>PG13</v>
      </c>
      <c r="H164" s="5">
        <f t="shared" si="73"/>
        <v>0</v>
      </c>
      <c r="I164" s="126" t="str">
        <f t="shared" si="74"/>
        <v>КВВГЭнг-LS 4x1</v>
      </c>
      <c r="J164" s="5" t="str">
        <f>IF(G164=0,H164,G164)</f>
        <v>PG13</v>
      </c>
      <c r="K164" s="22"/>
    </row>
    <row r="165" spans="1:11" x14ac:dyDescent="0.2">
      <c r="A165" s="121" t="s">
        <v>206</v>
      </c>
      <c r="B165" s="121">
        <v>4</v>
      </c>
      <c r="C165" s="121">
        <v>1</v>
      </c>
      <c r="D165" s="121" t="str">
        <f t="shared" si="63"/>
        <v>4x1</v>
      </c>
      <c r="E165" s="121">
        <v>11</v>
      </c>
      <c r="F165" s="121" t="s">
        <v>197</v>
      </c>
      <c r="G165" s="5" t="str">
        <f>IF(
 ISNUMBER(MATCH("*PG13*",F165,0)),
 "PG13",
 IF(
  ISNUMBER(MATCH("*PG16*",F165,0)),
  "PG16",
  IF(
   ISNUMBER(MATCH("*PG21*",F165,0)),
   "PG21",
   IF(
    ISNUMBER(MATCH("*PG29*",F165,0)),
    "PG29",
    IF(
     ISNUMBER(MATCH("*PG36*",F165,0)),
     "PG36",
     0
    )
   )
  )
 )
)</f>
        <v>PG13</v>
      </c>
      <c r="H165" s="5">
        <f t="shared" si="73"/>
        <v>0</v>
      </c>
      <c r="I165" s="126" t="str">
        <f t="shared" si="74"/>
        <v>КВВГЭнг-FRLS 4x1</v>
      </c>
      <c r="J165" s="5" t="str">
        <f>IF(G165=0,H165,G165)</f>
        <v>PG13</v>
      </c>
      <c r="K165" s="22"/>
    </row>
    <row r="166" spans="1:11" x14ac:dyDescent="0.2">
      <c r="A166" s="121" t="s">
        <v>30</v>
      </c>
      <c r="B166" s="121">
        <v>4</v>
      </c>
      <c r="C166" s="121">
        <v>1.5</v>
      </c>
      <c r="D166" s="121" t="str">
        <f t="shared" si="63"/>
        <v>4x1,5</v>
      </c>
      <c r="E166" s="121">
        <v>0</v>
      </c>
      <c r="F166" s="296" t="str">
        <f>F167</f>
        <v>18153413  САЛЬНИК PG13.5, ДИАМЕТР ПРОВОДНИКА 7...11 ММ ТУ 3449-110-18461115-03</v>
      </c>
      <c r="G166" s="1087" t="str">
        <f>G167</f>
        <v>PG13</v>
      </c>
      <c r="H166" s="1087">
        <f t="shared" si="73"/>
        <v>0</v>
      </c>
      <c r="I166" s="543" t="str">
        <f t="shared" si="74"/>
        <v>- 4x1,5</v>
      </c>
      <c r="J166" s="1087" t="str">
        <f t="shared" ref="J166" si="77">J167</f>
        <v>PG13</v>
      </c>
      <c r="K166" s="22"/>
    </row>
    <row r="167" spans="1:11" x14ac:dyDescent="0.2">
      <c r="A167" s="121" t="s">
        <v>901</v>
      </c>
      <c r="B167" s="121">
        <v>4</v>
      </c>
      <c r="C167" s="121">
        <v>1.5</v>
      </c>
      <c r="D167" s="121" t="str">
        <f t="shared" si="63"/>
        <v>4x1,5</v>
      </c>
      <c r="E167" s="121">
        <v>9.1999999999999993</v>
      </c>
      <c r="F167" s="121" t="s">
        <v>197</v>
      </c>
      <c r="G167" s="5" t="str">
        <f t="shared" ref="G167:G175" si="78">IF(
 ISNUMBER(MATCH("*PG13*",F167,0)),
 "PG13",
 IF(
  ISNUMBER(MATCH("*PG16*",F167,0)),
  "PG16",
  IF(
   ISNUMBER(MATCH("*PG21*",F167,0)),
   "PG21",
   IF(
    ISNUMBER(MATCH("*PG29*",F167,0)),
    "PG29",
    IF(
     ISNUMBER(MATCH("*PG36*",F167,0)),
     "PG36",
     0
    )
   )
  )
 )
)</f>
        <v>PG13</v>
      </c>
      <c r="H167" s="5">
        <f t="shared" si="73"/>
        <v>0</v>
      </c>
      <c r="I167" s="126" t="str">
        <f t="shared" si="74"/>
        <v>КВВГНг 4x1,5</v>
      </c>
      <c r="J167" s="5" t="str">
        <f t="shared" ref="J167:J175" si="79">IF(G167=0,H167,G167)</f>
        <v>PG13</v>
      </c>
      <c r="K167" s="22"/>
    </row>
    <row r="168" spans="1:11" x14ac:dyDescent="0.2">
      <c r="A168" s="121" t="s">
        <v>898</v>
      </c>
      <c r="B168" s="121">
        <v>4</v>
      </c>
      <c r="C168" s="121">
        <v>1.5</v>
      </c>
      <c r="D168" s="121" t="str">
        <f t="shared" si="63"/>
        <v>4x1,5</v>
      </c>
      <c r="E168" s="121">
        <v>9.3000000000000007</v>
      </c>
      <c r="F168" s="121" t="s">
        <v>197</v>
      </c>
      <c r="G168" s="5" t="str">
        <f t="shared" si="78"/>
        <v>PG13</v>
      </c>
      <c r="H168" s="5">
        <f t="shared" si="73"/>
        <v>0</v>
      </c>
      <c r="I168" s="126" t="str">
        <f t="shared" si="74"/>
        <v>ВВГНг 4x1,5</v>
      </c>
      <c r="J168" s="5" t="str">
        <f t="shared" si="79"/>
        <v>PG13</v>
      </c>
      <c r="K168" s="22"/>
    </row>
    <row r="169" spans="1:11" x14ac:dyDescent="0.2">
      <c r="A169" s="121" t="s">
        <v>159</v>
      </c>
      <c r="B169" s="121">
        <v>4</v>
      </c>
      <c r="C169" s="121">
        <v>1.5</v>
      </c>
      <c r="D169" s="121" t="str">
        <f t="shared" si="63"/>
        <v>4x1,5</v>
      </c>
      <c r="E169" s="121">
        <v>9.3000000000000007</v>
      </c>
      <c r="F169" s="121" t="s">
        <v>197</v>
      </c>
      <c r="G169" s="5" t="str">
        <f t="shared" si="78"/>
        <v>PG13</v>
      </c>
      <c r="H169" s="5">
        <f t="shared" si="73"/>
        <v>0</v>
      </c>
      <c r="I169" s="126" t="str">
        <f t="shared" si="74"/>
        <v>ВВГнг-LS 4x1,5</v>
      </c>
      <c r="J169" s="5" t="str">
        <f t="shared" si="79"/>
        <v>PG13</v>
      </c>
      <c r="K169" s="22"/>
    </row>
    <row r="170" spans="1:11" x14ac:dyDescent="0.2">
      <c r="A170" s="121" t="s">
        <v>205</v>
      </c>
      <c r="B170" s="121">
        <v>4</v>
      </c>
      <c r="C170" s="121">
        <v>1.5</v>
      </c>
      <c r="D170" s="121" t="str">
        <f t="shared" si="63"/>
        <v>4x1,5</v>
      </c>
      <c r="E170" s="121">
        <v>11</v>
      </c>
      <c r="F170" s="121" t="s">
        <v>197</v>
      </c>
      <c r="G170" s="5" t="str">
        <f t="shared" si="78"/>
        <v>PG13</v>
      </c>
      <c r="H170" s="5">
        <f t="shared" si="73"/>
        <v>0</v>
      </c>
      <c r="I170" s="126" t="str">
        <f t="shared" si="74"/>
        <v>КВВГнг-LS 4x1,5</v>
      </c>
      <c r="J170" s="5" t="str">
        <f t="shared" si="79"/>
        <v>PG13</v>
      </c>
      <c r="K170" s="22"/>
    </row>
    <row r="171" spans="1:11" x14ac:dyDescent="0.2">
      <c r="A171" s="121" t="s">
        <v>209</v>
      </c>
      <c r="B171" s="121">
        <v>4</v>
      </c>
      <c r="C171" s="121">
        <v>1.5</v>
      </c>
      <c r="D171" s="121" t="str">
        <f t="shared" si="63"/>
        <v>4x1,5</v>
      </c>
      <c r="E171" s="121">
        <v>11.1</v>
      </c>
      <c r="F171" s="121" t="s">
        <v>195</v>
      </c>
      <c r="G171" s="5" t="str">
        <f t="shared" si="78"/>
        <v>PG16</v>
      </c>
      <c r="H171" s="5">
        <f t="shared" si="73"/>
        <v>0</v>
      </c>
      <c r="I171" s="126" t="str">
        <f t="shared" si="74"/>
        <v>КГН 4x1,5</v>
      </c>
      <c r="J171" s="5" t="str">
        <f t="shared" si="79"/>
        <v>PG16</v>
      </c>
      <c r="K171" s="22"/>
    </row>
    <row r="172" spans="1:11" x14ac:dyDescent="0.2">
      <c r="A172" s="121" t="s">
        <v>204</v>
      </c>
      <c r="B172" s="121">
        <v>4</v>
      </c>
      <c r="C172" s="121">
        <v>1.5</v>
      </c>
      <c r="D172" s="121" t="str">
        <f t="shared" si="63"/>
        <v>4x1,5</v>
      </c>
      <c r="E172" s="121">
        <v>11.5</v>
      </c>
      <c r="F172" s="121" t="s">
        <v>195</v>
      </c>
      <c r="G172" s="5" t="str">
        <f t="shared" si="78"/>
        <v>PG16</v>
      </c>
      <c r="H172" s="5">
        <f t="shared" si="73"/>
        <v>0</v>
      </c>
      <c r="I172" s="126" t="str">
        <f t="shared" si="74"/>
        <v>КВВГнг-FRLS 4x1,5</v>
      </c>
      <c r="J172" s="5" t="str">
        <f t="shared" si="79"/>
        <v>PG16</v>
      </c>
      <c r="K172" s="22"/>
    </row>
    <row r="173" spans="1:11" x14ac:dyDescent="0.2">
      <c r="A173" s="121" t="s">
        <v>207</v>
      </c>
      <c r="B173" s="121">
        <v>4</v>
      </c>
      <c r="C173" s="121">
        <v>1.5</v>
      </c>
      <c r="D173" s="121" t="str">
        <f t="shared" si="63"/>
        <v>4x1,5</v>
      </c>
      <c r="E173" s="121">
        <v>11.5</v>
      </c>
      <c r="F173" s="121" t="s">
        <v>195</v>
      </c>
      <c r="G173" s="5" t="str">
        <f t="shared" si="78"/>
        <v>PG16</v>
      </c>
      <c r="H173" s="5">
        <f t="shared" si="73"/>
        <v>0</v>
      </c>
      <c r="I173" s="126" t="str">
        <f t="shared" si="74"/>
        <v>КВВГЭнг-LS 4x1,5</v>
      </c>
      <c r="J173" s="5" t="str">
        <f t="shared" si="79"/>
        <v>PG16</v>
      </c>
      <c r="K173" s="22"/>
    </row>
    <row r="174" spans="1:11" x14ac:dyDescent="0.2">
      <c r="A174" s="121" t="s">
        <v>201</v>
      </c>
      <c r="B174" s="121">
        <v>4</v>
      </c>
      <c r="C174" s="121">
        <v>1.5</v>
      </c>
      <c r="D174" s="121" t="str">
        <f t="shared" si="63"/>
        <v>4x1,5</v>
      </c>
      <c r="E174" s="121">
        <v>13.5</v>
      </c>
      <c r="F174" s="121" t="s">
        <v>194</v>
      </c>
      <c r="G174" s="5" t="str">
        <f t="shared" si="78"/>
        <v>PG21</v>
      </c>
      <c r="H174" s="5">
        <f t="shared" si="73"/>
        <v>0</v>
      </c>
      <c r="I174" s="126" t="str">
        <f t="shared" si="74"/>
        <v>ВВГнг-FRLS 4x1,5</v>
      </c>
      <c r="J174" s="5" t="str">
        <f t="shared" si="79"/>
        <v>PG21</v>
      </c>
      <c r="K174" s="22"/>
    </row>
    <row r="175" spans="1:11" x14ac:dyDescent="0.2">
      <c r="A175" s="121" t="s">
        <v>206</v>
      </c>
      <c r="B175" s="121">
        <v>4</v>
      </c>
      <c r="C175" s="121">
        <v>1.5</v>
      </c>
      <c r="D175" s="121" t="str">
        <f t="shared" si="63"/>
        <v>4x1,5</v>
      </c>
      <c r="E175" s="121">
        <v>13.7</v>
      </c>
      <c r="F175" s="121" t="s">
        <v>194</v>
      </c>
      <c r="G175" s="5" t="str">
        <f t="shared" si="78"/>
        <v>PG21</v>
      </c>
      <c r="H175" s="5">
        <f t="shared" si="73"/>
        <v>0</v>
      </c>
      <c r="I175" s="126" t="str">
        <f t="shared" si="74"/>
        <v>КВВГЭнг-FRLS 4x1,5</v>
      </c>
      <c r="J175" s="5" t="str">
        <f t="shared" si="79"/>
        <v>PG21</v>
      </c>
      <c r="K175" s="22"/>
    </row>
    <row r="176" spans="1:11" x14ac:dyDescent="0.2">
      <c r="A176" s="121" t="s">
        <v>30</v>
      </c>
      <c r="B176" s="121">
        <v>4</v>
      </c>
      <c r="C176" s="121">
        <v>2.5</v>
      </c>
      <c r="D176" s="121" t="str">
        <f t="shared" si="63"/>
        <v>4x2,5</v>
      </c>
      <c r="E176" s="121">
        <v>0</v>
      </c>
      <c r="F176" s="296" t="str">
        <f>F177</f>
        <v>18153413  САЛЬНИК PG13.5, ДИАМЕТР ПРОВОДНИКА 7...11 ММ ТУ 3449-110-18461115-03</v>
      </c>
      <c r="G176" s="1087" t="str">
        <f>G177</f>
        <v>PG13</v>
      </c>
      <c r="H176" s="1087">
        <f t="shared" si="73"/>
        <v>0</v>
      </c>
      <c r="I176" s="543" t="str">
        <f t="shared" si="74"/>
        <v>- 4x2,5</v>
      </c>
      <c r="J176" s="1087" t="str">
        <f t="shared" ref="J176" si="80">J177</f>
        <v>PG13</v>
      </c>
      <c r="K176" s="22"/>
    </row>
    <row r="177" spans="1:11" x14ac:dyDescent="0.2">
      <c r="A177" s="121" t="s">
        <v>196</v>
      </c>
      <c r="B177" s="121">
        <v>4</v>
      </c>
      <c r="C177" s="121">
        <v>2.5</v>
      </c>
      <c r="D177" s="121" t="str">
        <f t="shared" si="63"/>
        <v>4x2,5</v>
      </c>
      <c r="E177" s="121">
        <v>10.199999999999999</v>
      </c>
      <c r="F177" s="121" t="s">
        <v>197</v>
      </c>
      <c r="G177" s="5" t="str">
        <f t="shared" ref="G177:G187" si="81">IF(
 ISNUMBER(MATCH("*PG13*",F177,0)),
 "PG13",
 IF(
  ISNUMBER(MATCH("*PG16*",F177,0)),
  "PG16",
  IF(
   ISNUMBER(MATCH("*PG21*",F177,0)),
   "PG21",
   IF(
    ISNUMBER(MATCH("*PG29*",F177,0)),
    "PG29",
    IF(
     ISNUMBER(MATCH("*PG36*",F177,0)),
     "PG36",
     0
    )
   )
  )
 )
)</f>
        <v>PG13</v>
      </c>
      <c r="H177" s="5">
        <f t="shared" si="73"/>
        <v>0</v>
      </c>
      <c r="I177" s="126" t="str">
        <f t="shared" si="74"/>
        <v>АВВГнг-LS 4x2,5</v>
      </c>
      <c r="J177" s="5" t="str">
        <f t="shared" ref="J177:J187" si="82">IF(G177=0,H177,G177)</f>
        <v>PG13</v>
      </c>
      <c r="K177" s="22"/>
    </row>
    <row r="178" spans="1:11" x14ac:dyDescent="0.2">
      <c r="A178" s="121" t="s">
        <v>898</v>
      </c>
      <c r="B178" s="121">
        <v>4</v>
      </c>
      <c r="C178" s="121">
        <v>2.5</v>
      </c>
      <c r="D178" s="121" t="str">
        <f t="shared" si="63"/>
        <v>4x2,5</v>
      </c>
      <c r="E178" s="121">
        <v>10.199999999999999</v>
      </c>
      <c r="F178" s="121" t="s">
        <v>197</v>
      </c>
      <c r="G178" s="5" t="str">
        <f t="shared" si="81"/>
        <v>PG13</v>
      </c>
      <c r="H178" s="5">
        <f t="shared" si="73"/>
        <v>0</v>
      </c>
      <c r="I178" s="126" t="str">
        <f t="shared" si="74"/>
        <v>ВВГНг 4x2,5</v>
      </c>
      <c r="J178" s="5" t="str">
        <f t="shared" si="82"/>
        <v>PG13</v>
      </c>
      <c r="K178" s="22"/>
    </row>
    <row r="179" spans="1:11" x14ac:dyDescent="0.2">
      <c r="A179" s="121" t="s">
        <v>210</v>
      </c>
      <c r="B179" s="121">
        <v>4</v>
      </c>
      <c r="C179" s="121">
        <v>2.5</v>
      </c>
      <c r="D179" s="121" t="str">
        <f t="shared" si="63"/>
        <v>4x2,5</v>
      </c>
      <c r="E179" s="121">
        <v>10.4</v>
      </c>
      <c r="F179" s="121" t="s">
        <v>197</v>
      </c>
      <c r="G179" s="5" t="str">
        <f t="shared" si="81"/>
        <v>PG13</v>
      </c>
      <c r="H179" s="5">
        <f t="shared" si="73"/>
        <v>0</v>
      </c>
      <c r="I179" s="126" t="str">
        <f t="shared" si="74"/>
        <v>КМПВнг-LS 4x2,5</v>
      </c>
      <c r="J179" s="5" t="str">
        <f t="shared" si="82"/>
        <v>PG13</v>
      </c>
      <c r="K179" s="22"/>
    </row>
    <row r="180" spans="1:11" x14ac:dyDescent="0.2">
      <c r="A180" s="121" t="s">
        <v>205</v>
      </c>
      <c r="B180" s="121">
        <v>4</v>
      </c>
      <c r="C180" s="121">
        <v>2.5</v>
      </c>
      <c r="D180" s="121" t="str">
        <f t="shared" si="63"/>
        <v>4x2,5</v>
      </c>
      <c r="E180" s="121">
        <v>11.1</v>
      </c>
      <c r="F180" s="121" t="s">
        <v>195</v>
      </c>
      <c r="G180" s="5" t="str">
        <f t="shared" si="81"/>
        <v>PG16</v>
      </c>
      <c r="H180" s="5">
        <f t="shared" si="73"/>
        <v>0</v>
      </c>
      <c r="I180" s="126" t="str">
        <f t="shared" si="74"/>
        <v>КВВГнг-LS 4x2,5</v>
      </c>
      <c r="J180" s="5" t="str">
        <f t="shared" si="82"/>
        <v>PG16</v>
      </c>
      <c r="K180" s="22"/>
    </row>
    <row r="181" spans="1:11" x14ac:dyDescent="0.2">
      <c r="A181" s="121" t="s">
        <v>207</v>
      </c>
      <c r="B181" s="121">
        <v>4</v>
      </c>
      <c r="C181" s="121">
        <v>2.5</v>
      </c>
      <c r="D181" s="121" t="str">
        <f t="shared" si="63"/>
        <v>4x2,5</v>
      </c>
      <c r="E181" s="121">
        <v>12.5</v>
      </c>
      <c r="F181" s="121" t="s">
        <v>195</v>
      </c>
      <c r="G181" s="5" t="str">
        <f t="shared" si="81"/>
        <v>PG16</v>
      </c>
      <c r="H181" s="5">
        <f t="shared" si="73"/>
        <v>0</v>
      </c>
      <c r="I181" s="126" t="str">
        <f t="shared" si="74"/>
        <v>КВВГЭнг-LS 4x2,5</v>
      </c>
      <c r="J181" s="5" t="str">
        <f t="shared" si="82"/>
        <v>PG16</v>
      </c>
      <c r="K181" s="22"/>
    </row>
    <row r="182" spans="1:11" x14ac:dyDescent="0.2">
      <c r="A182" s="121" t="s">
        <v>159</v>
      </c>
      <c r="B182" s="121">
        <v>4</v>
      </c>
      <c r="C182" s="121">
        <v>2.5</v>
      </c>
      <c r="D182" s="121" t="str">
        <f t="shared" si="63"/>
        <v>4x2,5</v>
      </c>
      <c r="E182" s="121">
        <v>12.6</v>
      </c>
      <c r="F182" s="121" t="s">
        <v>195</v>
      </c>
      <c r="G182" s="5" t="str">
        <f t="shared" si="81"/>
        <v>PG16</v>
      </c>
      <c r="H182" s="5">
        <f t="shared" si="73"/>
        <v>0</v>
      </c>
      <c r="I182" s="126" t="str">
        <f t="shared" si="74"/>
        <v>ВВГнг-LS 4x2,5</v>
      </c>
      <c r="J182" s="5" t="str">
        <f t="shared" si="82"/>
        <v>PG16</v>
      </c>
      <c r="K182" s="22"/>
    </row>
    <row r="183" spans="1:11" x14ac:dyDescent="0.2">
      <c r="A183" s="121" t="s">
        <v>204</v>
      </c>
      <c r="B183" s="121">
        <v>4</v>
      </c>
      <c r="C183" s="121">
        <v>2.5</v>
      </c>
      <c r="D183" s="121" t="str">
        <f t="shared" si="63"/>
        <v>4x2,5</v>
      </c>
      <c r="E183" s="121">
        <v>13.1</v>
      </c>
      <c r="F183" s="121" t="s">
        <v>194</v>
      </c>
      <c r="G183" s="5" t="str">
        <f t="shared" si="81"/>
        <v>PG21</v>
      </c>
      <c r="H183" s="5">
        <f t="shared" si="73"/>
        <v>0</v>
      </c>
      <c r="I183" s="126" t="str">
        <f t="shared" si="74"/>
        <v>КВВГнг-FRLS 4x2,5</v>
      </c>
      <c r="J183" s="5" t="str">
        <f t="shared" si="82"/>
        <v>PG21</v>
      </c>
      <c r="K183" s="22"/>
    </row>
    <row r="184" spans="1:11" x14ac:dyDescent="0.2">
      <c r="A184" s="121" t="s">
        <v>200</v>
      </c>
      <c r="B184" s="121">
        <v>4</v>
      </c>
      <c r="C184" s="121">
        <v>2.5</v>
      </c>
      <c r="D184" s="121" t="str">
        <f t="shared" si="63"/>
        <v>4x2,5</v>
      </c>
      <c r="E184" s="121">
        <v>15.1</v>
      </c>
      <c r="F184" s="121" t="s">
        <v>194</v>
      </c>
      <c r="G184" s="5" t="str">
        <f t="shared" si="81"/>
        <v>PG21</v>
      </c>
      <c r="H184" s="5">
        <f t="shared" si="73"/>
        <v>0</v>
      </c>
      <c r="I184" s="126" t="str">
        <f t="shared" si="74"/>
        <v>ВБбШвнг 4x2,5</v>
      </c>
      <c r="J184" s="5" t="str">
        <f t="shared" si="82"/>
        <v>PG21</v>
      </c>
      <c r="K184" s="22"/>
    </row>
    <row r="185" spans="1:11" x14ac:dyDescent="0.2">
      <c r="A185" s="121" t="s">
        <v>211</v>
      </c>
      <c r="B185" s="121">
        <v>4</v>
      </c>
      <c r="C185" s="121">
        <v>2.5</v>
      </c>
      <c r="D185" s="121" t="str">
        <f t="shared" si="63"/>
        <v>4x2,5</v>
      </c>
      <c r="E185" s="121">
        <v>16.3</v>
      </c>
      <c r="F185" s="121" t="s">
        <v>194</v>
      </c>
      <c r="G185" s="5" t="str">
        <f t="shared" si="81"/>
        <v>PG21</v>
      </c>
      <c r="H185" s="5">
        <f t="shared" si="73"/>
        <v>0</v>
      </c>
      <c r="I185" s="126" t="str">
        <f t="shared" si="74"/>
        <v>КНР 4x2,5</v>
      </c>
      <c r="J185" s="5" t="str">
        <f t="shared" si="82"/>
        <v>PG21</v>
      </c>
      <c r="K185" s="22"/>
    </row>
    <row r="186" spans="1:11" x14ac:dyDescent="0.2">
      <c r="A186" s="121" t="s">
        <v>201</v>
      </c>
      <c r="B186" s="121">
        <v>4</v>
      </c>
      <c r="C186" s="121">
        <v>2.5</v>
      </c>
      <c r="D186" s="121" t="str">
        <f t="shared" si="63"/>
        <v>4x2,5</v>
      </c>
      <c r="E186" s="121">
        <v>16.8</v>
      </c>
      <c r="F186" s="121" t="s">
        <v>194</v>
      </c>
      <c r="G186" s="5" t="str">
        <f t="shared" si="81"/>
        <v>PG21</v>
      </c>
      <c r="H186" s="5">
        <f t="shared" si="73"/>
        <v>0</v>
      </c>
      <c r="I186" s="126" t="str">
        <f t="shared" si="74"/>
        <v>ВВГнг-FRLS 4x2,5</v>
      </c>
      <c r="J186" s="5" t="str">
        <f t="shared" si="82"/>
        <v>PG21</v>
      </c>
      <c r="K186" s="22"/>
    </row>
    <row r="187" spans="1:11" x14ac:dyDescent="0.2">
      <c r="A187" s="121" t="s">
        <v>908</v>
      </c>
      <c r="B187" s="121">
        <v>4</v>
      </c>
      <c r="C187" s="121">
        <v>2.5</v>
      </c>
      <c r="D187" s="121" t="str">
        <f t="shared" si="63"/>
        <v>4x2,5</v>
      </c>
      <c r="E187" s="121">
        <v>17</v>
      </c>
      <c r="F187" s="121" t="s">
        <v>194</v>
      </c>
      <c r="G187" s="5" t="str">
        <f t="shared" si="81"/>
        <v>PG21</v>
      </c>
      <c r="H187" s="5">
        <f t="shared" si="73"/>
        <v>0</v>
      </c>
      <c r="I187" s="126" t="str">
        <f t="shared" si="74"/>
        <v>ПвПнг(А)-FRHF 4x2,5</v>
      </c>
      <c r="J187" s="5" t="str">
        <f t="shared" si="82"/>
        <v>PG21</v>
      </c>
      <c r="K187" s="22"/>
    </row>
    <row r="188" spans="1:11" x14ac:dyDescent="0.2">
      <c r="A188" s="121" t="s">
        <v>30</v>
      </c>
      <c r="B188" s="121">
        <v>4</v>
      </c>
      <c r="C188" s="121">
        <v>4</v>
      </c>
      <c r="D188" s="121" t="str">
        <f t="shared" si="63"/>
        <v>4x4</v>
      </c>
      <c r="E188" s="121">
        <v>0</v>
      </c>
      <c r="F188" s="296" t="str">
        <f>F189</f>
        <v>18153414  САЛЬНИК PG16, ДИАМЕТР ПРОВОДНИКА 9...13 ММ ТУ 3449-110-18461115-03</v>
      </c>
      <c r="G188" s="1087" t="str">
        <f>G189</f>
        <v>PG16</v>
      </c>
      <c r="H188" s="1087">
        <f t="shared" si="73"/>
        <v>0</v>
      </c>
      <c r="I188" s="543" t="str">
        <f t="shared" si="74"/>
        <v>- 4x4</v>
      </c>
      <c r="J188" s="1087" t="str">
        <f t="shared" ref="J188" si="83">J189</f>
        <v>PG16</v>
      </c>
      <c r="K188" s="22"/>
    </row>
    <row r="189" spans="1:11" x14ac:dyDescent="0.2">
      <c r="A189" s="121" t="s">
        <v>896</v>
      </c>
      <c r="B189" s="121">
        <v>4</v>
      </c>
      <c r="C189" s="121">
        <v>4</v>
      </c>
      <c r="D189" s="121" t="str">
        <f t="shared" si="63"/>
        <v>4x4</v>
      </c>
      <c r="E189" s="121">
        <v>11.8</v>
      </c>
      <c r="F189" s="121" t="s">
        <v>195</v>
      </c>
      <c r="G189" s="5" t="str">
        <f t="shared" ref="G189:G201" si="84">IF(
 ISNUMBER(MATCH("*PG13*",F189,0)),
 "PG13",
 IF(
  ISNUMBER(MATCH("*PG16*",F189,0)),
  "PG16",
  IF(
   ISNUMBER(MATCH("*PG21*",F189,0)),
   "PG21",
   IF(
    ISNUMBER(MATCH("*PG29*",F189,0)),
    "PG29",
    IF(
     ISNUMBER(MATCH("*PG36*",F189,0)),
     "PG36",
     0
    )
   )
  )
 )
)</f>
        <v>PG16</v>
      </c>
      <c r="H189" s="5">
        <f t="shared" si="73"/>
        <v>0</v>
      </c>
      <c r="I189" s="126" t="str">
        <f t="shared" si="74"/>
        <v>АВВГНг 4x4</v>
      </c>
      <c r="J189" s="5" t="str">
        <f t="shared" ref="J189:J201" si="85">IF(G189=0,H189,G189)</f>
        <v>PG16</v>
      </c>
      <c r="K189" s="22"/>
    </row>
    <row r="190" spans="1:11" x14ac:dyDescent="0.2">
      <c r="A190" s="121" t="s">
        <v>196</v>
      </c>
      <c r="B190" s="121">
        <v>4</v>
      </c>
      <c r="C190" s="121">
        <v>4</v>
      </c>
      <c r="D190" s="121" t="str">
        <f t="shared" si="63"/>
        <v>4x4</v>
      </c>
      <c r="E190" s="121">
        <v>11.8</v>
      </c>
      <c r="F190" s="121" t="s">
        <v>195</v>
      </c>
      <c r="G190" s="5" t="str">
        <f t="shared" si="84"/>
        <v>PG16</v>
      </c>
      <c r="H190" s="5">
        <f t="shared" ref="H190:H221" si="86">IF(
 ISNUMBER(MATCH("*PG42*",F190,0)),
 "PG42",
 IF(
  ISNUMBER(MATCH("*PG48*",F190,0)),
  "PG48",
  IF(
   ISNUMBER(MATCH("*MG63*",F190,0)),
   "MG63",
   IF(
    ISNUMBER(MATCH("*У479*",F190,0)),
    "У479",
    IF(
     ISNUMBER(MATCH("*У480*",F190,0)),
     "У480",
     0
    )
   )
  )
 )
)</f>
        <v>0</v>
      </c>
      <c r="I190" s="126" t="str">
        <f t="shared" ref="I190:I221" si="87">A190&amp;" "&amp;D190</f>
        <v>АВВГнг-LS 4x4</v>
      </c>
      <c r="J190" s="5" t="str">
        <f t="shared" si="85"/>
        <v>PG16</v>
      </c>
      <c r="K190" s="22"/>
    </row>
    <row r="191" spans="1:11" x14ac:dyDescent="0.2">
      <c r="A191" s="121" t="s">
        <v>898</v>
      </c>
      <c r="B191" s="121">
        <v>4</v>
      </c>
      <c r="C191" s="121">
        <v>4</v>
      </c>
      <c r="D191" s="121" t="str">
        <f t="shared" si="63"/>
        <v>4x4</v>
      </c>
      <c r="E191" s="121">
        <v>11.8</v>
      </c>
      <c r="F191" s="121" t="s">
        <v>195</v>
      </c>
      <c r="G191" s="5" t="str">
        <f t="shared" si="84"/>
        <v>PG16</v>
      </c>
      <c r="H191" s="5">
        <f t="shared" si="86"/>
        <v>0</v>
      </c>
      <c r="I191" s="126" t="str">
        <f t="shared" si="87"/>
        <v>ВВГНг 4x4</v>
      </c>
      <c r="J191" s="5" t="str">
        <f t="shared" si="85"/>
        <v>PG16</v>
      </c>
      <c r="K191" s="22"/>
    </row>
    <row r="192" spans="1:11" x14ac:dyDescent="0.2">
      <c r="A192" s="121" t="s">
        <v>159</v>
      </c>
      <c r="B192" s="121">
        <v>4</v>
      </c>
      <c r="C192" s="121">
        <v>4</v>
      </c>
      <c r="D192" s="121" t="str">
        <f t="shared" si="63"/>
        <v>4x4</v>
      </c>
      <c r="E192" s="121">
        <v>13.2</v>
      </c>
      <c r="F192" s="121" t="s">
        <v>194</v>
      </c>
      <c r="G192" s="5" t="str">
        <f t="shared" si="84"/>
        <v>PG21</v>
      </c>
      <c r="H192" s="5">
        <f t="shared" si="86"/>
        <v>0</v>
      </c>
      <c r="I192" s="126" t="str">
        <f t="shared" si="87"/>
        <v>ВВГнг-LS 4x4</v>
      </c>
      <c r="J192" s="5" t="str">
        <f t="shared" si="85"/>
        <v>PG21</v>
      </c>
      <c r="K192" s="22"/>
    </row>
    <row r="193" spans="1:11" x14ac:dyDescent="0.2">
      <c r="A193" s="121" t="s">
        <v>204</v>
      </c>
      <c r="B193" s="121">
        <v>4</v>
      </c>
      <c r="C193" s="121">
        <v>4</v>
      </c>
      <c r="D193" s="121" t="str">
        <f t="shared" si="63"/>
        <v>4x4</v>
      </c>
      <c r="E193" s="121">
        <v>13.8</v>
      </c>
      <c r="F193" s="121" t="s">
        <v>194</v>
      </c>
      <c r="G193" s="5" t="str">
        <f t="shared" si="84"/>
        <v>PG21</v>
      </c>
      <c r="H193" s="5">
        <f t="shared" si="86"/>
        <v>0</v>
      </c>
      <c r="I193" s="126" t="str">
        <f t="shared" si="87"/>
        <v>КВВГнг-FRLS 4x4</v>
      </c>
      <c r="J193" s="5" t="str">
        <f t="shared" si="85"/>
        <v>PG21</v>
      </c>
      <c r="K193" s="22"/>
    </row>
    <row r="194" spans="1:11" x14ac:dyDescent="0.2">
      <c r="A194" s="121" t="s">
        <v>205</v>
      </c>
      <c r="B194" s="121">
        <v>4</v>
      </c>
      <c r="C194" s="121">
        <v>4</v>
      </c>
      <c r="D194" s="121" t="str">
        <f t="shared" si="63"/>
        <v>4x4</v>
      </c>
      <c r="E194" s="121">
        <v>13.8</v>
      </c>
      <c r="F194" s="121" t="s">
        <v>194</v>
      </c>
      <c r="G194" s="5" t="str">
        <f t="shared" si="84"/>
        <v>PG21</v>
      </c>
      <c r="H194" s="5">
        <f t="shared" si="86"/>
        <v>0</v>
      </c>
      <c r="I194" s="126" t="str">
        <f t="shared" si="87"/>
        <v>КВВГнг-LS 4x4</v>
      </c>
      <c r="J194" s="5" t="str">
        <f t="shared" si="85"/>
        <v>PG21</v>
      </c>
      <c r="K194" s="22"/>
    </row>
    <row r="195" spans="1:11" x14ac:dyDescent="0.2">
      <c r="A195" s="121" t="s">
        <v>207</v>
      </c>
      <c r="B195" s="121">
        <v>4</v>
      </c>
      <c r="C195" s="121">
        <v>4</v>
      </c>
      <c r="D195" s="121" t="str">
        <f t="shared" ref="D195:D258" si="88">B195&amp;"x"&amp;C195</f>
        <v>4x4</v>
      </c>
      <c r="E195" s="121">
        <v>14</v>
      </c>
      <c r="F195" s="121" t="s">
        <v>194</v>
      </c>
      <c r="G195" s="5" t="str">
        <f t="shared" si="84"/>
        <v>PG21</v>
      </c>
      <c r="H195" s="5">
        <f t="shared" si="86"/>
        <v>0</v>
      </c>
      <c r="I195" s="126" t="str">
        <f t="shared" si="87"/>
        <v>КВВГЭнг-LS 4x4</v>
      </c>
      <c r="J195" s="5" t="str">
        <f t="shared" si="85"/>
        <v>PG21</v>
      </c>
      <c r="K195" s="22"/>
    </row>
    <row r="196" spans="1:11" x14ac:dyDescent="0.2">
      <c r="A196" s="121" t="s">
        <v>896</v>
      </c>
      <c r="B196" s="121">
        <v>4</v>
      </c>
      <c r="C196" s="121">
        <v>4</v>
      </c>
      <c r="D196" s="121" t="str">
        <f t="shared" si="88"/>
        <v>4x4</v>
      </c>
      <c r="E196" s="121">
        <v>14.5</v>
      </c>
      <c r="F196" s="121" t="s">
        <v>194</v>
      </c>
      <c r="G196" s="5" t="str">
        <f t="shared" si="84"/>
        <v>PG21</v>
      </c>
      <c r="H196" s="5">
        <f t="shared" si="86"/>
        <v>0</v>
      </c>
      <c r="I196" s="126" t="str">
        <f t="shared" si="87"/>
        <v>АВВГНг 4x4</v>
      </c>
      <c r="J196" s="5" t="str">
        <f t="shared" si="85"/>
        <v>PG21</v>
      </c>
      <c r="K196" s="22"/>
    </row>
    <row r="197" spans="1:11" x14ac:dyDescent="0.2">
      <c r="A197" s="121" t="s">
        <v>902</v>
      </c>
      <c r="B197" s="121">
        <v>4</v>
      </c>
      <c r="C197" s="121">
        <v>4</v>
      </c>
      <c r="D197" s="121" t="str">
        <f t="shared" si="88"/>
        <v>4x4</v>
      </c>
      <c r="E197" s="121">
        <v>15.4</v>
      </c>
      <c r="F197" s="121" t="s">
        <v>194</v>
      </c>
      <c r="G197" s="5" t="str">
        <f t="shared" si="84"/>
        <v>PG21</v>
      </c>
      <c r="H197" s="5">
        <f t="shared" si="86"/>
        <v>0</v>
      </c>
      <c r="I197" s="126" t="str">
        <f t="shared" si="87"/>
        <v>КГРУнг(А)-HF 4x4</v>
      </c>
      <c r="J197" s="5" t="str">
        <f t="shared" si="85"/>
        <v>PG21</v>
      </c>
      <c r="K197" s="22"/>
    </row>
    <row r="198" spans="1:11" x14ac:dyDescent="0.2">
      <c r="A198" s="121" t="s">
        <v>213</v>
      </c>
      <c r="B198" s="121">
        <v>4</v>
      </c>
      <c r="C198" s="121">
        <v>4</v>
      </c>
      <c r="D198" s="121" t="str">
        <f t="shared" si="88"/>
        <v>4x4</v>
      </c>
      <c r="E198" s="121">
        <v>15.6</v>
      </c>
      <c r="F198" s="121" t="s">
        <v>194</v>
      </c>
      <c r="G198" s="5" t="str">
        <f t="shared" si="84"/>
        <v>PG21</v>
      </c>
      <c r="H198" s="5">
        <f t="shared" si="86"/>
        <v>0</v>
      </c>
      <c r="I198" s="126" t="str">
        <f t="shared" si="87"/>
        <v>ППГнг-НF 4x4</v>
      </c>
      <c r="J198" s="5" t="str">
        <f t="shared" si="85"/>
        <v>PG21</v>
      </c>
      <c r="K198" s="22"/>
    </row>
    <row r="199" spans="1:11" x14ac:dyDescent="0.2">
      <c r="A199" s="121" t="s">
        <v>908</v>
      </c>
      <c r="B199" s="121">
        <v>4</v>
      </c>
      <c r="C199" s="121">
        <v>4</v>
      </c>
      <c r="D199" s="121" t="str">
        <f t="shared" si="88"/>
        <v>4x4</v>
      </c>
      <c r="E199" s="121">
        <v>18.100000000000001</v>
      </c>
      <c r="F199" s="121" t="s">
        <v>193</v>
      </c>
      <c r="G199" s="5" t="str">
        <f t="shared" si="84"/>
        <v>PG29</v>
      </c>
      <c r="H199" s="5">
        <f t="shared" si="86"/>
        <v>0</v>
      </c>
      <c r="I199" s="126" t="str">
        <f t="shared" si="87"/>
        <v>ПвПнг(А)-FRHF 4x4</v>
      </c>
      <c r="J199" s="5" t="str">
        <f t="shared" si="85"/>
        <v>PG29</v>
      </c>
      <c r="K199" s="22"/>
    </row>
    <row r="200" spans="1:11" x14ac:dyDescent="0.2">
      <c r="A200" s="121" t="s">
        <v>209</v>
      </c>
      <c r="B200" s="121">
        <v>4</v>
      </c>
      <c r="C200" s="121">
        <v>4</v>
      </c>
      <c r="D200" s="121" t="str">
        <f t="shared" si="88"/>
        <v>4x4</v>
      </c>
      <c r="E200" s="121">
        <v>18.5</v>
      </c>
      <c r="F200" s="121" t="s">
        <v>193</v>
      </c>
      <c r="G200" s="5" t="str">
        <f t="shared" si="84"/>
        <v>PG29</v>
      </c>
      <c r="H200" s="5">
        <f t="shared" si="86"/>
        <v>0</v>
      </c>
      <c r="I200" s="126" t="str">
        <f t="shared" si="87"/>
        <v>КГН 4x4</v>
      </c>
      <c r="J200" s="5" t="str">
        <f t="shared" si="85"/>
        <v>PG29</v>
      </c>
      <c r="K200" s="22"/>
    </row>
    <row r="201" spans="1:11" x14ac:dyDescent="0.2">
      <c r="A201" s="121" t="s">
        <v>201</v>
      </c>
      <c r="B201" s="121">
        <v>4</v>
      </c>
      <c r="C201" s="121">
        <v>4</v>
      </c>
      <c r="D201" s="121" t="str">
        <f t="shared" si="88"/>
        <v>4x4</v>
      </c>
      <c r="E201" s="121">
        <v>18.899999999999999</v>
      </c>
      <c r="F201" s="121" t="s">
        <v>193</v>
      </c>
      <c r="G201" s="5" t="str">
        <f t="shared" si="84"/>
        <v>PG29</v>
      </c>
      <c r="H201" s="5">
        <f t="shared" si="86"/>
        <v>0</v>
      </c>
      <c r="I201" s="126" t="str">
        <f t="shared" si="87"/>
        <v>ВВГнг-FRLS 4x4</v>
      </c>
      <c r="J201" s="5" t="str">
        <f t="shared" si="85"/>
        <v>PG29</v>
      </c>
      <c r="K201" s="22"/>
    </row>
    <row r="202" spans="1:11" x14ac:dyDescent="0.2">
      <c r="A202" s="121" t="s">
        <v>30</v>
      </c>
      <c r="B202" s="121">
        <v>4</v>
      </c>
      <c r="C202" s="121">
        <v>6</v>
      </c>
      <c r="D202" s="121" t="str">
        <f t="shared" si="88"/>
        <v>4x6</v>
      </c>
      <c r="E202" s="121">
        <v>0</v>
      </c>
      <c r="F202" s="296" t="str">
        <f>F203</f>
        <v>18153414  САЛЬНИК PG16, ДИАМЕТР ПРОВОДНИКА 9...13 ММ ТУ 3449-110-18461115-03</v>
      </c>
      <c r="G202" s="1087" t="str">
        <f>G203</f>
        <v>PG16</v>
      </c>
      <c r="H202" s="1087">
        <f t="shared" si="86"/>
        <v>0</v>
      </c>
      <c r="I202" s="543" t="str">
        <f t="shared" si="87"/>
        <v>- 4x6</v>
      </c>
      <c r="J202" s="1087" t="str">
        <f t="shared" ref="J202" si="89">J203</f>
        <v>PG16</v>
      </c>
      <c r="K202" s="22"/>
    </row>
    <row r="203" spans="1:11" x14ac:dyDescent="0.2">
      <c r="A203" s="121" t="s">
        <v>898</v>
      </c>
      <c r="B203" s="121">
        <v>4</v>
      </c>
      <c r="C203" s="121">
        <v>6</v>
      </c>
      <c r="D203" s="121" t="str">
        <f t="shared" si="88"/>
        <v>4x6</v>
      </c>
      <c r="E203" s="121">
        <v>11.13</v>
      </c>
      <c r="F203" s="121" t="s">
        <v>195</v>
      </c>
      <c r="G203" s="5" t="str">
        <f t="shared" ref="G203:G215" si="90">IF(
 ISNUMBER(MATCH("*PG13*",F203,0)),
 "PG13",
 IF(
  ISNUMBER(MATCH("*PG16*",F203,0)),
  "PG16",
  IF(
   ISNUMBER(MATCH("*PG21*",F203,0)),
   "PG21",
   IF(
    ISNUMBER(MATCH("*PG29*",F203,0)),
    "PG29",
    IF(
     ISNUMBER(MATCH("*PG36*",F203,0)),
     "PG36",
     0
    )
   )
  )
 )
)</f>
        <v>PG16</v>
      </c>
      <c r="H203" s="5">
        <f t="shared" si="86"/>
        <v>0</v>
      </c>
      <c r="I203" s="126" t="str">
        <f t="shared" si="87"/>
        <v>ВВГНг 4x6</v>
      </c>
      <c r="J203" s="5" t="str">
        <f t="shared" ref="J203:J215" si="91">IF(G203=0,H203,G203)</f>
        <v>PG16</v>
      </c>
      <c r="K203" s="22"/>
    </row>
    <row r="204" spans="1:11" x14ac:dyDescent="0.2">
      <c r="A204" s="121" t="s">
        <v>896</v>
      </c>
      <c r="B204" s="121">
        <v>4</v>
      </c>
      <c r="C204" s="121">
        <v>6</v>
      </c>
      <c r="D204" s="121" t="str">
        <f t="shared" si="88"/>
        <v>4x6</v>
      </c>
      <c r="E204" s="121">
        <v>13</v>
      </c>
      <c r="F204" s="121" t="s">
        <v>195</v>
      </c>
      <c r="G204" s="5" t="str">
        <f t="shared" si="90"/>
        <v>PG16</v>
      </c>
      <c r="H204" s="5">
        <f t="shared" si="86"/>
        <v>0</v>
      </c>
      <c r="I204" s="126" t="str">
        <f t="shared" si="87"/>
        <v>АВВГНг 4x6</v>
      </c>
      <c r="J204" s="5" t="str">
        <f t="shared" si="91"/>
        <v>PG16</v>
      </c>
      <c r="K204" s="22"/>
    </row>
    <row r="205" spans="1:11" x14ac:dyDescent="0.2">
      <c r="A205" s="121" t="s">
        <v>205</v>
      </c>
      <c r="B205" s="121">
        <v>4</v>
      </c>
      <c r="C205" s="121">
        <v>6</v>
      </c>
      <c r="D205" s="121" t="str">
        <f t="shared" si="88"/>
        <v>4x6</v>
      </c>
      <c r="E205" s="121">
        <v>13.1</v>
      </c>
      <c r="F205" s="121" t="s">
        <v>194</v>
      </c>
      <c r="G205" s="5" t="str">
        <f t="shared" si="90"/>
        <v>PG21</v>
      </c>
      <c r="H205" s="5">
        <f t="shared" si="86"/>
        <v>0</v>
      </c>
      <c r="I205" s="126" t="str">
        <f t="shared" si="87"/>
        <v>КВВГнг-LS 4x6</v>
      </c>
      <c r="J205" s="5" t="str">
        <f t="shared" si="91"/>
        <v>PG21</v>
      </c>
      <c r="K205" s="22"/>
    </row>
    <row r="206" spans="1:11" x14ac:dyDescent="0.2">
      <c r="A206" s="121" t="s">
        <v>196</v>
      </c>
      <c r="B206" s="121">
        <v>4</v>
      </c>
      <c r="C206" s="121">
        <v>6</v>
      </c>
      <c r="D206" s="121" t="str">
        <f t="shared" si="88"/>
        <v>4x6</v>
      </c>
      <c r="E206" s="121">
        <v>14</v>
      </c>
      <c r="F206" s="121" t="s">
        <v>194</v>
      </c>
      <c r="G206" s="5" t="str">
        <f t="shared" si="90"/>
        <v>PG21</v>
      </c>
      <c r="H206" s="5">
        <f t="shared" si="86"/>
        <v>0</v>
      </c>
      <c r="I206" s="126" t="str">
        <f t="shared" si="87"/>
        <v>АВВГнг-LS 4x6</v>
      </c>
      <c r="J206" s="5" t="str">
        <f t="shared" si="91"/>
        <v>PG21</v>
      </c>
      <c r="K206" s="22"/>
    </row>
    <row r="207" spans="1:11" x14ac:dyDescent="0.2">
      <c r="A207" s="121" t="s">
        <v>205</v>
      </c>
      <c r="B207" s="121">
        <v>4</v>
      </c>
      <c r="C207" s="121">
        <v>6</v>
      </c>
      <c r="D207" s="121" t="str">
        <f t="shared" si="88"/>
        <v>4x6</v>
      </c>
      <c r="E207" s="121">
        <v>14.83</v>
      </c>
      <c r="F207" s="121" t="s">
        <v>194</v>
      </c>
      <c r="G207" s="5" t="str">
        <f t="shared" si="90"/>
        <v>PG21</v>
      </c>
      <c r="H207" s="5">
        <f t="shared" si="86"/>
        <v>0</v>
      </c>
      <c r="I207" s="126" t="str">
        <f t="shared" si="87"/>
        <v>КВВГнг-LS 4x6</v>
      </c>
      <c r="J207" s="5" t="str">
        <f t="shared" si="91"/>
        <v>PG21</v>
      </c>
      <c r="K207" s="22"/>
    </row>
    <row r="208" spans="1:11" x14ac:dyDescent="0.2">
      <c r="A208" s="121" t="s">
        <v>204</v>
      </c>
      <c r="B208" s="121">
        <v>4</v>
      </c>
      <c r="C208" s="121">
        <v>6</v>
      </c>
      <c r="D208" s="121" t="str">
        <f t="shared" si="88"/>
        <v>4x6</v>
      </c>
      <c r="E208" s="121">
        <v>15</v>
      </c>
      <c r="F208" s="121" t="s">
        <v>194</v>
      </c>
      <c r="G208" s="5" t="str">
        <f t="shared" si="90"/>
        <v>PG21</v>
      </c>
      <c r="H208" s="5">
        <f t="shared" si="86"/>
        <v>0</v>
      </c>
      <c r="I208" s="126" t="str">
        <f t="shared" si="87"/>
        <v>КВВГнг-FRLS 4x6</v>
      </c>
      <c r="J208" s="5" t="str">
        <f t="shared" si="91"/>
        <v>PG21</v>
      </c>
      <c r="K208" s="22"/>
    </row>
    <row r="209" spans="1:11" x14ac:dyDescent="0.2">
      <c r="A209" s="121" t="s">
        <v>159</v>
      </c>
      <c r="B209" s="121">
        <v>4</v>
      </c>
      <c r="C209" s="121">
        <v>6</v>
      </c>
      <c r="D209" s="121" t="str">
        <f t="shared" si="88"/>
        <v>4x6</v>
      </c>
      <c r="E209" s="121">
        <v>15.4</v>
      </c>
      <c r="F209" s="121" t="s">
        <v>194</v>
      </c>
      <c r="G209" s="5" t="str">
        <f t="shared" si="90"/>
        <v>PG21</v>
      </c>
      <c r="H209" s="5">
        <f t="shared" si="86"/>
        <v>0</v>
      </c>
      <c r="I209" s="126" t="str">
        <f t="shared" si="87"/>
        <v>ВВГнг-LS 4x6</v>
      </c>
      <c r="J209" s="5" t="str">
        <f t="shared" si="91"/>
        <v>PG21</v>
      </c>
      <c r="K209" s="22"/>
    </row>
    <row r="210" spans="1:11" x14ac:dyDescent="0.2">
      <c r="A210" s="121" t="s">
        <v>896</v>
      </c>
      <c r="B210" s="121">
        <v>4</v>
      </c>
      <c r="C210" s="121">
        <v>6</v>
      </c>
      <c r="D210" s="121" t="str">
        <f t="shared" si="88"/>
        <v>4x6</v>
      </c>
      <c r="E210" s="121">
        <v>15.8</v>
      </c>
      <c r="F210" s="121" t="s">
        <v>194</v>
      </c>
      <c r="G210" s="5" t="str">
        <f t="shared" si="90"/>
        <v>PG21</v>
      </c>
      <c r="H210" s="5">
        <f t="shared" si="86"/>
        <v>0</v>
      </c>
      <c r="I210" s="126" t="str">
        <f t="shared" si="87"/>
        <v>АВВГНг 4x6</v>
      </c>
      <c r="J210" s="5" t="str">
        <f t="shared" si="91"/>
        <v>PG21</v>
      </c>
      <c r="K210" s="22"/>
    </row>
    <row r="211" spans="1:11" x14ac:dyDescent="0.2">
      <c r="A211" s="121" t="s">
        <v>909</v>
      </c>
      <c r="B211" s="121">
        <v>4</v>
      </c>
      <c r="C211" s="121">
        <v>6</v>
      </c>
      <c r="D211" s="121" t="str">
        <f t="shared" si="88"/>
        <v>4x6</v>
      </c>
      <c r="E211" s="121">
        <v>16.600000000000001</v>
      </c>
      <c r="F211" s="121" t="s">
        <v>194</v>
      </c>
      <c r="G211" s="5" t="str">
        <f t="shared" si="90"/>
        <v>PG21</v>
      </c>
      <c r="H211" s="5">
        <f t="shared" si="86"/>
        <v>0</v>
      </c>
      <c r="I211" s="126" t="str">
        <f t="shared" si="87"/>
        <v>ПвПнг(А)-HF 4x6</v>
      </c>
      <c r="J211" s="5" t="str">
        <f t="shared" si="91"/>
        <v>PG21</v>
      </c>
      <c r="K211" s="22"/>
    </row>
    <row r="212" spans="1:11" x14ac:dyDescent="0.2">
      <c r="A212" s="121" t="s">
        <v>201</v>
      </c>
      <c r="B212" s="121">
        <v>4</v>
      </c>
      <c r="C212" s="121">
        <v>6</v>
      </c>
      <c r="D212" s="121" t="str">
        <f t="shared" si="88"/>
        <v>4x6</v>
      </c>
      <c r="E212" s="121">
        <v>17.8</v>
      </c>
      <c r="F212" s="121" t="s">
        <v>194</v>
      </c>
      <c r="G212" s="5" t="str">
        <f t="shared" si="90"/>
        <v>PG21</v>
      </c>
      <c r="H212" s="5">
        <f t="shared" si="86"/>
        <v>0</v>
      </c>
      <c r="I212" s="126" t="str">
        <f t="shared" si="87"/>
        <v>ВВГнг-FRLS 4x6</v>
      </c>
      <c r="J212" s="5" t="str">
        <f t="shared" si="91"/>
        <v>PG21</v>
      </c>
      <c r="K212" s="22"/>
    </row>
    <row r="213" spans="1:11" x14ac:dyDescent="0.2">
      <c r="A213" s="121" t="s">
        <v>209</v>
      </c>
      <c r="B213" s="121">
        <v>4</v>
      </c>
      <c r="C213" s="121">
        <v>6</v>
      </c>
      <c r="D213" s="121" t="str">
        <f t="shared" si="88"/>
        <v>4x6</v>
      </c>
      <c r="E213" s="121">
        <v>18.100000000000001</v>
      </c>
      <c r="F213" s="121" t="s">
        <v>193</v>
      </c>
      <c r="G213" s="5" t="str">
        <f t="shared" si="90"/>
        <v>PG29</v>
      </c>
      <c r="H213" s="5">
        <f t="shared" si="86"/>
        <v>0</v>
      </c>
      <c r="I213" s="126" t="str">
        <f t="shared" si="87"/>
        <v>КГН 4x6</v>
      </c>
      <c r="J213" s="5" t="str">
        <f t="shared" si="91"/>
        <v>PG29</v>
      </c>
      <c r="K213" s="22"/>
    </row>
    <row r="214" spans="1:11" x14ac:dyDescent="0.2">
      <c r="A214" s="121" t="s">
        <v>902</v>
      </c>
      <c r="B214" s="121">
        <v>4</v>
      </c>
      <c r="C214" s="121">
        <v>6</v>
      </c>
      <c r="D214" s="121" t="str">
        <f t="shared" si="88"/>
        <v>4x6</v>
      </c>
      <c r="E214" s="121">
        <v>18.100000000000001</v>
      </c>
      <c r="F214" s="121" t="s">
        <v>193</v>
      </c>
      <c r="G214" s="5" t="str">
        <f t="shared" si="90"/>
        <v>PG29</v>
      </c>
      <c r="H214" s="5">
        <f t="shared" si="86"/>
        <v>0</v>
      </c>
      <c r="I214" s="126" t="str">
        <f t="shared" si="87"/>
        <v>КГРУнг(А)-HF 4x6</v>
      </c>
      <c r="J214" s="5" t="str">
        <f t="shared" si="91"/>
        <v>PG29</v>
      </c>
      <c r="K214" s="22"/>
    </row>
    <row r="215" spans="1:11" x14ac:dyDescent="0.2">
      <c r="A215" s="121" t="s">
        <v>200</v>
      </c>
      <c r="B215" s="121">
        <v>4</v>
      </c>
      <c r="C215" s="121">
        <v>6</v>
      </c>
      <c r="D215" s="121" t="str">
        <f t="shared" si="88"/>
        <v>4x6</v>
      </c>
      <c r="E215" s="121">
        <v>18.399999999999999</v>
      </c>
      <c r="F215" s="121" t="s">
        <v>193</v>
      </c>
      <c r="G215" s="5" t="str">
        <f t="shared" si="90"/>
        <v>PG29</v>
      </c>
      <c r="H215" s="5">
        <f t="shared" si="86"/>
        <v>0</v>
      </c>
      <c r="I215" s="126" t="str">
        <f t="shared" si="87"/>
        <v>ВБбШвнг 4x6</v>
      </c>
      <c r="J215" s="5" t="str">
        <f t="shared" si="91"/>
        <v>PG29</v>
      </c>
      <c r="K215" s="22"/>
    </row>
    <row r="216" spans="1:11" x14ac:dyDescent="0.2">
      <c r="A216" s="121" t="s">
        <v>30</v>
      </c>
      <c r="B216" s="121">
        <v>4</v>
      </c>
      <c r="C216" s="121">
        <v>10</v>
      </c>
      <c r="D216" s="121" t="str">
        <f t="shared" si="88"/>
        <v>4x10</v>
      </c>
      <c r="E216" s="121">
        <v>0</v>
      </c>
      <c r="F216" s="296" t="str">
        <f>F217</f>
        <v>18153415  САЛЬНИК PG21, ДИАМЕТР ПРОВОДНИКА 15...18 ММ ТУ 3449-110-18461115-03</v>
      </c>
      <c r="G216" s="1087" t="str">
        <f>G217</f>
        <v>PG21</v>
      </c>
      <c r="H216" s="1087">
        <f t="shared" si="86"/>
        <v>0</v>
      </c>
      <c r="I216" s="543" t="str">
        <f t="shared" si="87"/>
        <v>- 4x10</v>
      </c>
      <c r="J216" s="1087" t="str">
        <f t="shared" ref="J216" si="92">J217</f>
        <v>PG21</v>
      </c>
      <c r="K216" s="22"/>
    </row>
    <row r="217" spans="1:11" x14ac:dyDescent="0.2">
      <c r="A217" s="121" t="s">
        <v>896</v>
      </c>
      <c r="B217" s="121">
        <v>4</v>
      </c>
      <c r="C217" s="121">
        <v>10</v>
      </c>
      <c r="D217" s="121" t="str">
        <f t="shared" si="88"/>
        <v>4x10</v>
      </c>
      <c r="E217" s="121">
        <v>15.8</v>
      </c>
      <c r="F217" s="121" t="s">
        <v>194</v>
      </c>
      <c r="G217" s="5" t="str">
        <f t="shared" ref="G217:G226" si="93">IF(
 ISNUMBER(MATCH("*PG13*",F217,0)),
 "PG13",
 IF(
  ISNUMBER(MATCH("*PG16*",F217,0)),
  "PG16",
  IF(
   ISNUMBER(MATCH("*PG21*",F217,0)),
   "PG21",
   IF(
    ISNUMBER(MATCH("*PG29*",F217,0)),
    "PG29",
    IF(
     ISNUMBER(MATCH("*PG36*",F217,0)),
     "PG36",
     0
    )
   )
  )
 )
)</f>
        <v>PG21</v>
      </c>
      <c r="H217" s="5">
        <f t="shared" si="86"/>
        <v>0</v>
      </c>
      <c r="I217" s="126" t="str">
        <f t="shared" si="87"/>
        <v>АВВГНг 4x10</v>
      </c>
      <c r="J217" s="5" t="str">
        <f t="shared" ref="J217:J226" si="94">IF(G217=0,H217,G217)</f>
        <v>PG21</v>
      </c>
      <c r="K217" s="22"/>
    </row>
    <row r="218" spans="1:11" x14ac:dyDescent="0.2">
      <c r="A218" s="121" t="s">
        <v>196</v>
      </c>
      <c r="B218" s="121">
        <v>4</v>
      </c>
      <c r="C218" s="121">
        <v>10</v>
      </c>
      <c r="D218" s="121" t="str">
        <f t="shared" si="88"/>
        <v>4x10</v>
      </c>
      <c r="E218" s="121">
        <v>15.8</v>
      </c>
      <c r="F218" s="121" t="s">
        <v>194</v>
      </c>
      <c r="G218" s="5" t="str">
        <f t="shared" si="93"/>
        <v>PG21</v>
      </c>
      <c r="H218" s="5">
        <f t="shared" si="86"/>
        <v>0</v>
      </c>
      <c r="I218" s="126" t="str">
        <f t="shared" si="87"/>
        <v>АВВГнг-LS 4x10</v>
      </c>
      <c r="J218" s="5" t="str">
        <f t="shared" si="94"/>
        <v>PG21</v>
      </c>
      <c r="K218" s="22"/>
    </row>
    <row r="219" spans="1:11" x14ac:dyDescent="0.2">
      <c r="A219" s="121" t="s">
        <v>898</v>
      </c>
      <c r="B219" s="121">
        <v>4</v>
      </c>
      <c r="C219" s="121">
        <v>10</v>
      </c>
      <c r="D219" s="121" t="str">
        <f t="shared" si="88"/>
        <v>4x10</v>
      </c>
      <c r="E219" s="121">
        <v>15.9</v>
      </c>
      <c r="F219" s="121" t="s">
        <v>194</v>
      </c>
      <c r="G219" s="5" t="str">
        <f t="shared" si="93"/>
        <v>PG21</v>
      </c>
      <c r="H219" s="5">
        <f t="shared" si="86"/>
        <v>0</v>
      </c>
      <c r="I219" s="126" t="str">
        <f t="shared" si="87"/>
        <v>ВВГНг 4x10</v>
      </c>
      <c r="J219" s="5" t="str">
        <f t="shared" si="94"/>
        <v>PG21</v>
      </c>
      <c r="K219" s="22"/>
    </row>
    <row r="220" spans="1:11" x14ac:dyDescent="0.2">
      <c r="A220" s="121" t="s">
        <v>159</v>
      </c>
      <c r="B220" s="121">
        <v>4</v>
      </c>
      <c r="C220" s="121">
        <v>10</v>
      </c>
      <c r="D220" s="121" t="str">
        <f t="shared" si="88"/>
        <v>4x10</v>
      </c>
      <c r="E220" s="121">
        <v>17.5</v>
      </c>
      <c r="F220" s="121" t="s">
        <v>194</v>
      </c>
      <c r="G220" s="5" t="str">
        <f t="shared" si="93"/>
        <v>PG21</v>
      </c>
      <c r="H220" s="5">
        <f t="shared" si="86"/>
        <v>0</v>
      </c>
      <c r="I220" s="126" t="str">
        <f t="shared" si="87"/>
        <v>ВВГнг-LS 4x10</v>
      </c>
      <c r="J220" s="5" t="str">
        <f t="shared" si="94"/>
        <v>PG21</v>
      </c>
      <c r="K220" s="22"/>
    </row>
    <row r="221" spans="1:11" x14ac:dyDescent="0.2">
      <c r="A221" s="121" t="s">
        <v>201</v>
      </c>
      <c r="B221" s="121">
        <v>4</v>
      </c>
      <c r="C221" s="121">
        <v>10</v>
      </c>
      <c r="D221" s="121" t="str">
        <f t="shared" si="88"/>
        <v>4x10</v>
      </c>
      <c r="E221" s="121">
        <v>19.5</v>
      </c>
      <c r="F221" s="121" t="s">
        <v>193</v>
      </c>
      <c r="G221" s="5" t="str">
        <f t="shared" si="93"/>
        <v>PG29</v>
      </c>
      <c r="H221" s="5">
        <f t="shared" si="86"/>
        <v>0</v>
      </c>
      <c r="I221" s="126" t="str">
        <f t="shared" si="87"/>
        <v>ВВГнг-FRLS 4x10</v>
      </c>
      <c r="J221" s="5" t="str">
        <f t="shared" si="94"/>
        <v>PG29</v>
      </c>
      <c r="K221" s="22"/>
    </row>
    <row r="222" spans="1:11" x14ac:dyDescent="0.2">
      <c r="A222" s="121" t="s">
        <v>896</v>
      </c>
      <c r="B222" s="121">
        <v>4</v>
      </c>
      <c r="C222" s="121">
        <v>10</v>
      </c>
      <c r="D222" s="121" t="str">
        <f t="shared" si="88"/>
        <v>4x10</v>
      </c>
      <c r="E222" s="121">
        <v>19.600000000000001</v>
      </c>
      <c r="F222" s="121" t="s">
        <v>193</v>
      </c>
      <c r="G222" s="5" t="str">
        <f t="shared" si="93"/>
        <v>PG29</v>
      </c>
      <c r="H222" s="5">
        <f t="shared" ref="H222:H253" si="95">IF(
 ISNUMBER(MATCH("*PG42*",F222,0)),
 "PG42",
 IF(
  ISNUMBER(MATCH("*PG48*",F222,0)),
  "PG48",
  IF(
   ISNUMBER(MATCH("*MG63*",F222,0)),
   "MG63",
   IF(
    ISNUMBER(MATCH("*У479*",F222,0)),
    "У479",
    IF(
     ISNUMBER(MATCH("*У480*",F222,0)),
     "У480",
     0
    )
   )
  )
 )
)</f>
        <v>0</v>
      </c>
      <c r="I222" s="126" t="str">
        <f t="shared" ref="I222:I253" si="96">A222&amp;" "&amp;D222</f>
        <v>АВВГНг 4x10</v>
      </c>
      <c r="J222" s="5" t="str">
        <f t="shared" si="94"/>
        <v>PG29</v>
      </c>
      <c r="K222" s="22"/>
    </row>
    <row r="223" spans="1:11" x14ac:dyDescent="0.2">
      <c r="A223" s="121" t="s">
        <v>208</v>
      </c>
      <c r="B223" s="121">
        <v>4</v>
      </c>
      <c r="C223" s="121">
        <v>10</v>
      </c>
      <c r="D223" s="121" t="str">
        <f t="shared" si="88"/>
        <v>4x10</v>
      </c>
      <c r="E223" s="121">
        <v>20</v>
      </c>
      <c r="F223" s="121" t="s">
        <v>193</v>
      </c>
      <c r="G223" s="5" t="str">
        <f t="shared" si="93"/>
        <v>PG29</v>
      </c>
      <c r="H223" s="5">
        <f t="shared" si="95"/>
        <v>0</v>
      </c>
      <c r="I223" s="126" t="str">
        <f t="shared" si="96"/>
        <v>КГВВнг 4x10</v>
      </c>
      <c r="J223" s="5" t="str">
        <f t="shared" si="94"/>
        <v>PG29</v>
      </c>
      <c r="K223" s="22"/>
    </row>
    <row r="224" spans="1:11" x14ac:dyDescent="0.2">
      <c r="A224" s="121" t="s">
        <v>200</v>
      </c>
      <c r="B224" s="121">
        <v>4</v>
      </c>
      <c r="C224" s="121">
        <v>10</v>
      </c>
      <c r="D224" s="121" t="str">
        <f t="shared" si="88"/>
        <v>4x10</v>
      </c>
      <c r="E224" s="121">
        <v>20.399999999999999</v>
      </c>
      <c r="F224" s="121" t="s">
        <v>193</v>
      </c>
      <c r="G224" s="5" t="str">
        <f t="shared" si="93"/>
        <v>PG29</v>
      </c>
      <c r="H224" s="5">
        <f t="shared" si="95"/>
        <v>0</v>
      </c>
      <c r="I224" s="126" t="str">
        <f t="shared" si="96"/>
        <v>ВБбШвнг 4x10</v>
      </c>
      <c r="J224" s="5" t="str">
        <f t="shared" si="94"/>
        <v>PG29</v>
      </c>
      <c r="K224" s="22"/>
    </row>
    <row r="225" spans="1:11" x14ac:dyDescent="0.2">
      <c r="A225" s="121" t="s">
        <v>902</v>
      </c>
      <c r="B225" s="121">
        <v>4</v>
      </c>
      <c r="C225" s="121">
        <v>10</v>
      </c>
      <c r="D225" s="121" t="str">
        <f t="shared" si="88"/>
        <v>4x10</v>
      </c>
      <c r="E225" s="121">
        <v>21</v>
      </c>
      <c r="F225" s="121" t="s">
        <v>193</v>
      </c>
      <c r="G225" s="5" t="str">
        <f t="shared" si="93"/>
        <v>PG29</v>
      </c>
      <c r="H225" s="5">
        <f t="shared" si="95"/>
        <v>0</v>
      </c>
      <c r="I225" s="126" t="str">
        <f t="shared" si="96"/>
        <v>КГРУнг(А)-HF 4x10</v>
      </c>
      <c r="J225" s="5" t="str">
        <f t="shared" si="94"/>
        <v>PG29</v>
      </c>
      <c r="K225" s="22"/>
    </row>
    <row r="226" spans="1:11" x14ac:dyDescent="0.2">
      <c r="A226" s="121" t="s">
        <v>209</v>
      </c>
      <c r="B226" s="121">
        <v>4</v>
      </c>
      <c r="C226" s="121">
        <v>10</v>
      </c>
      <c r="D226" s="121" t="str">
        <f t="shared" si="88"/>
        <v>4x10</v>
      </c>
      <c r="E226" s="121">
        <v>24.4</v>
      </c>
      <c r="F226" s="121" t="s">
        <v>188</v>
      </c>
      <c r="G226" s="5" t="str">
        <f t="shared" si="93"/>
        <v>PG36</v>
      </c>
      <c r="H226" s="5">
        <f t="shared" si="95"/>
        <v>0</v>
      </c>
      <c r="I226" s="126" t="str">
        <f t="shared" si="96"/>
        <v>КГН 4x10</v>
      </c>
      <c r="J226" s="5" t="str">
        <f t="shared" si="94"/>
        <v>PG36</v>
      </c>
      <c r="K226" s="22"/>
    </row>
    <row r="227" spans="1:11" x14ac:dyDescent="0.2">
      <c r="A227" s="121" t="s">
        <v>30</v>
      </c>
      <c r="B227" s="121">
        <v>4</v>
      </c>
      <c r="C227" s="121">
        <v>16</v>
      </c>
      <c r="D227" s="121" t="str">
        <f t="shared" si="88"/>
        <v>4x16</v>
      </c>
      <c r="E227" s="121">
        <v>0</v>
      </c>
      <c r="F227" s="296" t="str">
        <f>F228</f>
        <v>18153415  САЛЬНИК PG21, ДИАМЕТР ПРОВОДНИКА 15...18 ММ ТУ 3449-110-18461115-03</v>
      </c>
      <c r="G227" s="1087" t="str">
        <f>G228</f>
        <v>PG21</v>
      </c>
      <c r="H227" s="1087">
        <f t="shared" si="95"/>
        <v>0</v>
      </c>
      <c r="I227" s="543" t="str">
        <f t="shared" si="96"/>
        <v>- 4x16</v>
      </c>
      <c r="J227" s="1087" t="str">
        <f t="shared" ref="J227" si="97">J228</f>
        <v>PG21</v>
      </c>
      <c r="K227" s="22"/>
    </row>
    <row r="228" spans="1:11" x14ac:dyDescent="0.2">
      <c r="A228" s="121" t="s">
        <v>196</v>
      </c>
      <c r="B228" s="121">
        <v>4</v>
      </c>
      <c r="C228" s="121">
        <v>16</v>
      </c>
      <c r="D228" s="121" t="str">
        <f t="shared" si="88"/>
        <v>4x16</v>
      </c>
      <c r="E228" s="121">
        <v>18</v>
      </c>
      <c r="F228" s="121" t="s">
        <v>194</v>
      </c>
      <c r="G228" s="5" t="str">
        <f t="shared" ref="G228:G237" si="98">IF(
 ISNUMBER(MATCH("*PG13*",F228,0)),
 "PG13",
 IF(
  ISNUMBER(MATCH("*PG16*",F228,0)),
  "PG16",
  IF(
   ISNUMBER(MATCH("*PG21*",F228,0)),
   "PG21",
   IF(
    ISNUMBER(MATCH("*PG29*",F228,0)),
    "PG29",
    IF(
     ISNUMBER(MATCH("*PG36*",F228,0)),
     "PG36",
     0
    )
   )
  )
 )
)</f>
        <v>PG21</v>
      </c>
      <c r="H228" s="5">
        <f t="shared" si="95"/>
        <v>0</v>
      </c>
      <c r="I228" s="126" t="str">
        <f t="shared" si="96"/>
        <v>АВВГнг-LS 4x16</v>
      </c>
      <c r="J228" s="5" t="str">
        <f t="shared" ref="J228:J237" si="99">IF(G228=0,H228,G228)</f>
        <v>PG21</v>
      </c>
      <c r="K228" s="22"/>
    </row>
    <row r="229" spans="1:11" x14ac:dyDescent="0.2">
      <c r="A229" s="121" t="s">
        <v>896</v>
      </c>
      <c r="B229" s="121">
        <v>4</v>
      </c>
      <c r="C229" s="121">
        <v>16</v>
      </c>
      <c r="D229" s="121" t="str">
        <f t="shared" si="88"/>
        <v>4x16</v>
      </c>
      <c r="E229" s="121">
        <v>18.5</v>
      </c>
      <c r="F229" s="121" t="s">
        <v>193</v>
      </c>
      <c r="G229" s="5" t="str">
        <f t="shared" si="98"/>
        <v>PG29</v>
      </c>
      <c r="H229" s="5">
        <f t="shared" si="95"/>
        <v>0</v>
      </c>
      <c r="I229" s="126" t="str">
        <f t="shared" si="96"/>
        <v>АВВГНг 4x16</v>
      </c>
      <c r="J229" s="5" t="str">
        <f t="shared" si="99"/>
        <v>PG29</v>
      </c>
      <c r="K229" s="22"/>
    </row>
    <row r="230" spans="1:11" x14ac:dyDescent="0.2">
      <c r="A230" s="121" t="s">
        <v>896</v>
      </c>
      <c r="B230" s="121">
        <v>4</v>
      </c>
      <c r="C230" s="121">
        <v>16</v>
      </c>
      <c r="D230" s="121" t="str">
        <f t="shared" si="88"/>
        <v>4x16</v>
      </c>
      <c r="E230" s="121">
        <v>19.399999999999999</v>
      </c>
      <c r="F230" s="121" t="s">
        <v>193</v>
      </c>
      <c r="G230" s="5" t="str">
        <f t="shared" si="98"/>
        <v>PG29</v>
      </c>
      <c r="H230" s="5">
        <f t="shared" si="95"/>
        <v>0</v>
      </c>
      <c r="I230" s="126" t="str">
        <f t="shared" si="96"/>
        <v>АВВГНг 4x16</v>
      </c>
      <c r="J230" s="5" t="str">
        <f t="shared" si="99"/>
        <v>PG29</v>
      </c>
      <c r="K230" s="22"/>
    </row>
    <row r="231" spans="1:11" x14ac:dyDescent="0.2">
      <c r="A231" s="121" t="s">
        <v>898</v>
      </c>
      <c r="B231" s="121">
        <v>4</v>
      </c>
      <c r="C231" s="121">
        <v>16</v>
      </c>
      <c r="D231" s="121" t="str">
        <f t="shared" si="88"/>
        <v>4x16</v>
      </c>
      <c r="E231" s="121">
        <v>20</v>
      </c>
      <c r="F231" s="121" t="s">
        <v>193</v>
      </c>
      <c r="G231" s="5" t="str">
        <f t="shared" si="98"/>
        <v>PG29</v>
      </c>
      <c r="H231" s="5">
        <f t="shared" si="95"/>
        <v>0</v>
      </c>
      <c r="I231" s="126" t="str">
        <f t="shared" si="96"/>
        <v>ВВГНг 4x16</v>
      </c>
      <c r="J231" s="5" t="str">
        <f t="shared" si="99"/>
        <v>PG29</v>
      </c>
      <c r="K231" s="22"/>
    </row>
    <row r="232" spans="1:11" x14ac:dyDescent="0.2">
      <c r="A232" s="121" t="s">
        <v>159</v>
      </c>
      <c r="B232" s="121">
        <v>4</v>
      </c>
      <c r="C232" s="121">
        <v>16</v>
      </c>
      <c r="D232" s="121" t="str">
        <f t="shared" si="88"/>
        <v>4x16</v>
      </c>
      <c r="E232" s="121">
        <v>21.3</v>
      </c>
      <c r="F232" s="121" t="s">
        <v>193</v>
      </c>
      <c r="G232" s="5" t="str">
        <f t="shared" si="98"/>
        <v>PG29</v>
      </c>
      <c r="H232" s="5">
        <f t="shared" si="95"/>
        <v>0</v>
      </c>
      <c r="I232" s="126" t="str">
        <f t="shared" si="96"/>
        <v>ВВГнг-LS 4x16</v>
      </c>
      <c r="J232" s="5" t="str">
        <f t="shared" si="99"/>
        <v>PG29</v>
      </c>
      <c r="K232" s="22"/>
    </row>
    <row r="233" spans="1:11" x14ac:dyDescent="0.2">
      <c r="A233" s="121" t="s">
        <v>896</v>
      </c>
      <c r="B233" s="121">
        <v>4</v>
      </c>
      <c r="C233" s="121">
        <v>16</v>
      </c>
      <c r="D233" s="121" t="str">
        <f t="shared" si="88"/>
        <v>4x16</v>
      </c>
      <c r="E233" s="121">
        <v>22.5</v>
      </c>
      <c r="F233" s="121" t="s">
        <v>193</v>
      </c>
      <c r="G233" s="5" t="str">
        <f t="shared" si="98"/>
        <v>PG29</v>
      </c>
      <c r="H233" s="5">
        <f t="shared" si="95"/>
        <v>0</v>
      </c>
      <c r="I233" s="126" t="str">
        <f t="shared" si="96"/>
        <v>АВВГНг 4x16</v>
      </c>
      <c r="J233" s="5" t="str">
        <f t="shared" si="99"/>
        <v>PG29</v>
      </c>
      <c r="K233" s="22"/>
    </row>
    <row r="234" spans="1:11" x14ac:dyDescent="0.2">
      <c r="A234" s="121" t="s">
        <v>192</v>
      </c>
      <c r="B234" s="121">
        <v>4</v>
      </c>
      <c r="C234" s="121">
        <v>16</v>
      </c>
      <c r="D234" s="121" t="str">
        <f t="shared" si="88"/>
        <v>4x16</v>
      </c>
      <c r="E234" s="121">
        <v>22.7</v>
      </c>
      <c r="F234" s="121" t="s">
        <v>193</v>
      </c>
      <c r="G234" s="5" t="str">
        <f t="shared" si="98"/>
        <v>PG29</v>
      </c>
      <c r="H234" s="5">
        <f t="shared" si="95"/>
        <v>0</v>
      </c>
      <c r="I234" s="126" t="str">
        <f t="shared" si="96"/>
        <v>ААШВ 4x16</v>
      </c>
      <c r="J234" s="5" t="str">
        <f t="shared" si="99"/>
        <v>PG29</v>
      </c>
      <c r="K234" s="22"/>
    </row>
    <row r="235" spans="1:11" x14ac:dyDescent="0.2">
      <c r="A235" s="121" t="s">
        <v>902</v>
      </c>
      <c r="B235" s="121">
        <v>4</v>
      </c>
      <c r="C235" s="121">
        <v>16</v>
      </c>
      <c r="D235" s="121" t="str">
        <f t="shared" si="88"/>
        <v>4x16</v>
      </c>
      <c r="E235" s="121">
        <v>24</v>
      </c>
      <c r="F235" s="121" t="s">
        <v>193</v>
      </c>
      <c r="G235" s="5" t="str">
        <f t="shared" si="98"/>
        <v>PG29</v>
      </c>
      <c r="H235" s="5">
        <f t="shared" si="95"/>
        <v>0</v>
      </c>
      <c r="I235" s="126" t="str">
        <f t="shared" si="96"/>
        <v>КГРУнг(А)-HF 4x16</v>
      </c>
      <c r="J235" s="5" t="str">
        <f t="shared" si="99"/>
        <v>PG29</v>
      </c>
      <c r="K235" s="22"/>
    </row>
    <row r="236" spans="1:11" x14ac:dyDescent="0.2">
      <c r="A236" s="121" t="s">
        <v>201</v>
      </c>
      <c r="B236" s="121">
        <v>4</v>
      </c>
      <c r="C236" s="121">
        <v>16</v>
      </c>
      <c r="D236" s="121" t="str">
        <f t="shared" si="88"/>
        <v>4x16</v>
      </c>
      <c r="E236" s="121">
        <v>24.2</v>
      </c>
      <c r="F236" s="121" t="s">
        <v>188</v>
      </c>
      <c r="G236" s="5" t="str">
        <f t="shared" si="98"/>
        <v>PG36</v>
      </c>
      <c r="H236" s="5">
        <f t="shared" si="95"/>
        <v>0</v>
      </c>
      <c r="I236" s="126" t="str">
        <f t="shared" si="96"/>
        <v>ВВГнг-FRLS 4x16</v>
      </c>
      <c r="J236" s="5" t="str">
        <f t="shared" si="99"/>
        <v>PG36</v>
      </c>
      <c r="K236" s="22"/>
    </row>
    <row r="237" spans="1:11" x14ac:dyDescent="0.2">
      <c r="A237" s="121" t="s">
        <v>200</v>
      </c>
      <c r="B237" s="121">
        <v>4</v>
      </c>
      <c r="C237" s="121">
        <v>16</v>
      </c>
      <c r="D237" s="121" t="str">
        <f t="shared" si="88"/>
        <v>4x16</v>
      </c>
      <c r="E237" s="121">
        <v>24.4</v>
      </c>
      <c r="F237" s="121" t="s">
        <v>188</v>
      </c>
      <c r="G237" s="5" t="str">
        <f t="shared" si="98"/>
        <v>PG36</v>
      </c>
      <c r="H237" s="5">
        <f t="shared" si="95"/>
        <v>0</v>
      </c>
      <c r="I237" s="126" t="str">
        <f t="shared" si="96"/>
        <v>ВБбШвнг 4x16</v>
      </c>
      <c r="J237" s="5" t="str">
        <f t="shared" si="99"/>
        <v>PG36</v>
      </c>
      <c r="K237" s="22"/>
    </row>
    <row r="238" spans="1:11" x14ac:dyDescent="0.2">
      <c r="A238" s="121" t="s">
        <v>30</v>
      </c>
      <c r="B238" s="121">
        <v>4</v>
      </c>
      <c r="C238" s="121">
        <v>25</v>
      </c>
      <c r="D238" s="121" t="str">
        <f t="shared" si="88"/>
        <v>4x25</v>
      </c>
      <c r="E238" s="121">
        <v>0</v>
      </c>
      <c r="F238" s="296" t="str">
        <f>F239</f>
        <v>18153416  САЛЬНИК PG29, ДИАМЕТР ПРОВОДНИКА 18...24 ММ ТУ 3449-110-18461115-03</v>
      </c>
      <c r="G238" s="1087" t="str">
        <f>G239</f>
        <v>PG29</v>
      </c>
      <c r="H238" s="1087">
        <f t="shared" si="95"/>
        <v>0</v>
      </c>
      <c r="I238" s="543" t="str">
        <f t="shared" si="96"/>
        <v>- 4x25</v>
      </c>
      <c r="J238" s="1087" t="str">
        <f t="shared" ref="J238" si="100">J239</f>
        <v>PG29</v>
      </c>
      <c r="K238" s="22"/>
    </row>
    <row r="239" spans="1:11" x14ac:dyDescent="0.2">
      <c r="A239" s="121" t="s">
        <v>896</v>
      </c>
      <c r="B239" s="121">
        <v>4</v>
      </c>
      <c r="C239" s="121">
        <v>25</v>
      </c>
      <c r="D239" s="121" t="str">
        <f t="shared" si="88"/>
        <v>4x25</v>
      </c>
      <c r="E239" s="121">
        <v>23</v>
      </c>
      <c r="F239" s="121" t="s">
        <v>193</v>
      </c>
      <c r="G239" s="5" t="str">
        <f t="shared" ref="G239:G248" si="101">IF(
 ISNUMBER(MATCH("*PG13*",F239,0)),
 "PG13",
 IF(
  ISNUMBER(MATCH("*PG16*",F239,0)),
  "PG16",
  IF(
   ISNUMBER(MATCH("*PG21*",F239,0)),
   "PG21",
   IF(
    ISNUMBER(MATCH("*PG29*",F239,0)),
    "PG29",
    IF(
     ISNUMBER(MATCH("*PG36*",F239,0)),
     "PG36",
     0
    )
   )
  )
 )
)</f>
        <v>PG29</v>
      </c>
      <c r="H239" s="5">
        <f t="shared" si="95"/>
        <v>0</v>
      </c>
      <c r="I239" s="126" t="str">
        <f t="shared" si="96"/>
        <v>АВВГНг 4x25</v>
      </c>
      <c r="J239" s="5" t="str">
        <f t="shared" ref="J239:J248" si="102">IF(G239=0,H239,G239)</f>
        <v>PG29</v>
      </c>
      <c r="K239" s="22"/>
    </row>
    <row r="240" spans="1:11" x14ac:dyDescent="0.2">
      <c r="A240" s="121" t="s">
        <v>896</v>
      </c>
      <c r="B240" s="121">
        <v>4</v>
      </c>
      <c r="C240" s="121">
        <v>25</v>
      </c>
      <c r="D240" s="121" t="str">
        <f t="shared" si="88"/>
        <v>4x25</v>
      </c>
      <c r="E240" s="121">
        <v>23.3</v>
      </c>
      <c r="F240" s="121" t="s">
        <v>193</v>
      </c>
      <c r="G240" s="5" t="str">
        <f t="shared" si="101"/>
        <v>PG29</v>
      </c>
      <c r="H240" s="5">
        <f t="shared" si="95"/>
        <v>0</v>
      </c>
      <c r="I240" s="126" t="str">
        <f t="shared" si="96"/>
        <v>АВВГНг 4x25</v>
      </c>
      <c r="J240" s="5" t="str">
        <f t="shared" si="102"/>
        <v>PG29</v>
      </c>
      <c r="K240" s="22"/>
    </row>
    <row r="241" spans="1:11" x14ac:dyDescent="0.2">
      <c r="A241" s="121" t="s">
        <v>196</v>
      </c>
      <c r="B241" s="121">
        <v>4</v>
      </c>
      <c r="C241" s="121">
        <v>25</v>
      </c>
      <c r="D241" s="121" t="str">
        <f t="shared" si="88"/>
        <v>4x25</v>
      </c>
      <c r="E241" s="121">
        <v>24</v>
      </c>
      <c r="F241" s="121" t="s">
        <v>193</v>
      </c>
      <c r="G241" s="5" t="str">
        <f t="shared" si="101"/>
        <v>PG29</v>
      </c>
      <c r="H241" s="5">
        <f t="shared" si="95"/>
        <v>0</v>
      </c>
      <c r="I241" s="126" t="str">
        <f t="shared" si="96"/>
        <v>АВВГнг-LS 4x25</v>
      </c>
      <c r="J241" s="5" t="str">
        <f t="shared" si="102"/>
        <v>PG29</v>
      </c>
      <c r="K241" s="22"/>
    </row>
    <row r="242" spans="1:11" x14ac:dyDescent="0.2">
      <c r="A242" s="121" t="s">
        <v>898</v>
      </c>
      <c r="B242" s="121">
        <v>4</v>
      </c>
      <c r="C242" s="121">
        <v>25</v>
      </c>
      <c r="D242" s="121" t="str">
        <f t="shared" si="88"/>
        <v>4x25</v>
      </c>
      <c r="E242" s="121">
        <v>24.1</v>
      </c>
      <c r="F242" s="121" t="s">
        <v>188</v>
      </c>
      <c r="G242" s="5" t="str">
        <f t="shared" si="101"/>
        <v>PG36</v>
      </c>
      <c r="H242" s="5">
        <f t="shared" si="95"/>
        <v>0</v>
      </c>
      <c r="I242" s="126" t="str">
        <f t="shared" si="96"/>
        <v>ВВГНг 4x25</v>
      </c>
      <c r="J242" s="5" t="str">
        <f t="shared" si="102"/>
        <v>PG36</v>
      </c>
      <c r="K242" s="22"/>
    </row>
    <row r="243" spans="1:11" x14ac:dyDescent="0.2">
      <c r="A243" s="121" t="s">
        <v>159</v>
      </c>
      <c r="B243" s="121">
        <v>4</v>
      </c>
      <c r="C243" s="121">
        <v>25</v>
      </c>
      <c r="D243" s="121" t="str">
        <f t="shared" si="88"/>
        <v>4x25</v>
      </c>
      <c r="E243" s="121">
        <v>24.1</v>
      </c>
      <c r="F243" s="121" t="s">
        <v>188</v>
      </c>
      <c r="G243" s="5" t="str">
        <f t="shared" si="101"/>
        <v>PG36</v>
      </c>
      <c r="H243" s="5">
        <f t="shared" si="95"/>
        <v>0</v>
      </c>
      <c r="I243" s="126" t="str">
        <f t="shared" si="96"/>
        <v>ВВГнг-LS 4x25</v>
      </c>
      <c r="J243" s="5" t="str">
        <f t="shared" si="102"/>
        <v>PG36</v>
      </c>
      <c r="K243" s="22"/>
    </row>
    <row r="244" spans="1:11" x14ac:dyDescent="0.2">
      <c r="A244" s="121" t="s">
        <v>187</v>
      </c>
      <c r="B244" s="121">
        <v>4</v>
      </c>
      <c r="C244" s="121">
        <v>25</v>
      </c>
      <c r="D244" s="121" t="str">
        <f t="shared" si="88"/>
        <v>4x25</v>
      </c>
      <c r="E244" s="121">
        <v>27.3</v>
      </c>
      <c r="F244" s="121" t="s">
        <v>188</v>
      </c>
      <c r="G244" s="5" t="str">
        <f t="shared" si="101"/>
        <v>PG36</v>
      </c>
      <c r="H244" s="5">
        <f t="shared" si="95"/>
        <v>0</v>
      </c>
      <c r="I244" s="126" t="str">
        <f t="shared" si="96"/>
        <v>Creolon B 4x25</v>
      </c>
      <c r="J244" s="5" t="str">
        <f t="shared" si="102"/>
        <v>PG36</v>
      </c>
      <c r="K244" s="22"/>
    </row>
    <row r="245" spans="1:11" x14ac:dyDescent="0.2">
      <c r="A245" s="121" t="s">
        <v>201</v>
      </c>
      <c r="B245" s="121">
        <v>4</v>
      </c>
      <c r="C245" s="121">
        <v>25</v>
      </c>
      <c r="D245" s="121" t="str">
        <f t="shared" si="88"/>
        <v>4x25</v>
      </c>
      <c r="E245" s="121">
        <v>28.2</v>
      </c>
      <c r="F245" s="121" t="s">
        <v>188</v>
      </c>
      <c r="G245" s="5" t="str">
        <f t="shared" si="101"/>
        <v>PG36</v>
      </c>
      <c r="H245" s="5">
        <f t="shared" si="95"/>
        <v>0</v>
      </c>
      <c r="I245" s="126" t="str">
        <f t="shared" si="96"/>
        <v>ВВГнг-FRLS 4x25</v>
      </c>
      <c r="J245" s="5" t="str">
        <f t="shared" si="102"/>
        <v>PG36</v>
      </c>
      <c r="K245" s="22"/>
    </row>
    <row r="246" spans="1:11" x14ac:dyDescent="0.2">
      <c r="A246" s="121" t="s">
        <v>896</v>
      </c>
      <c r="B246" s="121">
        <v>4</v>
      </c>
      <c r="C246" s="121">
        <v>25</v>
      </c>
      <c r="D246" s="121" t="str">
        <f t="shared" si="88"/>
        <v>4x25</v>
      </c>
      <c r="E246" s="121">
        <v>28.5</v>
      </c>
      <c r="F246" s="121" t="s">
        <v>188</v>
      </c>
      <c r="G246" s="5" t="str">
        <f t="shared" si="101"/>
        <v>PG36</v>
      </c>
      <c r="H246" s="5">
        <f t="shared" si="95"/>
        <v>0</v>
      </c>
      <c r="I246" s="126" t="str">
        <f t="shared" si="96"/>
        <v>АВВГНг 4x25</v>
      </c>
      <c r="J246" s="5" t="str">
        <f t="shared" si="102"/>
        <v>PG36</v>
      </c>
      <c r="K246" s="22"/>
    </row>
    <row r="247" spans="1:11" x14ac:dyDescent="0.2">
      <c r="A247" s="121" t="s">
        <v>902</v>
      </c>
      <c r="B247" s="121">
        <v>4</v>
      </c>
      <c r="C247" s="121">
        <v>25</v>
      </c>
      <c r="D247" s="121" t="str">
        <f t="shared" si="88"/>
        <v>4x25</v>
      </c>
      <c r="E247" s="121">
        <v>29.1</v>
      </c>
      <c r="F247" s="121" t="s">
        <v>188</v>
      </c>
      <c r="G247" s="5" t="str">
        <f t="shared" si="101"/>
        <v>PG36</v>
      </c>
      <c r="H247" s="5">
        <f t="shared" si="95"/>
        <v>0</v>
      </c>
      <c r="I247" s="126" t="str">
        <f t="shared" si="96"/>
        <v>КГРУнг(А)-HF 4x25</v>
      </c>
      <c r="J247" s="5" t="str">
        <f t="shared" si="102"/>
        <v>PG36</v>
      </c>
      <c r="K247" s="22"/>
    </row>
    <row r="248" spans="1:11" x14ac:dyDescent="0.2">
      <c r="A248" s="121" t="s">
        <v>209</v>
      </c>
      <c r="B248" s="121">
        <v>4</v>
      </c>
      <c r="C248" s="121">
        <v>25</v>
      </c>
      <c r="D248" s="121" t="str">
        <f t="shared" si="88"/>
        <v>4x25</v>
      </c>
      <c r="E248" s="121">
        <v>33.700000000000003</v>
      </c>
      <c r="F248" s="121" t="s">
        <v>189</v>
      </c>
      <c r="G248" s="5">
        <f t="shared" si="101"/>
        <v>0</v>
      </c>
      <c r="H248" s="5" t="str">
        <f t="shared" si="95"/>
        <v>PG42</v>
      </c>
      <c r="I248" s="126" t="str">
        <f t="shared" si="96"/>
        <v>КГН 4x25</v>
      </c>
      <c r="J248" s="5" t="str">
        <f t="shared" si="102"/>
        <v>PG42</v>
      </c>
      <c r="K248" s="22"/>
    </row>
    <row r="249" spans="1:11" x14ac:dyDescent="0.2">
      <c r="A249" s="121" t="s">
        <v>30</v>
      </c>
      <c r="B249" s="121">
        <v>4</v>
      </c>
      <c r="C249" s="121">
        <v>35</v>
      </c>
      <c r="D249" s="121" t="str">
        <f t="shared" si="88"/>
        <v>4x35</v>
      </c>
      <c r="E249" s="121">
        <v>0</v>
      </c>
      <c r="F249" s="296" t="str">
        <f>F250</f>
        <v>18153417  САЛЬНИК PG36, ДИАМЕТР ПРОВОДНИКА 24...32 ММ ТУ 3449-110-18461115-03</v>
      </c>
      <c r="G249" s="1087" t="str">
        <f>G250</f>
        <v>PG36</v>
      </c>
      <c r="H249" s="1087">
        <f t="shared" si="95"/>
        <v>0</v>
      </c>
      <c r="I249" s="543" t="str">
        <f t="shared" si="96"/>
        <v>- 4x35</v>
      </c>
      <c r="J249" s="1087" t="str">
        <f t="shared" ref="J249" si="103">J250</f>
        <v>PG36</v>
      </c>
      <c r="K249" s="22"/>
    </row>
    <row r="250" spans="1:11" x14ac:dyDescent="0.2">
      <c r="A250" s="121" t="s">
        <v>896</v>
      </c>
      <c r="B250" s="121">
        <v>4</v>
      </c>
      <c r="C250" s="121">
        <v>35</v>
      </c>
      <c r="D250" s="121" t="str">
        <f t="shared" si="88"/>
        <v>4x35</v>
      </c>
      <c r="E250" s="121">
        <v>24.2</v>
      </c>
      <c r="F250" s="121" t="s">
        <v>188</v>
      </c>
      <c r="G250" s="5" t="str">
        <f t="shared" ref="G250:G270" si="104">IF(
 ISNUMBER(MATCH("*PG13*",F250,0)),
 "PG13",
 IF(
  ISNUMBER(MATCH("*PG16*",F250,0)),
  "PG16",
  IF(
   ISNUMBER(MATCH("*PG21*",F250,0)),
   "PG21",
   IF(
    ISNUMBER(MATCH("*PG29*",F250,0)),
    "PG29",
    IF(
     ISNUMBER(MATCH("*PG36*",F250,0)),
     "PG36",
     0
    )
   )
  )
 )
)</f>
        <v>PG36</v>
      </c>
      <c r="H250" s="5">
        <f t="shared" si="95"/>
        <v>0</v>
      </c>
      <c r="I250" s="126" t="str">
        <f t="shared" si="96"/>
        <v>АВВГНг 4x35</v>
      </c>
      <c r="J250" s="5" t="str">
        <f t="shared" ref="J250:J270" si="105">IF(G250=0,H250,G250)</f>
        <v>PG36</v>
      </c>
      <c r="K250" s="22"/>
    </row>
    <row r="251" spans="1:11" x14ac:dyDescent="0.2">
      <c r="A251" s="121" t="s">
        <v>896</v>
      </c>
      <c r="B251" s="121">
        <v>4</v>
      </c>
      <c r="C251" s="121">
        <v>35</v>
      </c>
      <c r="D251" s="121" t="str">
        <f t="shared" si="88"/>
        <v>4x35</v>
      </c>
      <c r="E251" s="121">
        <v>26</v>
      </c>
      <c r="F251" s="121" t="s">
        <v>188</v>
      </c>
      <c r="G251" s="5" t="str">
        <f t="shared" si="104"/>
        <v>PG36</v>
      </c>
      <c r="H251" s="5">
        <f t="shared" si="95"/>
        <v>0</v>
      </c>
      <c r="I251" s="126" t="str">
        <f t="shared" si="96"/>
        <v>АВВГНг 4x35</v>
      </c>
      <c r="J251" s="5" t="str">
        <f t="shared" si="105"/>
        <v>PG36</v>
      </c>
      <c r="K251" s="22"/>
    </row>
    <row r="252" spans="1:11" x14ac:dyDescent="0.2">
      <c r="A252" s="121" t="s">
        <v>196</v>
      </c>
      <c r="B252" s="121">
        <v>4</v>
      </c>
      <c r="C252" s="121">
        <v>35</v>
      </c>
      <c r="D252" s="121" t="str">
        <f t="shared" si="88"/>
        <v>4x35</v>
      </c>
      <c r="E252" s="121">
        <v>26</v>
      </c>
      <c r="F252" s="121" t="s">
        <v>188</v>
      </c>
      <c r="G252" s="5" t="str">
        <f t="shared" si="104"/>
        <v>PG36</v>
      </c>
      <c r="H252" s="5">
        <f t="shared" si="95"/>
        <v>0</v>
      </c>
      <c r="I252" s="126" t="str">
        <f t="shared" si="96"/>
        <v>АВВГнг-LS 4x35</v>
      </c>
      <c r="J252" s="5" t="str">
        <f t="shared" si="105"/>
        <v>PG36</v>
      </c>
      <c r="K252" s="22"/>
    </row>
    <row r="253" spans="1:11" x14ac:dyDescent="0.2">
      <c r="A253" s="121" t="s">
        <v>898</v>
      </c>
      <c r="B253" s="121">
        <v>4</v>
      </c>
      <c r="C253" s="121">
        <v>35</v>
      </c>
      <c r="D253" s="121" t="str">
        <f t="shared" si="88"/>
        <v>4x35</v>
      </c>
      <c r="E253" s="121">
        <v>26.5</v>
      </c>
      <c r="F253" s="121" t="s">
        <v>188</v>
      </c>
      <c r="G253" s="5" t="str">
        <f t="shared" si="104"/>
        <v>PG36</v>
      </c>
      <c r="H253" s="5">
        <f t="shared" si="95"/>
        <v>0</v>
      </c>
      <c r="I253" s="126" t="str">
        <f t="shared" si="96"/>
        <v>ВВГНг 4x35</v>
      </c>
      <c r="J253" s="5" t="str">
        <f t="shared" si="105"/>
        <v>PG36</v>
      </c>
      <c r="K253" s="22"/>
    </row>
    <row r="254" spans="1:11" x14ac:dyDescent="0.2">
      <c r="A254" s="121" t="s">
        <v>159</v>
      </c>
      <c r="B254" s="121">
        <v>4</v>
      </c>
      <c r="C254" s="121">
        <v>35</v>
      </c>
      <c r="D254" s="121" t="str">
        <f t="shared" si="88"/>
        <v>4x35</v>
      </c>
      <c r="E254" s="121">
        <v>27</v>
      </c>
      <c r="F254" s="121" t="s">
        <v>188</v>
      </c>
      <c r="G254" s="5" t="str">
        <f t="shared" si="104"/>
        <v>PG36</v>
      </c>
      <c r="H254" s="5">
        <f t="shared" ref="H254:H270" si="106">IF(
 ISNUMBER(MATCH("*PG42*",F254,0)),
 "PG42",
 IF(
  ISNUMBER(MATCH("*PG48*",F254,0)),
  "PG48",
  IF(
   ISNUMBER(MATCH("*MG63*",F254,0)),
   "MG63",
   IF(
    ISNUMBER(MATCH("*У479*",F254,0)),
    "У479",
    IF(
     ISNUMBER(MATCH("*У480*",F254,0)),
     "У480",
     0
    )
   )
  )
 )
)</f>
        <v>0</v>
      </c>
      <c r="I254" s="126" t="str">
        <f t="shared" ref="I254:I270" si="107">A254&amp;" "&amp;D254</f>
        <v>ВВГнг-LS 4x35</v>
      </c>
      <c r="J254" s="5" t="str">
        <f t="shared" si="105"/>
        <v>PG36</v>
      </c>
      <c r="K254" s="22"/>
    </row>
    <row r="255" spans="1:11" x14ac:dyDescent="0.2">
      <c r="A255" s="121" t="s">
        <v>896</v>
      </c>
      <c r="B255" s="121">
        <v>4</v>
      </c>
      <c r="C255" s="121">
        <v>35</v>
      </c>
      <c r="D255" s="121" t="str">
        <f t="shared" si="88"/>
        <v>4x35</v>
      </c>
      <c r="E255" s="121">
        <v>27.4</v>
      </c>
      <c r="F255" s="121" t="s">
        <v>188</v>
      </c>
      <c r="G255" s="5" t="str">
        <f t="shared" si="104"/>
        <v>PG36</v>
      </c>
      <c r="H255" s="5">
        <f t="shared" si="106"/>
        <v>0</v>
      </c>
      <c r="I255" s="126" t="str">
        <f t="shared" si="107"/>
        <v>АВВГНг 4x35</v>
      </c>
      <c r="J255" s="5" t="str">
        <f t="shared" si="105"/>
        <v>PG36</v>
      </c>
      <c r="K255" s="22"/>
    </row>
    <row r="256" spans="1:11" x14ac:dyDescent="0.2">
      <c r="A256" s="121" t="s">
        <v>187</v>
      </c>
      <c r="B256" s="121">
        <v>4</v>
      </c>
      <c r="C256" s="121">
        <v>35</v>
      </c>
      <c r="D256" s="121" t="str">
        <f t="shared" si="88"/>
        <v>4x35</v>
      </c>
      <c r="E256" s="121">
        <v>30</v>
      </c>
      <c r="F256" s="121" t="s">
        <v>188</v>
      </c>
      <c r="G256" s="5" t="str">
        <f t="shared" si="104"/>
        <v>PG36</v>
      </c>
      <c r="H256" s="5">
        <f t="shared" si="106"/>
        <v>0</v>
      </c>
      <c r="I256" s="126" t="str">
        <f t="shared" si="107"/>
        <v>Creolon B 4x35</v>
      </c>
      <c r="J256" s="5" t="str">
        <f t="shared" si="105"/>
        <v>PG36</v>
      </c>
      <c r="K256" s="22"/>
    </row>
    <row r="257" spans="1:11" x14ac:dyDescent="0.2">
      <c r="A257" s="121" t="s">
        <v>201</v>
      </c>
      <c r="B257" s="121">
        <v>4</v>
      </c>
      <c r="C257" s="121">
        <v>35</v>
      </c>
      <c r="D257" s="121" t="str">
        <f t="shared" si="88"/>
        <v>4x35</v>
      </c>
      <c r="E257" s="121">
        <v>31.3</v>
      </c>
      <c r="F257" s="121" t="s">
        <v>188</v>
      </c>
      <c r="G257" s="5" t="str">
        <f t="shared" si="104"/>
        <v>PG36</v>
      </c>
      <c r="H257" s="5">
        <f t="shared" si="106"/>
        <v>0</v>
      </c>
      <c r="I257" s="126" t="str">
        <f t="shared" si="107"/>
        <v>ВВГнг-FRLS 4x35</v>
      </c>
      <c r="J257" s="5" t="str">
        <f t="shared" si="105"/>
        <v>PG36</v>
      </c>
      <c r="K257" s="22"/>
    </row>
    <row r="258" spans="1:11" x14ac:dyDescent="0.2">
      <c r="A258" s="121" t="s">
        <v>902</v>
      </c>
      <c r="B258" s="121">
        <v>4</v>
      </c>
      <c r="C258" s="121">
        <v>35</v>
      </c>
      <c r="D258" s="121" t="str">
        <f t="shared" si="88"/>
        <v>4x35</v>
      </c>
      <c r="E258" s="121">
        <v>34.299999999999997</v>
      </c>
      <c r="F258" s="121" t="s">
        <v>189</v>
      </c>
      <c r="G258" s="5">
        <f t="shared" si="104"/>
        <v>0</v>
      </c>
      <c r="H258" s="5" t="str">
        <f t="shared" si="106"/>
        <v>PG42</v>
      </c>
      <c r="I258" s="126" t="str">
        <f t="shared" si="107"/>
        <v>КГРУнг(А)-HF 4x35</v>
      </c>
      <c r="J258" s="5" t="str">
        <f t="shared" si="105"/>
        <v>PG42</v>
      </c>
      <c r="K258" s="22"/>
    </row>
    <row r="259" spans="1:11" x14ac:dyDescent="0.2">
      <c r="A259" s="121" t="s">
        <v>896</v>
      </c>
      <c r="B259" s="121">
        <v>4</v>
      </c>
      <c r="C259" s="121">
        <v>50</v>
      </c>
      <c r="D259" s="121" t="str">
        <f t="shared" ref="D259:D322" si="108">B259&amp;"x"&amp;C259</f>
        <v>4x50</v>
      </c>
      <c r="E259" s="121">
        <v>25.7</v>
      </c>
      <c r="F259" s="121" t="s">
        <v>188</v>
      </c>
      <c r="G259" s="5" t="str">
        <f t="shared" si="104"/>
        <v>PG36</v>
      </c>
      <c r="H259" s="5">
        <f t="shared" si="106"/>
        <v>0</v>
      </c>
      <c r="I259" s="126" t="str">
        <f t="shared" si="107"/>
        <v>АВВГНг 4x50</v>
      </c>
      <c r="J259" s="5" t="str">
        <f t="shared" si="105"/>
        <v>PG36</v>
      </c>
      <c r="K259" s="22"/>
    </row>
    <row r="260" spans="1:11" x14ac:dyDescent="0.2">
      <c r="A260" s="121" t="s">
        <v>196</v>
      </c>
      <c r="B260" s="121">
        <v>4</v>
      </c>
      <c r="C260" s="121">
        <v>50</v>
      </c>
      <c r="D260" s="121" t="str">
        <f t="shared" si="108"/>
        <v>4x50</v>
      </c>
      <c r="E260" s="121">
        <v>28</v>
      </c>
      <c r="F260" s="121" t="s">
        <v>188</v>
      </c>
      <c r="G260" s="5" t="str">
        <f t="shared" si="104"/>
        <v>PG36</v>
      </c>
      <c r="H260" s="5">
        <f t="shared" si="106"/>
        <v>0</v>
      </c>
      <c r="I260" s="126" t="str">
        <f t="shared" si="107"/>
        <v>АВВГнг-LS 4x50</v>
      </c>
      <c r="J260" s="5" t="str">
        <f t="shared" si="105"/>
        <v>PG36</v>
      </c>
      <c r="K260" s="22"/>
    </row>
    <row r="261" spans="1:11" x14ac:dyDescent="0.2">
      <c r="A261" s="121" t="s">
        <v>896</v>
      </c>
      <c r="B261" s="121">
        <v>4</v>
      </c>
      <c r="C261" s="121">
        <v>50</v>
      </c>
      <c r="D261" s="121" t="str">
        <f t="shared" si="108"/>
        <v>4x50</v>
      </c>
      <c r="E261" s="121">
        <v>28.1</v>
      </c>
      <c r="F261" s="121" t="s">
        <v>188</v>
      </c>
      <c r="G261" s="5" t="str">
        <f t="shared" si="104"/>
        <v>PG36</v>
      </c>
      <c r="H261" s="5">
        <f t="shared" si="106"/>
        <v>0</v>
      </c>
      <c r="I261" s="126" t="str">
        <f t="shared" si="107"/>
        <v>АВВГНг 4x50</v>
      </c>
      <c r="J261" s="5" t="str">
        <f t="shared" si="105"/>
        <v>PG36</v>
      </c>
      <c r="K261" s="22"/>
    </row>
    <row r="262" spans="1:11" x14ac:dyDescent="0.2">
      <c r="A262" s="121" t="s">
        <v>896</v>
      </c>
      <c r="B262" s="121">
        <v>4</v>
      </c>
      <c r="C262" s="121">
        <v>50</v>
      </c>
      <c r="D262" s="121" t="str">
        <f t="shared" si="108"/>
        <v>4x50</v>
      </c>
      <c r="E262" s="121">
        <v>30.7</v>
      </c>
      <c r="F262" s="121" t="s">
        <v>188</v>
      </c>
      <c r="G262" s="5" t="str">
        <f t="shared" si="104"/>
        <v>PG36</v>
      </c>
      <c r="H262" s="5">
        <f t="shared" si="106"/>
        <v>0</v>
      </c>
      <c r="I262" s="126" t="str">
        <f t="shared" si="107"/>
        <v>АВВГНг 4x50</v>
      </c>
      <c r="J262" s="5" t="str">
        <f t="shared" si="105"/>
        <v>PG36</v>
      </c>
      <c r="K262" s="22"/>
    </row>
    <row r="263" spans="1:11" x14ac:dyDescent="0.2">
      <c r="A263" s="121" t="s">
        <v>898</v>
      </c>
      <c r="B263" s="121">
        <v>4</v>
      </c>
      <c r="C263" s="121">
        <v>50</v>
      </c>
      <c r="D263" s="121" t="str">
        <f t="shared" si="108"/>
        <v>4x50</v>
      </c>
      <c r="E263" s="121">
        <v>30.7</v>
      </c>
      <c r="F263" s="121" t="s">
        <v>188</v>
      </c>
      <c r="G263" s="5" t="str">
        <f t="shared" si="104"/>
        <v>PG36</v>
      </c>
      <c r="H263" s="5">
        <f t="shared" si="106"/>
        <v>0</v>
      </c>
      <c r="I263" s="126" t="str">
        <f t="shared" si="107"/>
        <v>ВВГНг 4x50</v>
      </c>
      <c r="J263" s="5" t="str">
        <f t="shared" si="105"/>
        <v>PG36</v>
      </c>
      <c r="K263" s="22"/>
    </row>
    <row r="264" spans="1:11" x14ac:dyDescent="0.2">
      <c r="A264" s="121" t="s">
        <v>896</v>
      </c>
      <c r="B264" s="121">
        <v>4</v>
      </c>
      <c r="C264" s="121">
        <v>50</v>
      </c>
      <c r="D264" s="121" t="str">
        <f t="shared" si="108"/>
        <v>4x50</v>
      </c>
      <c r="E264" s="121">
        <v>31.8</v>
      </c>
      <c r="F264" s="121" t="s">
        <v>188</v>
      </c>
      <c r="G264" s="5" t="str">
        <f t="shared" si="104"/>
        <v>PG36</v>
      </c>
      <c r="H264" s="5">
        <f t="shared" si="106"/>
        <v>0</v>
      </c>
      <c r="I264" s="126" t="str">
        <f t="shared" si="107"/>
        <v>АВВГНг 4x50</v>
      </c>
      <c r="J264" s="5" t="str">
        <f t="shared" si="105"/>
        <v>PG36</v>
      </c>
      <c r="K264" s="22"/>
    </row>
    <row r="265" spans="1:11" x14ac:dyDescent="0.2">
      <c r="A265" s="121" t="s">
        <v>199</v>
      </c>
      <c r="B265" s="121">
        <v>4</v>
      </c>
      <c r="C265" s="121">
        <v>50</v>
      </c>
      <c r="D265" s="121" t="str">
        <f t="shared" si="108"/>
        <v>4x50</v>
      </c>
      <c r="E265" s="121">
        <v>32.9</v>
      </c>
      <c r="F265" s="121" t="s">
        <v>189</v>
      </c>
      <c r="G265" s="5">
        <f t="shared" si="104"/>
        <v>0</v>
      </c>
      <c r="H265" s="5" t="str">
        <f t="shared" si="106"/>
        <v>PG42</v>
      </c>
      <c r="I265" s="126" t="str">
        <f t="shared" si="107"/>
        <v>ВБбШв 4x50</v>
      </c>
      <c r="J265" s="5" t="str">
        <f t="shared" si="105"/>
        <v>PG42</v>
      </c>
      <c r="K265" s="22"/>
    </row>
    <row r="266" spans="1:11" x14ac:dyDescent="0.2">
      <c r="A266" s="121" t="s">
        <v>159</v>
      </c>
      <c r="B266" s="121">
        <v>4</v>
      </c>
      <c r="C266" s="121">
        <v>50</v>
      </c>
      <c r="D266" s="121" t="str">
        <f t="shared" si="108"/>
        <v>4x50</v>
      </c>
      <c r="E266" s="121">
        <v>33.9</v>
      </c>
      <c r="F266" s="121" t="s">
        <v>189</v>
      </c>
      <c r="G266" s="5">
        <f t="shared" si="104"/>
        <v>0</v>
      </c>
      <c r="H266" s="5" t="str">
        <f t="shared" si="106"/>
        <v>PG42</v>
      </c>
      <c r="I266" s="126" t="str">
        <f t="shared" si="107"/>
        <v>ВВГнг-LS 4x50</v>
      </c>
      <c r="J266" s="5" t="str">
        <f t="shared" si="105"/>
        <v>PG42</v>
      </c>
      <c r="K266" s="22"/>
    </row>
    <row r="267" spans="1:11" x14ac:dyDescent="0.2">
      <c r="A267" s="121" t="s">
        <v>191</v>
      </c>
      <c r="B267" s="121">
        <v>4</v>
      </c>
      <c r="C267" s="121">
        <v>50</v>
      </c>
      <c r="D267" s="121" t="str">
        <f t="shared" si="108"/>
        <v>4x50</v>
      </c>
      <c r="E267" s="121">
        <v>34.700000000000003</v>
      </c>
      <c r="F267" s="121" t="s">
        <v>189</v>
      </c>
      <c r="G267" s="5">
        <f t="shared" si="104"/>
        <v>0</v>
      </c>
      <c r="H267" s="5" t="str">
        <f t="shared" si="106"/>
        <v>PG42</v>
      </c>
      <c r="I267" s="126" t="str">
        <f t="shared" si="107"/>
        <v>Pyrohalon Plus 4x50</v>
      </c>
      <c r="J267" s="5" t="str">
        <f t="shared" si="105"/>
        <v>PG42</v>
      </c>
      <c r="K267" s="22"/>
    </row>
    <row r="268" spans="1:11" x14ac:dyDescent="0.2">
      <c r="A268" s="121" t="s">
        <v>201</v>
      </c>
      <c r="B268" s="121">
        <v>4</v>
      </c>
      <c r="C268" s="121">
        <v>50</v>
      </c>
      <c r="D268" s="121" t="str">
        <f t="shared" si="108"/>
        <v>4x50</v>
      </c>
      <c r="E268" s="121">
        <v>35.6</v>
      </c>
      <c r="F268" s="121" t="s">
        <v>189</v>
      </c>
      <c r="G268" s="5">
        <f t="shared" si="104"/>
        <v>0</v>
      </c>
      <c r="H268" s="5" t="str">
        <f t="shared" si="106"/>
        <v>PG42</v>
      </c>
      <c r="I268" s="126" t="str">
        <f t="shared" si="107"/>
        <v>ВВГнг-FRLS 4x50</v>
      </c>
      <c r="J268" s="5" t="str">
        <f t="shared" si="105"/>
        <v>PG42</v>
      </c>
      <c r="K268" s="22"/>
    </row>
    <row r="269" spans="1:11" x14ac:dyDescent="0.2">
      <c r="A269" s="121" t="s">
        <v>202</v>
      </c>
      <c r="B269" s="121">
        <v>4</v>
      </c>
      <c r="C269" s="121">
        <v>50</v>
      </c>
      <c r="D269" s="121" t="str">
        <f t="shared" si="108"/>
        <v>4x50</v>
      </c>
      <c r="E269" s="121">
        <v>41.3</v>
      </c>
      <c r="F269" s="121" t="s">
        <v>190</v>
      </c>
      <c r="G269" s="5">
        <f t="shared" si="104"/>
        <v>0</v>
      </c>
      <c r="H269" s="5" t="str">
        <f t="shared" si="106"/>
        <v>PG48</v>
      </c>
      <c r="I269" s="126" t="str">
        <f t="shared" si="107"/>
        <v>Герда-КВКнг-LS 4x50</v>
      </c>
      <c r="J269" s="5" t="str">
        <f t="shared" si="105"/>
        <v>PG48</v>
      </c>
      <c r="K269" s="22"/>
    </row>
    <row r="270" spans="1:11" x14ac:dyDescent="0.2">
      <c r="A270" s="121" t="s">
        <v>902</v>
      </c>
      <c r="B270" s="121">
        <v>4</v>
      </c>
      <c r="C270" s="121">
        <v>50</v>
      </c>
      <c r="D270" s="121" t="str">
        <f t="shared" si="108"/>
        <v>4x50</v>
      </c>
      <c r="E270" s="121">
        <v>41.3</v>
      </c>
      <c r="F270" s="121" t="s">
        <v>190</v>
      </c>
      <c r="G270" s="5">
        <f t="shared" si="104"/>
        <v>0</v>
      </c>
      <c r="H270" s="5" t="str">
        <f t="shared" si="106"/>
        <v>PG48</v>
      </c>
      <c r="I270" s="126" t="str">
        <f t="shared" si="107"/>
        <v>КГРУнг(А)-HF 4x50</v>
      </c>
      <c r="J270" s="5" t="str">
        <f t="shared" si="105"/>
        <v>PG48</v>
      </c>
      <c r="K270" s="22"/>
    </row>
    <row r="271" spans="1:11" x14ac:dyDescent="0.2">
      <c r="A271" s="121" t="s">
        <v>30</v>
      </c>
      <c r="B271" s="121">
        <v>4</v>
      </c>
      <c r="C271" s="121">
        <v>50</v>
      </c>
      <c r="D271" s="121" t="str">
        <f t="shared" si="108"/>
        <v>4x50</v>
      </c>
      <c r="E271" s="121">
        <v>0</v>
      </c>
      <c r="F271" s="296" t="str">
        <f t="shared" ref="F271:F272" si="109">F272</f>
        <v>18153417  САЛЬНИК PG36, ДИАМЕТР ПРОВОДНИКА 24...32 ММ ТУ 3449-110-18461115-03</v>
      </c>
      <c r="G271" s="1087" t="str">
        <f t="shared" ref="G271:G272" si="110">G272</f>
        <v>PG36</v>
      </c>
      <c r="H271" s="1087">
        <f t="shared" ref="H271:H272" si="111">IF(
 ISNUMBER(MATCH("*PG42*",F271,0)),
 "PG42",
 IF(
  ISNUMBER(MATCH("*PG48*",F271,0)),
  "PG48",
  IF(
   ISNUMBER(MATCH("*MG63*",F271,0)),
   "MG63",
   IF(
    ISNUMBER(MATCH("*У479*",F271,0)),
    "У479",
    IF(
     ISNUMBER(MATCH("*У480*",F271,0)),
     "У480",
     0
    )
   )
  )
 )
)</f>
        <v>0</v>
      </c>
      <c r="I271" s="543" t="str">
        <f t="shared" ref="I271:I272" si="112">A271&amp;" "&amp;D271</f>
        <v>- 4x50</v>
      </c>
      <c r="J271" s="1087" t="str">
        <f t="shared" ref="J271:J272" si="113">J272</f>
        <v>PG36</v>
      </c>
      <c r="K271" s="22"/>
    </row>
    <row r="272" spans="1:11" x14ac:dyDescent="0.2">
      <c r="A272" s="121" t="s">
        <v>30</v>
      </c>
      <c r="B272" s="121">
        <v>4</v>
      </c>
      <c r="C272" s="121">
        <v>70</v>
      </c>
      <c r="D272" s="121" t="str">
        <f t="shared" si="108"/>
        <v>4x70</v>
      </c>
      <c r="E272" s="121">
        <v>0</v>
      </c>
      <c r="F272" s="296" t="str">
        <f t="shared" si="109"/>
        <v>18153417  САЛЬНИК PG36, ДИАМЕТР ПРОВОДНИКА 24...32 ММ ТУ 3449-110-18461115-03</v>
      </c>
      <c r="G272" s="1087" t="str">
        <f t="shared" si="110"/>
        <v>PG36</v>
      </c>
      <c r="H272" s="1087">
        <f t="shared" si="111"/>
        <v>0</v>
      </c>
      <c r="I272" s="543" t="str">
        <f t="shared" si="112"/>
        <v>- 4x70</v>
      </c>
      <c r="J272" s="1087" t="str">
        <f t="shared" si="113"/>
        <v>PG36</v>
      </c>
      <c r="K272" s="22"/>
    </row>
    <row r="273" spans="1:11" x14ac:dyDescent="0.2">
      <c r="A273" s="121" t="s">
        <v>896</v>
      </c>
      <c r="B273" s="121">
        <v>4</v>
      </c>
      <c r="C273" s="121">
        <v>70</v>
      </c>
      <c r="D273" s="121" t="str">
        <f t="shared" si="108"/>
        <v>4x70</v>
      </c>
      <c r="E273" s="121">
        <v>29.3</v>
      </c>
      <c r="F273" s="121" t="s">
        <v>188</v>
      </c>
      <c r="G273" s="5" t="str">
        <f t="shared" ref="G273:G283" si="114">IF(
 ISNUMBER(MATCH("*PG13*",F273,0)),
 "PG13",
 IF(
  ISNUMBER(MATCH("*PG16*",F273,0)),
  "PG16",
  IF(
   ISNUMBER(MATCH("*PG21*",F273,0)),
   "PG21",
   IF(
    ISNUMBER(MATCH("*PG29*",F273,0)),
    "PG29",
    IF(
     ISNUMBER(MATCH("*PG36*",F273,0)),
     "PG36",
     0
    )
   )
  )
 )
)</f>
        <v>PG36</v>
      </c>
      <c r="H273" s="5">
        <f t="shared" ref="H273:H283" si="115">IF(
 ISNUMBER(MATCH("*PG42*",F273,0)),
 "PG42",
 IF(
  ISNUMBER(MATCH("*PG48*",F273,0)),
  "PG48",
  IF(
   ISNUMBER(MATCH("*MG63*",F273,0)),
   "MG63",
   IF(
    ISNUMBER(MATCH("*У479*",F273,0)),
    "У479",
    IF(
     ISNUMBER(MATCH("*У480*",F273,0)),
     "У480",
     0
    )
   )
  )
 )
)</f>
        <v>0</v>
      </c>
      <c r="I273" s="126" t="str">
        <f t="shared" ref="I273:I283" si="116">A273&amp;" "&amp;D273</f>
        <v>АВВГНг 4x70</v>
      </c>
      <c r="J273" s="5" t="str">
        <f t="shared" ref="J273:J283" si="117">IF(G273=0,H273,G273)</f>
        <v>PG36</v>
      </c>
      <c r="K273" s="22"/>
    </row>
    <row r="274" spans="1:11" x14ac:dyDescent="0.2">
      <c r="A274" s="121" t="s">
        <v>896</v>
      </c>
      <c r="B274" s="121">
        <v>4</v>
      </c>
      <c r="C274" s="121">
        <v>70</v>
      </c>
      <c r="D274" s="121" t="str">
        <f t="shared" si="108"/>
        <v>4x70</v>
      </c>
      <c r="E274" s="121">
        <v>31</v>
      </c>
      <c r="F274" s="121" t="s">
        <v>188</v>
      </c>
      <c r="G274" s="5" t="str">
        <f t="shared" si="114"/>
        <v>PG36</v>
      </c>
      <c r="H274" s="5">
        <f t="shared" si="115"/>
        <v>0</v>
      </c>
      <c r="I274" s="126" t="str">
        <f t="shared" si="116"/>
        <v>АВВГНг 4x70</v>
      </c>
      <c r="J274" s="5" t="str">
        <f t="shared" si="117"/>
        <v>PG36</v>
      </c>
      <c r="K274" s="22"/>
    </row>
    <row r="275" spans="1:11" x14ac:dyDescent="0.2">
      <c r="A275" s="121" t="s">
        <v>898</v>
      </c>
      <c r="B275" s="121">
        <v>4</v>
      </c>
      <c r="C275" s="121">
        <v>70</v>
      </c>
      <c r="D275" s="121" t="str">
        <f t="shared" si="108"/>
        <v>4x70</v>
      </c>
      <c r="E275" s="121">
        <v>31.93</v>
      </c>
      <c r="F275" s="121" t="s">
        <v>188</v>
      </c>
      <c r="G275" s="5" t="str">
        <f t="shared" si="114"/>
        <v>PG36</v>
      </c>
      <c r="H275" s="5">
        <f t="shared" si="115"/>
        <v>0</v>
      </c>
      <c r="I275" s="126" t="str">
        <f t="shared" si="116"/>
        <v>ВВГНг 4x70</v>
      </c>
      <c r="J275" s="5" t="str">
        <f t="shared" si="117"/>
        <v>PG36</v>
      </c>
      <c r="K275" s="22"/>
    </row>
    <row r="276" spans="1:11" x14ac:dyDescent="0.2">
      <c r="A276" s="121" t="s">
        <v>909</v>
      </c>
      <c r="B276" s="121">
        <v>4</v>
      </c>
      <c r="C276" s="121">
        <v>70</v>
      </c>
      <c r="D276" s="121" t="str">
        <f t="shared" si="108"/>
        <v>4x70</v>
      </c>
      <c r="E276" s="121">
        <v>32.200000000000003</v>
      </c>
      <c r="F276" s="121" t="s">
        <v>189</v>
      </c>
      <c r="G276" s="5">
        <f t="shared" si="114"/>
        <v>0</v>
      </c>
      <c r="H276" s="5" t="str">
        <f t="shared" si="115"/>
        <v>PG42</v>
      </c>
      <c r="I276" s="126" t="str">
        <f t="shared" si="116"/>
        <v>ПвПнг(А)-HF 4x70</v>
      </c>
      <c r="J276" s="5" t="str">
        <f t="shared" si="117"/>
        <v>PG42</v>
      </c>
      <c r="K276" s="22"/>
    </row>
    <row r="277" spans="1:11" x14ac:dyDescent="0.2">
      <c r="A277" s="121" t="s">
        <v>159</v>
      </c>
      <c r="B277" s="121">
        <v>4</v>
      </c>
      <c r="C277" s="121">
        <v>70</v>
      </c>
      <c r="D277" s="121" t="str">
        <f t="shared" si="108"/>
        <v>4x70</v>
      </c>
      <c r="E277" s="121">
        <v>34</v>
      </c>
      <c r="F277" s="121" t="s">
        <v>189</v>
      </c>
      <c r="G277" s="5">
        <f t="shared" si="114"/>
        <v>0</v>
      </c>
      <c r="H277" s="5" t="str">
        <f t="shared" si="115"/>
        <v>PG42</v>
      </c>
      <c r="I277" s="126" t="str">
        <f t="shared" si="116"/>
        <v>ВВГнг-LS 4x70</v>
      </c>
      <c r="J277" s="5" t="str">
        <f t="shared" si="117"/>
        <v>PG42</v>
      </c>
      <c r="K277" s="22"/>
    </row>
    <row r="278" spans="1:11" x14ac:dyDescent="0.2">
      <c r="A278" s="121" t="s">
        <v>896</v>
      </c>
      <c r="B278" s="121">
        <v>4</v>
      </c>
      <c r="C278" s="121">
        <v>70</v>
      </c>
      <c r="D278" s="121" t="str">
        <f t="shared" si="108"/>
        <v>4x70</v>
      </c>
      <c r="E278" s="121">
        <v>34.9</v>
      </c>
      <c r="F278" s="121" t="s">
        <v>189</v>
      </c>
      <c r="G278" s="5">
        <f t="shared" si="114"/>
        <v>0</v>
      </c>
      <c r="H278" s="5" t="str">
        <f t="shared" si="115"/>
        <v>PG42</v>
      </c>
      <c r="I278" s="126" t="str">
        <f t="shared" si="116"/>
        <v>АВВГНг 4x70</v>
      </c>
      <c r="J278" s="5" t="str">
        <f t="shared" si="117"/>
        <v>PG42</v>
      </c>
      <c r="K278" s="22"/>
    </row>
    <row r="279" spans="1:11" x14ac:dyDescent="0.2">
      <c r="A279" s="121" t="s">
        <v>196</v>
      </c>
      <c r="B279" s="121">
        <v>4</v>
      </c>
      <c r="C279" s="121">
        <v>70</v>
      </c>
      <c r="D279" s="121" t="str">
        <f t="shared" si="108"/>
        <v>4x70</v>
      </c>
      <c r="E279" s="121">
        <v>34.9</v>
      </c>
      <c r="F279" s="121" t="s">
        <v>189</v>
      </c>
      <c r="G279" s="5">
        <f t="shared" si="114"/>
        <v>0</v>
      </c>
      <c r="H279" s="5" t="str">
        <f t="shared" si="115"/>
        <v>PG42</v>
      </c>
      <c r="I279" s="126" t="str">
        <f t="shared" si="116"/>
        <v>АВВГнг-LS 4x70</v>
      </c>
      <c r="J279" s="5" t="str">
        <f t="shared" si="117"/>
        <v>PG42</v>
      </c>
      <c r="K279" s="22"/>
    </row>
    <row r="280" spans="1:11" x14ac:dyDescent="0.2">
      <c r="A280" s="121" t="s">
        <v>196</v>
      </c>
      <c r="B280" s="121">
        <v>4</v>
      </c>
      <c r="C280" s="121">
        <v>70</v>
      </c>
      <c r="D280" s="121" t="str">
        <f t="shared" si="108"/>
        <v>4x70</v>
      </c>
      <c r="E280" s="121">
        <v>34.9</v>
      </c>
      <c r="F280" s="121" t="s">
        <v>189</v>
      </c>
      <c r="G280" s="5">
        <f t="shared" si="114"/>
        <v>0</v>
      </c>
      <c r="H280" s="5" t="str">
        <f t="shared" si="115"/>
        <v>PG42</v>
      </c>
      <c r="I280" s="126" t="str">
        <f t="shared" si="116"/>
        <v>АВВГнг-LS 4x70</v>
      </c>
      <c r="J280" s="5" t="str">
        <f t="shared" si="117"/>
        <v>PG42</v>
      </c>
      <c r="K280" s="22"/>
    </row>
    <row r="281" spans="1:11" x14ac:dyDescent="0.2">
      <c r="A281" s="121" t="s">
        <v>201</v>
      </c>
      <c r="B281" s="121">
        <v>4</v>
      </c>
      <c r="C281" s="121">
        <v>70</v>
      </c>
      <c r="D281" s="121" t="str">
        <f t="shared" si="108"/>
        <v>4x70</v>
      </c>
      <c r="E281" s="121">
        <v>35</v>
      </c>
      <c r="F281" s="121" t="s">
        <v>189</v>
      </c>
      <c r="G281" s="5">
        <f t="shared" si="114"/>
        <v>0</v>
      </c>
      <c r="H281" s="5" t="str">
        <f t="shared" si="115"/>
        <v>PG42</v>
      </c>
      <c r="I281" s="126" t="str">
        <f t="shared" si="116"/>
        <v>ВВГнг-FRLS 4x70</v>
      </c>
      <c r="J281" s="5" t="str">
        <f t="shared" si="117"/>
        <v>PG42</v>
      </c>
      <c r="K281" s="22"/>
    </row>
    <row r="282" spans="1:11" x14ac:dyDescent="0.2">
      <c r="A282" s="121" t="s">
        <v>214</v>
      </c>
      <c r="B282" s="121">
        <v>4</v>
      </c>
      <c r="C282" s="121">
        <v>70</v>
      </c>
      <c r="D282" s="121" t="str">
        <f t="shared" si="108"/>
        <v>4x70</v>
      </c>
      <c r="E282" s="121">
        <v>37</v>
      </c>
      <c r="F282" s="121" t="s">
        <v>189</v>
      </c>
      <c r="G282" s="5">
        <f t="shared" si="114"/>
        <v>0</v>
      </c>
      <c r="H282" s="5" t="str">
        <f t="shared" si="115"/>
        <v>PG42</v>
      </c>
      <c r="I282" s="126" t="str">
        <f t="shared" si="116"/>
        <v>СИП-2А 4x70</v>
      </c>
      <c r="J282" s="5" t="str">
        <f t="shared" si="117"/>
        <v>PG42</v>
      </c>
      <c r="K282" s="22"/>
    </row>
    <row r="283" spans="1:11" x14ac:dyDescent="0.2">
      <c r="A283" s="121" t="s">
        <v>902</v>
      </c>
      <c r="B283" s="121">
        <v>4</v>
      </c>
      <c r="C283" s="121">
        <v>70</v>
      </c>
      <c r="D283" s="121" t="str">
        <f t="shared" si="108"/>
        <v>4x70</v>
      </c>
      <c r="E283" s="121">
        <v>45.9</v>
      </c>
      <c r="F283" s="121" t="s">
        <v>215</v>
      </c>
      <c r="G283" s="5">
        <f t="shared" si="114"/>
        <v>0</v>
      </c>
      <c r="H283" s="5" t="str">
        <f t="shared" si="115"/>
        <v>MG63</v>
      </c>
      <c r="I283" s="126" t="str">
        <f t="shared" si="116"/>
        <v>КГРУнг(А)-HF 4x70</v>
      </c>
      <c r="J283" s="5" t="str">
        <f t="shared" si="117"/>
        <v>MG63</v>
      </c>
      <c r="K283" s="22"/>
    </row>
    <row r="284" spans="1:11" x14ac:dyDescent="0.2">
      <c r="A284" s="121" t="s">
        <v>30</v>
      </c>
      <c r="B284" s="121">
        <v>4</v>
      </c>
      <c r="C284" s="121">
        <v>95</v>
      </c>
      <c r="D284" s="121" t="str">
        <f t="shared" si="108"/>
        <v>4x95</v>
      </c>
      <c r="E284" s="121">
        <v>0</v>
      </c>
      <c r="F284" s="296" t="str">
        <f t="shared" ref="F284" si="118">F285</f>
        <v>18153418  САЛЬНИК PG42, ДИАМЕТР ПРОВОДНИКА 30...40 ММ ТУ 3449-110-18461115-03</v>
      </c>
      <c r="G284" s="1087">
        <f t="shared" ref="G284" si="119">G285</f>
        <v>0</v>
      </c>
      <c r="H284" s="1087" t="str">
        <f t="shared" ref="H284" si="120">IF(
 ISNUMBER(MATCH("*PG42*",F284,0)),
 "PG42",
 IF(
  ISNUMBER(MATCH("*PG48*",F284,0)),
  "PG48",
  IF(
   ISNUMBER(MATCH("*MG63*",F284,0)),
   "MG63",
   IF(
    ISNUMBER(MATCH("*У479*",F284,0)),
    "У479",
    IF(
     ISNUMBER(MATCH("*У480*",F284,0)),
     "У480",
     0
    )
   )
  )
 )
)</f>
        <v>PG42</v>
      </c>
      <c r="I284" s="543" t="str">
        <f t="shared" ref="I284" si="121">A284&amp;" "&amp;D284</f>
        <v>- 4x95</v>
      </c>
      <c r="J284" s="1087" t="str">
        <f t="shared" ref="J284" si="122">J285</f>
        <v>PG42</v>
      </c>
      <c r="K284" s="22"/>
    </row>
    <row r="285" spans="1:11" x14ac:dyDescent="0.2">
      <c r="A285" s="121" t="s">
        <v>196</v>
      </c>
      <c r="B285" s="121">
        <v>4</v>
      </c>
      <c r="C285" s="121">
        <v>95</v>
      </c>
      <c r="D285" s="121" t="str">
        <f t="shared" si="108"/>
        <v>4x95</v>
      </c>
      <c r="E285" s="121">
        <v>33.299999999999997</v>
      </c>
      <c r="F285" s="121" t="s">
        <v>189</v>
      </c>
      <c r="G285" s="5">
        <f t="shared" ref="G285:G293" si="123">IF(
 ISNUMBER(MATCH("*PG13*",F285,0)),
 "PG13",
 IF(
  ISNUMBER(MATCH("*PG16*",F285,0)),
  "PG16",
  IF(
   ISNUMBER(MATCH("*PG21*",F285,0)),
   "PG21",
   IF(
    ISNUMBER(MATCH("*PG29*",F285,0)),
    "PG29",
    IF(
     ISNUMBER(MATCH("*PG36*",F285,0)),
     "PG36",
     0
    )
   )
  )
 )
)</f>
        <v>0</v>
      </c>
      <c r="H285" s="5" t="str">
        <f t="shared" ref="H285:H293" si="124">IF(
 ISNUMBER(MATCH("*PG42*",F285,0)),
 "PG42",
 IF(
  ISNUMBER(MATCH("*PG48*",F285,0)),
  "PG48",
  IF(
   ISNUMBER(MATCH("*MG63*",F285,0)),
   "MG63",
   IF(
    ISNUMBER(MATCH("*У479*",F285,0)),
    "У479",
    IF(
     ISNUMBER(MATCH("*У480*",F285,0)),
     "У480",
     0
    )
   )
  )
 )
)</f>
        <v>PG42</v>
      </c>
      <c r="I285" s="126" t="str">
        <f t="shared" ref="I285:I293" si="125">A285&amp;" "&amp;D285</f>
        <v>АВВГнг-LS 4x95</v>
      </c>
      <c r="J285" s="5" t="str">
        <f t="shared" ref="J285:J293" si="126">IF(G285=0,H285,G285)</f>
        <v>PG42</v>
      </c>
      <c r="K285" s="22"/>
    </row>
    <row r="286" spans="1:11" x14ac:dyDescent="0.2">
      <c r="A286" s="121" t="s">
        <v>196</v>
      </c>
      <c r="B286" s="121">
        <v>4</v>
      </c>
      <c r="C286" s="121">
        <v>95</v>
      </c>
      <c r="D286" s="121" t="str">
        <f t="shared" si="108"/>
        <v>4x95</v>
      </c>
      <c r="E286" s="121">
        <v>33.299999999999997</v>
      </c>
      <c r="F286" s="121" t="s">
        <v>189</v>
      </c>
      <c r="G286" s="5">
        <f t="shared" si="123"/>
        <v>0</v>
      </c>
      <c r="H286" s="5" t="str">
        <f t="shared" si="124"/>
        <v>PG42</v>
      </c>
      <c r="I286" s="126" t="str">
        <f t="shared" si="125"/>
        <v>АВВГнг-LS 4x95</v>
      </c>
      <c r="J286" s="5" t="str">
        <f t="shared" si="126"/>
        <v>PG42</v>
      </c>
      <c r="K286" s="22"/>
    </row>
    <row r="287" spans="1:11" x14ac:dyDescent="0.2">
      <c r="A287" s="121" t="s">
        <v>896</v>
      </c>
      <c r="B287" s="121">
        <v>4</v>
      </c>
      <c r="C287" s="121">
        <v>95</v>
      </c>
      <c r="D287" s="121" t="str">
        <f t="shared" si="108"/>
        <v>4x95</v>
      </c>
      <c r="E287" s="121">
        <v>34.299999999999997</v>
      </c>
      <c r="F287" s="121" t="s">
        <v>189</v>
      </c>
      <c r="G287" s="5">
        <f t="shared" si="123"/>
        <v>0</v>
      </c>
      <c r="H287" s="5" t="str">
        <f t="shared" si="124"/>
        <v>PG42</v>
      </c>
      <c r="I287" s="126" t="str">
        <f t="shared" si="125"/>
        <v>АВВГНг 4x95</v>
      </c>
      <c r="J287" s="5" t="str">
        <f t="shared" si="126"/>
        <v>PG42</v>
      </c>
      <c r="K287" s="22"/>
    </row>
    <row r="288" spans="1:11" x14ac:dyDescent="0.2">
      <c r="A288" s="121" t="s">
        <v>898</v>
      </c>
      <c r="B288" s="121">
        <v>4</v>
      </c>
      <c r="C288" s="121">
        <v>95</v>
      </c>
      <c r="D288" s="121" t="str">
        <f t="shared" si="108"/>
        <v>4x95</v>
      </c>
      <c r="E288" s="121">
        <v>35.36</v>
      </c>
      <c r="F288" s="121" t="s">
        <v>189</v>
      </c>
      <c r="G288" s="5">
        <f t="shared" si="123"/>
        <v>0</v>
      </c>
      <c r="H288" s="5" t="str">
        <f t="shared" si="124"/>
        <v>PG42</v>
      </c>
      <c r="I288" s="126" t="str">
        <f t="shared" si="125"/>
        <v>ВВГНг 4x95</v>
      </c>
      <c r="J288" s="5" t="str">
        <f t="shared" si="126"/>
        <v>PG42</v>
      </c>
      <c r="K288" s="22"/>
    </row>
    <row r="289" spans="1:11" x14ac:dyDescent="0.2">
      <c r="A289" s="121" t="s">
        <v>909</v>
      </c>
      <c r="B289" s="121">
        <v>4</v>
      </c>
      <c r="C289" s="121">
        <v>95</v>
      </c>
      <c r="D289" s="121" t="str">
        <f t="shared" si="108"/>
        <v>4x95</v>
      </c>
      <c r="E289" s="121">
        <v>36.200000000000003</v>
      </c>
      <c r="F289" s="121" t="s">
        <v>189</v>
      </c>
      <c r="G289" s="5">
        <f t="shared" si="123"/>
        <v>0</v>
      </c>
      <c r="H289" s="5" t="str">
        <f t="shared" si="124"/>
        <v>PG42</v>
      </c>
      <c r="I289" s="126" t="str">
        <f t="shared" si="125"/>
        <v>ПвПнг(А)-HF 4x95</v>
      </c>
      <c r="J289" s="5" t="str">
        <f t="shared" si="126"/>
        <v>PG42</v>
      </c>
      <c r="K289" s="22"/>
    </row>
    <row r="290" spans="1:11" x14ac:dyDescent="0.2">
      <c r="A290" s="121" t="s">
        <v>159</v>
      </c>
      <c r="B290" s="121">
        <v>4</v>
      </c>
      <c r="C290" s="121">
        <v>95</v>
      </c>
      <c r="D290" s="121" t="str">
        <f t="shared" si="108"/>
        <v>4x95</v>
      </c>
      <c r="E290" s="121">
        <v>37</v>
      </c>
      <c r="F290" s="121" t="s">
        <v>189</v>
      </c>
      <c r="G290" s="5">
        <f t="shared" si="123"/>
        <v>0</v>
      </c>
      <c r="H290" s="5" t="str">
        <f t="shared" si="124"/>
        <v>PG42</v>
      </c>
      <c r="I290" s="126" t="str">
        <f t="shared" si="125"/>
        <v>ВВГнг-LS 4x95</v>
      </c>
      <c r="J290" s="5" t="str">
        <f t="shared" si="126"/>
        <v>PG42</v>
      </c>
      <c r="K290" s="22"/>
    </row>
    <row r="291" spans="1:11" x14ac:dyDescent="0.2">
      <c r="A291" s="121" t="s">
        <v>201</v>
      </c>
      <c r="B291" s="121">
        <v>4</v>
      </c>
      <c r="C291" s="121">
        <v>95</v>
      </c>
      <c r="D291" s="121" t="str">
        <f t="shared" si="108"/>
        <v>4x95</v>
      </c>
      <c r="E291" s="121">
        <v>37.4</v>
      </c>
      <c r="F291" s="121" t="s">
        <v>189</v>
      </c>
      <c r="G291" s="5">
        <f t="shared" si="123"/>
        <v>0</v>
      </c>
      <c r="H291" s="5" t="str">
        <f t="shared" si="124"/>
        <v>PG42</v>
      </c>
      <c r="I291" s="126" t="str">
        <f t="shared" si="125"/>
        <v>ВВГнг-FRLS 4x95</v>
      </c>
      <c r="J291" s="5" t="str">
        <f t="shared" si="126"/>
        <v>PG42</v>
      </c>
      <c r="K291" s="22"/>
    </row>
    <row r="292" spans="1:11" x14ac:dyDescent="0.2">
      <c r="A292" s="121" t="s">
        <v>896</v>
      </c>
      <c r="B292" s="121">
        <v>4</v>
      </c>
      <c r="C292" s="121">
        <v>95</v>
      </c>
      <c r="D292" s="121" t="str">
        <f t="shared" si="108"/>
        <v>4x95</v>
      </c>
      <c r="E292" s="121">
        <v>39</v>
      </c>
      <c r="F292" s="121" t="s">
        <v>189</v>
      </c>
      <c r="G292" s="5">
        <f t="shared" si="123"/>
        <v>0</v>
      </c>
      <c r="H292" s="5" t="str">
        <f t="shared" si="124"/>
        <v>PG42</v>
      </c>
      <c r="I292" s="126" t="str">
        <f t="shared" si="125"/>
        <v>АВВГНг 4x95</v>
      </c>
      <c r="J292" s="5" t="str">
        <f t="shared" si="126"/>
        <v>PG42</v>
      </c>
      <c r="K292" s="22"/>
    </row>
    <row r="293" spans="1:11" x14ac:dyDescent="0.2">
      <c r="A293" s="121" t="s">
        <v>902</v>
      </c>
      <c r="B293" s="121">
        <v>4</v>
      </c>
      <c r="C293" s="121">
        <v>95</v>
      </c>
      <c r="D293" s="121" t="str">
        <f t="shared" si="108"/>
        <v>4x95</v>
      </c>
      <c r="E293" s="121">
        <v>53</v>
      </c>
      <c r="F293" s="121" t="s">
        <v>911</v>
      </c>
      <c r="G293" s="5">
        <f t="shared" si="123"/>
        <v>0</v>
      </c>
      <c r="H293" s="5" t="str">
        <f t="shared" si="124"/>
        <v>У480</v>
      </c>
      <c r="I293" s="126" t="str">
        <f t="shared" si="125"/>
        <v>КГРУнг(А)-HF 4x95</v>
      </c>
      <c r="J293" s="5" t="str">
        <f t="shared" si="126"/>
        <v>У480</v>
      </c>
      <c r="K293" s="22"/>
    </row>
    <row r="294" spans="1:11" x14ac:dyDescent="0.2">
      <c r="A294" s="121" t="s">
        <v>30</v>
      </c>
      <c r="B294" s="121">
        <v>4</v>
      </c>
      <c r="C294" s="121">
        <v>120</v>
      </c>
      <c r="D294" s="121" t="str">
        <f t="shared" si="108"/>
        <v>4x120</v>
      </c>
      <c r="E294" s="121">
        <v>0</v>
      </c>
      <c r="F294" s="296" t="str">
        <f t="shared" ref="F294" si="127">F295</f>
        <v>18153418  САЛЬНИК PG42, ДИАМЕТР ПРОВОДНИКА 30...40 ММ ТУ 3449-110-18461115-03</v>
      </c>
      <c r="G294" s="1087">
        <f t="shared" ref="G294" si="128">G295</f>
        <v>0</v>
      </c>
      <c r="H294" s="1087" t="str">
        <f t="shared" ref="H294" si="129">IF(
 ISNUMBER(MATCH("*PG42*",F294,0)),
 "PG42",
 IF(
  ISNUMBER(MATCH("*PG48*",F294,0)),
  "PG48",
  IF(
   ISNUMBER(MATCH("*MG63*",F294,0)),
   "MG63",
   IF(
    ISNUMBER(MATCH("*У479*",F294,0)),
    "У479",
    IF(
     ISNUMBER(MATCH("*У480*",F294,0)),
     "У480",
     0
    )
   )
  )
 )
)</f>
        <v>PG42</v>
      </c>
      <c r="I294" s="543" t="str">
        <f t="shared" ref="I294" si="130">A294&amp;" "&amp;D294</f>
        <v>- 4x120</v>
      </c>
      <c r="J294" s="1087" t="str">
        <f t="shared" ref="J294" si="131">J295</f>
        <v>PG42</v>
      </c>
      <c r="K294" s="22"/>
    </row>
    <row r="295" spans="1:11" x14ac:dyDescent="0.2">
      <c r="A295" s="121" t="s">
        <v>898</v>
      </c>
      <c r="B295" s="121">
        <v>4</v>
      </c>
      <c r="C295" s="121">
        <v>120</v>
      </c>
      <c r="D295" s="121" t="str">
        <f t="shared" si="108"/>
        <v>4x120</v>
      </c>
      <c r="E295" s="121">
        <v>38.57</v>
      </c>
      <c r="F295" s="121" t="s">
        <v>189</v>
      </c>
      <c r="G295" s="5">
        <f t="shared" ref="G295:G303" si="132">IF(
 ISNUMBER(MATCH("*PG13*",F295,0)),
 "PG13",
 IF(
  ISNUMBER(MATCH("*PG16*",F295,0)),
  "PG16",
  IF(
   ISNUMBER(MATCH("*PG21*",F295,0)),
   "PG21",
   IF(
    ISNUMBER(MATCH("*PG29*",F295,0)),
    "PG29",
    IF(
     ISNUMBER(MATCH("*PG36*",F295,0)),
     "PG36",
     0
    )
   )
  )
 )
)</f>
        <v>0</v>
      </c>
      <c r="H295" s="5" t="str">
        <f t="shared" ref="H295:H303" si="133">IF(
 ISNUMBER(MATCH("*PG42*",F295,0)),
 "PG42",
 IF(
  ISNUMBER(MATCH("*PG48*",F295,0)),
  "PG48",
  IF(
   ISNUMBER(MATCH("*MG63*",F295,0)),
   "MG63",
   IF(
    ISNUMBER(MATCH("*У479*",F295,0)),
    "У479",
    IF(
     ISNUMBER(MATCH("*У480*",F295,0)),
     "У480",
     0
    )
   )
  )
 )
)</f>
        <v>PG42</v>
      </c>
      <c r="I295" s="126" t="str">
        <f t="shared" ref="I295:I303" si="134">A295&amp;" "&amp;D295</f>
        <v>ВВГНг 4x120</v>
      </c>
      <c r="J295" s="5" t="str">
        <f t="shared" ref="J295:J303" si="135">IF(G295=0,H295,G295)</f>
        <v>PG42</v>
      </c>
      <c r="K295" s="22"/>
    </row>
    <row r="296" spans="1:11" x14ac:dyDescent="0.2">
      <c r="A296" s="121" t="s">
        <v>159</v>
      </c>
      <c r="B296" s="121">
        <v>4</v>
      </c>
      <c r="C296" s="121">
        <v>120</v>
      </c>
      <c r="D296" s="121" t="str">
        <f t="shared" si="108"/>
        <v>4x120</v>
      </c>
      <c r="E296" s="121">
        <v>41</v>
      </c>
      <c r="F296" s="121" t="s">
        <v>190</v>
      </c>
      <c r="G296" s="5">
        <f t="shared" si="132"/>
        <v>0</v>
      </c>
      <c r="H296" s="5" t="str">
        <f t="shared" si="133"/>
        <v>PG48</v>
      </c>
      <c r="I296" s="126" t="str">
        <f t="shared" si="134"/>
        <v>ВВГнг-LS 4x120</v>
      </c>
      <c r="J296" s="5" t="str">
        <f t="shared" si="135"/>
        <v>PG48</v>
      </c>
      <c r="K296" s="22"/>
    </row>
    <row r="297" spans="1:11" x14ac:dyDescent="0.2">
      <c r="A297" s="121" t="s">
        <v>896</v>
      </c>
      <c r="B297" s="121">
        <v>4</v>
      </c>
      <c r="C297" s="121">
        <v>120</v>
      </c>
      <c r="D297" s="121" t="str">
        <f t="shared" si="108"/>
        <v>4x120</v>
      </c>
      <c r="E297" s="121">
        <v>42</v>
      </c>
      <c r="F297" s="121" t="s">
        <v>190</v>
      </c>
      <c r="G297" s="5">
        <f t="shared" si="132"/>
        <v>0</v>
      </c>
      <c r="H297" s="5" t="str">
        <f t="shared" si="133"/>
        <v>PG48</v>
      </c>
      <c r="I297" s="126" t="str">
        <f t="shared" si="134"/>
        <v>АВВГНг 4x120</v>
      </c>
      <c r="J297" s="5" t="str">
        <f t="shared" si="135"/>
        <v>PG48</v>
      </c>
      <c r="K297" s="22"/>
    </row>
    <row r="298" spans="1:11" x14ac:dyDescent="0.2">
      <c r="A298" s="121" t="s">
        <v>896</v>
      </c>
      <c r="B298" s="121">
        <v>4</v>
      </c>
      <c r="C298" s="121">
        <v>120</v>
      </c>
      <c r="D298" s="121" t="str">
        <f t="shared" si="108"/>
        <v>4x120</v>
      </c>
      <c r="E298" s="121">
        <v>42</v>
      </c>
      <c r="F298" s="121" t="s">
        <v>190</v>
      </c>
      <c r="G298" s="5">
        <f t="shared" si="132"/>
        <v>0</v>
      </c>
      <c r="H298" s="5" t="str">
        <f t="shared" si="133"/>
        <v>PG48</v>
      </c>
      <c r="I298" s="126" t="str">
        <f t="shared" si="134"/>
        <v>АВВГНг 4x120</v>
      </c>
      <c r="J298" s="5" t="str">
        <f t="shared" si="135"/>
        <v>PG48</v>
      </c>
      <c r="K298" s="22"/>
    </row>
    <row r="299" spans="1:11" x14ac:dyDescent="0.2">
      <c r="A299" s="121" t="s">
        <v>196</v>
      </c>
      <c r="B299" s="121">
        <v>4</v>
      </c>
      <c r="C299" s="121">
        <v>120</v>
      </c>
      <c r="D299" s="121" t="str">
        <f t="shared" si="108"/>
        <v>4x120</v>
      </c>
      <c r="E299" s="121">
        <v>42</v>
      </c>
      <c r="F299" s="121" t="s">
        <v>190</v>
      </c>
      <c r="G299" s="5">
        <f t="shared" si="132"/>
        <v>0</v>
      </c>
      <c r="H299" s="5" t="str">
        <f t="shared" si="133"/>
        <v>PG48</v>
      </c>
      <c r="I299" s="126" t="str">
        <f t="shared" si="134"/>
        <v>АВВГнг-LS 4x120</v>
      </c>
      <c r="J299" s="5" t="str">
        <f t="shared" si="135"/>
        <v>PG48</v>
      </c>
      <c r="K299" s="22"/>
    </row>
    <row r="300" spans="1:11" x14ac:dyDescent="0.2">
      <c r="A300" s="121" t="s">
        <v>196</v>
      </c>
      <c r="B300" s="121">
        <v>4</v>
      </c>
      <c r="C300" s="121">
        <v>120</v>
      </c>
      <c r="D300" s="121" t="str">
        <f t="shared" si="108"/>
        <v>4x120</v>
      </c>
      <c r="E300" s="121">
        <v>42</v>
      </c>
      <c r="F300" s="121" t="s">
        <v>190</v>
      </c>
      <c r="G300" s="5">
        <f t="shared" si="132"/>
        <v>0</v>
      </c>
      <c r="H300" s="5" t="str">
        <f t="shared" si="133"/>
        <v>PG48</v>
      </c>
      <c r="I300" s="126" t="str">
        <f t="shared" si="134"/>
        <v>АВВГнг-LS 4x120</v>
      </c>
      <c r="J300" s="5" t="str">
        <f t="shared" si="135"/>
        <v>PG48</v>
      </c>
      <c r="K300" s="22"/>
    </row>
    <row r="301" spans="1:11" x14ac:dyDescent="0.2">
      <c r="A301" s="121" t="s">
        <v>201</v>
      </c>
      <c r="B301" s="121">
        <v>4</v>
      </c>
      <c r="C301" s="121">
        <v>120</v>
      </c>
      <c r="D301" s="121" t="str">
        <f t="shared" si="108"/>
        <v>4x120</v>
      </c>
      <c r="E301" s="121">
        <v>42</v>
      </c>
      <c r="F301" s="121" t="s">
        <v>190</v>
      </c>
      <c r="G301" s="5">
        <f t="shared" si="132"/>
        <v>0</v>
      </c>
      <c r="H301" s="5" t="str">
        <f t="shared" si="133"/>
        <v>PG48</v>
      </c>
      <c r="I301" s="126" t="str">
        <f t="shared" si="134"/>
        <v>ВВГнг-FRLS 4x120</v>
      </c>
      <c r="J301" s="5" t="str">
        <f t="shared" si="135"/>
        <v>PG48</v>
      </c>
      <c r="K301" s="22"/>
    </row>
    <row r="302" spans="1:11" x14ac:dyDescent="0.2">
      <c r="A302" s="121" t="s">
        <v>902</v>
      </c>
      <c r="B302" s="121">
        <v>4</v>
      </c>
      <c r="C302" s="121">
        <v>120</v>
      </c>
      <c r="D302" s="121" t="str">
        <f t="shared" si="108"/>
        <v>4x120</v>
      </c>
      <c r="E302" s="121">
        <v>56.3</v>
      </c>
      <c r="F302" s="121" t="s">
        <v>911</v>
      </c>
      <c r="G302" s="5">
        <f t="shared" si="132"/>
        <v>0</v>
      </c>
      <c r="H302" s="5" t="str">
        <f t="shared" si="133"/>
        <v>У480</v>
      </c>
      <c r="I302" s="126" t="str">
        <f t="shared" si="134"/>
        <v>КГРУнг(А)-HF 4x120</v>
      </c>
      <c r="J302" s="5" t="str">
        <f t="shared" si="135"/>
        <v>У480</v>
      </c>
      <c r="K302" s="22"/>
    </row>
    <row r="303" spans="1:11" x14ac:dyDescent="0.2">
      <c r="A303" s="121" t="s">
        <v>209</v>
      </c>
      <c r="B303" s="121">
        <v>4</v>
      </c>
      <c r="C303" s="121">
        <v>120</v>
      </c>
      <c r="D303" s="121" t="str">
        <f t="shared" si="108"/>
        <v>4x120</v>
      </c>
      <c r="E303" s="121">
        <v>62</v>
      </c>
      <c r="F303" s="121" t="s">
        <v>911</v>
      </c>
      <c r="G303" s="5">
        <f t="shared" si="132"/>
        <v>0</v>
      </c>
      <c r="H303" s="5" t="str">
        <f t="shared" si="133"/>
        <v>У480</v>
      </c>
      <c r="I303" s="126" t="str">
        <f t="shared" si="134"/>
        <v>КГН 4x120</v>
      </c>
      <c r="J303" s="5" t="str">
        <f t="shared" si="135"/>
        <v>У480</v>
      </c>
      <c r="K303" s="22"/>
    </row>
    <row r="304" spans="1:11" x14ac:dyDescent="0.2">
      <c r="A304" s="121" t="s">
        <v>30</v>
      </c>
      <c r="B304" s="121">
        <v>4</v>
      </c>
      <c r="C304" s="121">
        <v>150</v>
      </c>
      <c r="D304" s="121" t="str">
        <f t="shared" si="108"/>
        <v>4x150</v>
      </c>
      <c r="E304" s="121">
        <v>0</v>
      </c>
      <c r="F304" s="296" t="str">
        <f t="shared" ref="F304" si="136">F305</f>
        <v>18153419  САЛЬНИК PG48, ДИАМЕТР ПРОВОДНИКА 36...44 ММ ТУ 3449-110-18461115-03</v>
      </c>
      <c r="G304" s="1087">
        <f t="shared" ref="G304" si="137">G305</f>
        <v>0</v>
      </c>
      <c r="H304" s="1087" t="str">
        <f t="shared" ref="H304" si="138">IF(
 ISNUMBER(MATCH("*PG42*",F304,0)),
 "PG42",
 IF(
  ISNUMBER(MATCH("*PG48*",F304,0)),
  "PG48",
  IF(
   ISNUMBER(MATCH("*MG63*",F304,0)),
   "MG63",
   IF(
    ISNUMBER(MATCH("*У479*",F304,0)),
    "У479",
    IF(
     ISNUMBER(MATCH("*У480*",F304,0)),
     "У480",
     0
    )
   )
  )
 )
)</f>
        <v>PG48</v>
      </c>
      <c r="I304" s="543" t="str">
        <f t="shared" ref="I304" si="139">A304&amp;" "&amp;D304</f>
        <v>- 4x150</v>
      </c>
      <c r="J304" s="1087" t="str">
        <f t="shared" ref="J304" si="140">J305</f>
        <v>PG48</v>
      </c>
      <c r="K304" s="22"/>
    </row>
    <row r="305" spans="1:11" x14ac:dyDescent="0.2">
      <c r="A305" s="121" t="s">
        <v>896</v>
      </c>
      <c r="B305" s="121">
        <v>4</v>
      </c>
      <c r="C305" s="121">
        <v>150</v>
      </c>
      <c r="D305" s="121" t="str">
        <f t="shared" si="108"/>
        <v>4x150</v>
      </c>
      <c r="E305" s="121">
        <v>40.5</v>
      </c>
      <c r="F305" s="121" t="s">
        <v>190</v>
      </c>
      <c r="G305" s="5">
        <f t="shared" ref="G305:G310" si="141">IF(
 ISNUMBER(MATCH("*PG13*",F305,0)),
 "PG13",
 IF(
  ISNUMBER(MATCH("*PG16*",F305,0)),
  "PG16",
  IF(
   ISNUMBER(MATCH("*PG21*",F305,0)),
   "PG21",
   IF(
    ISNUMBER(MATCH("*PG29*",F305,0)),
    "PG29",
    IF(
     ISNUMBER(MATCH("*PG36*",F305,0)),
     "PG36",
     0
    )
   )
  )
 )
)</f>
        <v>0</v>
      </c>
      <c r="H305" s="5" t="str">
        <f t="shared" ref="H305:H310" si="142">IF(
 ISNUMBER(MATCH("*PG42*",F305,0)),
 "PG42",
 IF(
  ISNUMBER(MATCH("*PG48*",F305,0)),
  "PG48",
  IF(
   ISNUMBER(MATCH("*MG63*",F305,0)),
   "MG63",
   IF(
    ISNUMBER(MATCH("*У479*",F305,0)),
    "У479",
    IF(
     ISNUMBER(MATCH("*У480*",F305,0)),
     "У480",
     0
    )
   )
  )
 )
)</f>
        <v>PG48</v>
      </c>
      <c r="I305" s="126" t="str">
        <f t="shared" ref="I305:I310" si="143">A305&amp;" "&amp;D305</f>
        <v>АВВГНг 4x150</v>
      </c>
      <c r="J305" s="5" t="str">
        <f t="shared" ref="J305:J310" si="144">IF(G305=0,H305,G305)</f>
        <v>PG48</v>
      </c>
      <c r="K305" s="22"/>
    </row>
    <row r="306" spans="1:11" x14ac:dyDescent="0.2">
      <c r="A306" s="121" t="s">
        <v>159</v>
      </c>
      <c r="B306" s="121">
        <v>4</v>
      </c>
      <c r="C306" s="121">
        <v>150</v>
      </c>
      <c r="D306" s="121" t="str">
        <f t="shared" si="108"/>
        <v>4x150</v>
      </c>
      <c r="E306" s="121">
        <v>41.2</v>
      </c>
      <c r="F306" s="121" t="s">
        <v>190</v>
      </c>
      <c r="G306" s="5">
        <f t="shared" si="141"/>
        <v>0</v>
      </c>
      <c r="H306" s="5" t="str">
        <f t="shared" si="142"/>
        <v>PG48</v>
      </c>
      <c r="I306" s="126" t="str">
        <f t="shared" si="143"/>
        <v>ВВГнг-LS 4x150</v>
      </c>
      <c r="J306" s="5" t="str">
        <f t="shared" si="144"/>
        <v>PG48</v>
      </c>
      <c r="K306" s="22"/>
    </row>
    <row r="307" spans="1:11" x14ac:dyDescent="0.2">
      <c r="A307" s="121" t="s">
        <v>898</v>
      </c>
      <c r="B307" s="121">
        <v>4</v>
      </c>
      <c r="C307" s="121">
        <v>150</v>
      </c>
      <c r="D307" s="121" t="str">
        <f t="shared" si="108"/>
        <v>4x150</v>
      </c>
      <c r="E307" s="121">
        <v>43.19</v>
      </c>
      <c r="F307" s="121" t="s">
        <v>190</v>
      </c>
      <c r="G307" s="5">
        <f t="shared" si="141"/>
        <v>0</v>
      </c>
      <c r="H307" s="5" t="str">
        <f t="shared" si="142"/>
        <v>PG48</v>
      </c>
      <c r="I307" s="126" t="str">
        <f t="shared" si="143"/>
        <v>ВВГНг 4x150</v>
      </c>
      <c r="J307" s="5" t="str">
        <f t="shared" si="144"/>
        <v>PG48</v>
      </c>
      <c r="K307" s="22"/>
    </row>
    <row r="308" spans="1:11" x14ac:dyDescent="0.2">
      <c r="A308" s="121" t="s">
        <v>896</v>
      </c>
      <c r="B308" s="121">
        <v>4</v>
      </c>
      <c r="C308" s="121">
        <v>150</v>
      </c>
      <c r="D308" s="121" t="str">
        <f t="shared" si="108"/>
        <v>4x150</v>
      </c>
      <c r="E308" s="121">
        <v>43.6</v>
      </c>
      <c r="F308" s="121" t="s">
        <v>190</v>
      </c>
      <c r="G308" s="5">
        <f t="shared" si="141"/>
        <v>0</v>
      </c>
      <c r="H308" s="5" t="str">
        <f t="shared" si="142"/>
        <v>PG48</v>
      </c>
      <c r="I308" s="126" t="str">
        <f t="shared" si="143"/>
        <v>АВВГНг 4x150</v>
      </c>
      <c r="J308" s="5" t="str">
        <f t="shared" si="144"/>
        <v>PG48</v>
      </c>
      <c r="K308" s="22"/>
    </row>
    <row r="309" spans="1:11" x14ac:dyDescent="0.2">
      <c r="A309" s="121" t="s">
        <v>196</v>
      </c>
      <c r="B309" s="121">
        <v>4</v>
      </c>
      <c r="C309" s="121">
        <v>150</v>
      </c>
      <c r="D309" s="121" t="str">
        <f t="shared" si="108"/>
        <v>4x150</v>
      </c>
      <c r="E309" s="121">
        <v>45.6</v>
      </c>
      <c r="F309" s="121" t="s">
        <v>215</v>
      </c>
      <c r="G309" s="5">
        <f t="shared" si="141"/>
        <v>0</v>
      </c>
      <c r="H309" s="5" t="str">
        <f t="shared" si="142"/>
        <v>MG63</v>
      </c>
      <c r="I309" s="126" t="str">
        <f t="shared" si="143"/>
        <v>АВВГнг-LS 4x150</v>
      </c>
      <c r="J309" s="5" t="str">
        <f t="shared" si="144"/>
        <v>MG63</v>
      </c>
      <c r="K309" s="22"/>
    </row>
    <row r="310" spans="1:11" x14ac:dyDescent="0.2">
      <c r="A310" s="121" t="s">
        <v>201</v>
      </c>
      <c r="B310" s="121">
        <v>4</v>
      </c>
      <c r="C310" s="121">
        <v>150</v>
      </c>
      <c r="D310" s="121" t="str">
        <f t="shared" si="108"/>
        <v>4x150</v>
      </c>
      <c r="E310" s="121">
        <v>46.4</v>
      </c>
      <c r="F310" s="121" t="s">
        <v>215</v>
      </c>
      <c r="G310" s="5">
        <f t="shared" si="141"/>
        <v>0</v>
      </c>
      <c r="H310" s="5" t="str">
        <f t="shared" si="142"/>
        <v>MG63</v>
      </c>
      <c r="I310" s="126" t="str">
        <f t="shared" si="143"/>
        <v>ВВГнг-FRLS 4x150</v>
      </c>
      <c r="J310" s="5" t="str">
        <f t="shared" si="144"/>
        <v>MG63</v>
      </c>
      <c r="K310" s="22"/>
    </row>
    <row r="311" spans="1:11" x14ac:dyDescent="0.2">
      <c r="A311" s="121" t="s">
        <v>30</v>
      </c>
      <c r="B311" s="121">
        <v>4</v>
      </c>
      <c r="C311" s="121">
        <v>185</v>
      </c>
      <c r="D311" s="121" t="str">
        <f t="shared" si="108"/>
        <v>4x185</v>
      </c>
      <c r="E311" s="121">
        <v>0</v>
      </c>
      <c r="F311" s="296" t="str">
        <f t="shared" ref="F311" si="145">F312</f>
        <v>18153408  U070603009 САЛЬНИК MG63, ДИАМЕТР ПРОВОДНИКА 44...54 ММ ТУ 3449-110-18461115-03</v>
      </c>
      <c r="G311" s="1087">
        <f t="shared" ref="G311" si="146">G312</f>
        <v>0</v>
      </c>
      <c r="H311" s="1087" t="str">
        <f t="shared" ref="H311" si="147">IF(
 ISNUMBER(MATCH("*PG42*",F311,0)),
 "PG42",
 IF(
  ISNUMBER(MATCH("*PG48*",F311,0)),
  "PG48",
  IF(
   ISNUMBER(MATCH("*MG63*",F311,0)),
   "MG63",
   IF(
    ISNUMBER(MATCH("*У479*",F311,0)),
    "У479",
    IF(
     ISNUMBER(MATCH("*У480*",F311,0)),
     "У480",
     0
    )
   )
  )
 )
)</f>
        <v>MG63</v>
      </c>
      <c r="I311" s="543" t="str">
        <f t="shared" ref="I311" si="148">A311&amp;" "&amp;D311</f>
        <v>- 4x185</v>
      </c>
      <c r="J311" s="1087" t="str">
        <f t="shared" ref="J311" si="149">J312</f>
        <v>MG63</v>
      </c>
      <c r="K311" s="22"/>
    </row>
    <row r="312" spans="1:11" x14ac:dyDescent="0.2">
      <c r="A312" s="121" t="s">
        <v>159</v>
      </c>
      <c r="B312" s="121">
        <v>4</v>
      </c>
      <c r="C312" s="121">
        <v>185</v>
      </c>
      <c r="D312" s="121" t="str">
        <f t="shared" si="108"/>
        <v>4x185</v>
      </c>
      <c r="E312" s="121">
        <v>45.5</v>
      </c>
      <c r="F312" s="121" t="s">
        <v>215</v>
      </c>
      <c r="G312" s="5">
        <f>IF(
 ISNUMBER(MATCH("*PG13*",F312,0)),
 "PG13",
 IF(
  ISNUMBER(MATCH("*PG16*",F312,0)),
  "PG16",
  IF(
   ISNUMBER(MATCH("*PG21*",F312,0)),
   "PG21",
   IF(
    ISNUMBER(MATCH("*PG29*",F312,0)),
    "PG29",
    IF(
     ISNUMBER(MATCH("*PG36*",F312,0)),
     "PG36",
     0
    )
   )
  )
 )
)</f>
        <v>0</v>
      </c>
      <c r="H312" s="5" t="str">
        <f>IF(
 ISNUMBER(MATCH("*PG42*",F312,0)),
 "PG42",
 IF(
  ISNUMBER(MATCH("*PG48*",F312,0)),
  "PG48",
  IF(
   ISNUMBER(MATCH("*MG63*",F312,0)),
   "MG63",
   IF(
    ISNUMBER(MATCH("*У479*",F312,0)),
    "У479",
    IF(
     ISNUMBER(MATCH("*У480*",F312,0)),
     "У480",
     0
    )
   )
  )
 )
)</f>
        <v>MG63</v>
      </c>
      <c r="I312" s="126" t="str">
        <f>A312&amp;" "&amp;D312</f>
        <v>ВВГнг-LS 4x185</v>
      </c>
      <c r="J312" s="5" t="str">
        <f>IF(G312=0,H312,G312)</f>
        <v>MG63</v>
      </c>
      <c r="K312" s="22"/>
    </row>
    <row r="313" spans="1:11" x14ac:dyDescent="0.2">
      <c r="A313" s="121" t="s">
        <v>196</v>
      </c>
      <c r="B313" s="121">
        <v>4</v>
      </c>
      <c r="C313" s="121">
        <v>185</v>
      </c>
      <c r="D313" s="121" t="str">
        <f t="shared" si="108"/>
        <v>4x185</v>
      </c>
      <c r="E313" s="121">
        <v>48.9</v>
      </c>
      <c r="F313" s="121" t="s">
        <v>215</v>
      </c>
      <c r="G313" s="5">
        <f>IF(
 ISNUMBER(MATCH("*PG13*",F313,0)),
 "PG13",
 IF(
  ISNUMBER(MATCH("*PG16*",F313,0)),
  "PG16",
  IF(
   ISNUMBER(MATCH("*PG21*",F313,0)),
   "PG21",
   IF(
    ISNUMBER(MATCH("*PG29*",F313,0)),
    "PG29",
    IF(
     ISNUMBER(MATCH("*PG36*",F313,0)),
     "PG36",
     0
    )
   )
  )
 )
)</f>
        <v>0</v>
      </c>
      <c r="H313" s="5" t="str">
        <f>IF(
 ISNUMBER(MATCH("*PG42*",F313,0)),
 "PG42",
 IF(
  ISNUMBER(MATCH("*PG48*",F313,0)),
  "PG48",
  IF(
   ISNUMBER(MATCH("*MG63*",F313,0)),
   "MG63",
   IF(
    ISNUMBER(MATCH("*У479*",F313,0)),
    "У479",
    IF(
     ISNUMBER(MATCH("*У480*",F313,0)),
     "У480",
     0
    )
   )
  )
 )
)</f>
        <v>MG63</v>
      </c>
      <c r="I313" s="126" t="str">
        <f>A313&amp;" "&amp;D313</f>
        <v>АВВГнг-LS 4x185</v>
      </c>
      <c r="J313" s="5" t="str">
        <f>IF(G313=0,H313,G313)</f>
        <v>MG63</v>
      </c>
      <c r="K313" s="22"/>
    </row>
    <row r="314" spans="1:11" x14ac:dyDescent="0.2">
      <c r="A314" s="121" t="s">
        <v>196</v>
      </c>
      <c r="B314" s="121">
        <v>4</v>
      </c>
      <c r="C314" s="121">
        <v>185</v>
      </c>
      <c r="D314" s="121" t="str">
        <f t="shared" si="108"/>
        <v>4x185</v>
      </c>
      <c r="E314" s="121">
        <v>48.9</v>
      </c>
      <c r="F314" s="121" t="s">
        <v>215</v>
      </c>
      <c r="G314" s="5">
        <f>IF(
 ISNUMBER(MATCH("*PG13*",F314,0)),
 "PG13",
 IF(
  ISNUMBER(MATCH("*PG16*",F314,0)),
  "PG16",
  IF(
   ISNUMBER(MATCH("*PG21*",F314,0)),
   "PG21",
   IF(
    ISNUMBER(MATCH("*PG29*",F314,0)),
    "PG29",
    IF(
     ISNUMBER(MATCH("*PG36*",F314,0)),
     "PG36",
     0
    )
   )
  )
 )
)</f>
        <v>0</v>
      </c>
      <c r="H314" s="5" t="str">
        <f>IF(
 ISNUMBER(MATCH("*PG42*",F314,0)),
 "PG42",
 IF(
  ISNUMBER(MATCH("*PG48*",F314,0)),
  "PG48",
  IF(
   ISNUMBER(MATCH("*MG63*",F314,0)),
   "MG63",
   IF(
    ISNUMBER(MATCH("*У479*",F314,0)),
    "У479",
    IF(
     ISNUMBER(MATCH("*У480*",F314,0)),
     "У480",
     0
    )
   )
  )
 )
)</f>
        <v>MG63</v>
      </c>
      <c r="I314" s="126" t="str">
        <f>A314&amp;" "&amp;D314</f>
        <v>АВВГнг-LS 4x185</v>
      </c>
      <c r="J314" s="5" t="str">
        <f>IF(G314=0,H314,G314)</f>
        <v>MG63</v>
      </c>
      <c r="K314" s="22"/>
    </row>
    <row r="315" spans="1:11" x14ac:dyDescent="0.2">
      <c r="A315" s="121" t="s">
        <v>909</v>
      </c>
      <c r="B315" s="121">
        <v>4</v>
      </c>
      <c r="C315" s="121">
        <v>185</v>
      </c>
      <c r="D315" s="121" t="str">
        <f t="shared" si="108"/>
        <v>4x185</v>
      </c>
      <c r="E315" s="121">
        <v>50</v>
      </c>
      <c r="F315" s="121" t="s">
        <v>215</v>
      </c>
      <c r="G315" s="5">
        <f>IF(
 ISNUMBER(MATCH("*PG13*",F315,0)),
 "PG13",
 IF(
  ISNUMBER(MATCH("*PG16*",F315,0)),
  "PG16",
  IF(
   ISNUMBER(MATCH("*PG21*",F315,0)),
   "PG21",
   IF(
    ISNUMBER(MATCH("*PG29*",F315,0)),
    "PG29",
    IF(
     ISNUMBER(MATCH("*PG36*",F315,0)),
     "PG36",
     0
    )
   )
  )
 )
)</f>
        <v>0</v>
      </c>
      <c r="H315" s="5" t="str">
        <f>IF(
 ISNUMBER(MATCH("*PG42*",F315,0)),
 "PG42",
 IF(
  ISNUMBER(MATCH("*PG48*",F315,0)),
  "PG48",
  IF(
   ISNUMBER(MATCH("*MG63*",F315,0)),
   "MG63",
   IF(
    ISNUMBER(MATCH("*У479*",F315,0)),
    "У479",
    IF(
     ISNUMBER(MATCH("*У480*",F315,0)),
     "У480",
     0
    )
   )
  )
 )
)</f>
        <v>MG63</v>
      </c>
      <c r="I315" s="126" t="str">
        <f>A315&amp;" "&amp;D315</f>
        <v>ПвПнг(А)-HF 4x185</v>
      </c>
      <c r="J315" s="5" t="str">
        <f>IF(G315=0,H315,G315)</f>
        <v>MG63</v>
      </c>
      <c r="K315" s="22"/>
    </row>
    <row r="316" spans="1:11" x14ac:dyDescent="0.2">
      <c r="A316" s="121" t="s">
        <v>30</v>
      </c>
      <c r="B316" s="121">
        <v>4</v>
      </c>
      <c r="C316" s="121">
        <v>200</v>
      </c>
      <c r="D316" s="121" t="str">
        <f t="shared" si="108"/>
        <v>4x200</v>
      </c>
      <c r="E316" s="121">
        <v>0</v>
      </c>
      <c r="F316" s="296" t="str">
        <f t="shared" ref="F316:F317" si="150">F317</f>
        <v>18153408  U070603009 САЛЬНИК MG63, ДИАМЕТР ПРОВОДНИКА 44...54 ММ ТУ 3449-110-18461115-03</v>
      </c>
      <c r="G316" s="1087">
        <f t="shared" ref="G316:G317" si="151">G317</f>
        <v>0</v>
      </c>
      <c r="H316" s="1087" t="str">
        <f t="shared" ref="H316:H317" si="152">IF(
 ISNUMBER(MATCH("*PG42*",F316,0)),
 "PG42",
 IF(
  ISNUMBER(MATCH("*PG48*",F316,0)),
  "PG48",
  IF(
   ISNUMBER(MATCH("*MG63*",F316,0)),
   "MG63",
   IF(
    ISNUMBER(MATCH("*У479*",F316,0)),
    "У479",
    IF(
     ISNUMBER(MATCH("*У480*",F316,0)),
     "У480",
     0
    )
   )
  )
 )
)</f>
        <v>MG63</v>
      </c>
      <c r="I316" s="543" t="str">
        <f t="shared" ref="I316:I317" si="153">A316&amp;" "&amp;D316</f>
        <v>- 4x200</v>
      </c>
      <c r="J316" s="1087" t="str">
        <f t="shared" ref="J316:J317" si="154">J317</f>
        <v>MG63</v>
      </c>
      <c r="K316" s="22"/>
    </row>
    <row r="317" spans="1:11" x14ac:dyDescent="0.2">
      <c r="A317" s="121" t="s">
        <v>30</v>
      </c>
      <c r="B317" s="121">
        <v>4</v>
      </c>
      <c r="C317" s="121">
        <v>240</v>
      </c>
      <c r="D317" s="121" t="str">
        <f t="shared" si="108"/>
        <v>4x240</v>
      </c>
      <c r="E317" s="121">
        <v>0</v>
      </c>
      <c r="F317" s="296" t="str">
        <f t="shared" si="150"/>
        <v>18153408  U070603009 САЛЬНИК MG63, ДИАМЕТР ПРОВОДНИКА 44...54 ММ ТУ 3449-110-18461115-03</v>
      </c>
      <c r="G317" s="1087">
        <f t="shared" si="151"/>
        <v>0</v>
      </c>
      <c r="H317" s="1087" t="str">
        <f t="shared" si="152"/>
        <v>MG63</v>
      </c>
      <c r="I317" s="543" t="str">
        <f t="shared" si="153"/>
        <v>- 4x240</v>
      </c>
      <c r="J317" s="1087" t="str">
        <f t="shared" si="154"/>
        <v>MG63</v>
      </c>
      <c r="K317" s="22"/>
    </row>
    <row r="318" spans="1:11" x14ac:dyDescent="0.2">
      <c r="A318" s="121" t="s">
        <v>159</v>
      </c>
      <c r="B318" s="121">
        <v>4</v>
      </c>
      <c r="C318" s="121">
        <v>240</v>
      </c>
      <c r="D318" s="121" t="str">
        <f t="shared" si="108"/>
        <v>4x240</v>
      </c>
      <c r="E318" s="121">
        <v>51.2</v>
      </c>
      <c r="F318" s="121" t="s">
        <v>215</v>
      </c>
      <c r="G318" s="5">
        <f>IF(
 ISNUMBER(MATCH("*PG13*",F318,0)),
 "PG13",
 IF(
  ISNUMBER(MATCH("*PG16*",F318,0)),
  "PG16",
  IF(
   ISNUMBER(MATCH("*PG21*",F318,0)),
   "PG21",
   IF(
    ISNUMBER(MATCH("*PG29*",F318,0)),
    "PG29",
    IF(
     ISNUMBER(MATCH("*PG36*",F318,0)),
     "PG36",
     0
    )
   )
  )
 )
)</f>
        <v>0</v>
      </c>
      <c r="H318" s="5" t="str">
        <f>IF(
 ISNUMBER(MATCH("*PG42*",F318,0)),
 "PG42",
 IF(
  ISNUMBER(MATCH("*PG48*",F318,0)),
  "PG48",
  IF(
   ISNUMBER(MATCH("*MG63*",F318,0)),
   "MG63",
   IF(
    ISNUMBER(MATCH("*У479*",F318,0)),
    "У479",
    IF(
     ISNUMBER(MATCH("*У480*",F318,0)),
     "У480",
     0
    )
   )
  )
 )
)</f>
        <v>MG63</v>
      </c>
      <c r="I318" s="126" t="str">
        <f>A318&amp;" "&amp;D318</f>
        <v>ВВГнг-LS 4x240</v>
      </c>
      <c r="J318" s="5" t="str">
        <f>IF(G318=0,H318,G318)</f>
        <v>MG63</v>
      </c>
      <c r="K318" s="22"/>
    </row>
    <row r="319" spans="1:11" x14ac:dyDescent="0.2">
      <c r="A319" s="121" t="s">
        <v>30</v>
      </c>
      <c r="B319" s="121">
        <v>5</v>
      </c>
      <c r="C319" s="121">
        <v>0.5</v>
      </c>
      <c r="D319" s="121" t="str">
        <f t="shared" si="108"/>
        <v>5x0,5</v>
      </c>
      <c r="E319" s="121">
        <v>0</v>
      </c>
      <c r="F319" s="296" t="str">
        <f t="shared" ref="F319:F321" si="155">F320</f>
        <v>18153413  САЛЬНИК PG13.5, ДИАМЕТР ПРОВОДНИКА 7...11 ММ ТУ 3449-110-18461115-03</v>
      </c>
      <c r="G319" s="1087" t="str">
        <f t="shared" ref="G319:G321" si="156">G320</f>
        <v>PG13</v>
      </c>
      <c r="H319" s="1087">
        <f t="shared" ref="H319:H321" si="157">IF(
 ISNUMBER(MATCH("*PG42*",F319,0)),
 "PG42",
 IF(
  ISNUMBER(MATCH("*PG48*",F319,0)),
  "PG48",
  IF(
   ISNUMBER(MATCH("*MG63*",F319,0)),
   "MG63",
   IF(
    ISNUMBER(MATCH("*У479*",F319,0)),
    "У479",
    IF(
     ISNUMBER(MATCH("*У480*",F319,0)),
     "У480",
     0
    )
   )
  )
 )
)</f>
        <v>0</v>
      </c>
      <c r="I319" s="543" t="str">
        <f t="shared" ref="I319:I321" si="158">A319&amp;" "&amp;D319</f>
        <v>- 5x0,5</v>
      </c>
      <c r="J319" s="1087" t="str">
        <f t="shared" ref="J319:J321" si="159">J320</f>
        <v>PG13</v>
      </c>
      <c r="K319" s="22"/>
    </row>
    <row r="320" spans="1:11" x14ac:dyDescent="0.2">
      <c r="A320" s="121" t="s">
        <v>30</v>
      </c>
      <c r="B320" s="121">
        <v>5</v>
      </c>
      <c r="C320" s="121">
        <v>0.8</v>
      </c>
      <c r="D320" s="121" t="str">
        <f t="shared" si="108"/>
        <v>5x0,8</v>
      </c>
      <c r="E320" s="121">
        <v>0</v>
      </c>
      <c r="F320" s="296" t="str">
        <f t="shared" si="155"/>
        <v>18153413  САЛЬНИК PG13.5, ДИАМЕТР ПРОВОДНИКА 7...11 ММ ТУ 3449-110-18461115-03</v>
      </c>
      <c r="G320" s="1087" t="str">
        <f t="shared" si="156"/>
        <v>PG13</v>
      </c>
      <c r="H320" s="1087">
        <f t="shared" si="157"/>
        <v>0</v>
      </c>
      <c r="I320" s="543" t="str">
        <f t="shared" si="158"/>
        <v>- 5x0,8</v>
      </c>
      <c r="J320" s="1087" t="str">
        <f t="shared" si="159"/>
        <v>PG13</v>
      </c>
      <c r="K320" s="22"/>
    </row>
    <row r="321" spans="1:11" x14ac:dyDescent="0.2">
      <c r="A321" s="121" t="s">
        <v>30</v>
      </c>
      <c r="B321" s="121">
        <v>5</v>
      </c>
      <c r="C321" s="121">
        <v>1</v>
      </c>
      <c r="D321" s="121" t="str">
        <f t="shared" si="108"/>
        <v>5x1</v>
      </c>
      <c r="E321" s="121">
        <v>0</v>
      </c>
      <c r="F321" s="296" t="str">
        <f t="shared" si="155"/>
        <v>18153413  САЛЬНИК PG13.5, ДИАМЕТР ПРОВОДНИКА 7...11 ММ ТУ 3449-110-18461115-03</v>
      </c>
      <c r="G321" s="1087" t="str">
        <f t="shared" si="156"/>
        <v>PG13</v>
      </c>
      <c r="H321" s="1087">
        <f t="shared" si="157"/>
        <v>0</v>
      </c>
      <c r="I321" s="543" t="str">
        <f t="shared" si="158"/>
        <v>- 5x1</v>
      </c>
      <c r="J321" s="1087" t="str">
        <f t="shared" si="159"/>
        <v>PG13</v>
      </c>
      <c r="K321" s="22"/>
    </row>
    <row r="322" spans="1:11" x14ac:dyDescent="0.2">
      <c r="A322" s="121" t="s">
        <v>205</v>
      </c>
      <c r="B322" s="121">
        <v>5</v>
      </c>
      <c r="C322" s="121">
        <v>1</v>
      </c>
      <c r="D322" s="121" t="str">
        <f t="shared" si="108"/>
        <v>5x1</v>
      </c>
      <c r="E322" s="121">
        <v>9.3000000000000007</v>
      </c>
      <c r="F322" s="121" t="s">
        <v>197</v>
      </c>
      <c r="G322" s="5" t="str">
        <f>IF(
 ISNUMBER(MATCH("*PG13*",F322,0)),
 "PG13",
 IF(
  ISNUMBER(MATCH("*PG16*",F322,0)),
  "PG16",
  IF(
   ISNUMBER(MATCH("*PG21*",F322,0)),
   "PG21",
   IF(
    ISNUMBER(MATCH("*PG29*",F322,0)),
    "PG29",
    IF(
     ISNUMBER(MATCH("*PG36*",F322,0)),
     "PG36",
     0
    )
   )
  )
 )
)</f>
        <v>PG13</v>
      </c>
      <c r="H322" s="5">
        <f>IF(
 ISNUMBER(MATCH("*PG42*",F322,0)),
 "PG42",
 IF(
  ISNUMBER(MATCH("*PG48*",F322,0)),
  "PG48",
  IF(
   ISNUMBER(MATCH("*MG63*",F322,0)),
   "MG63",
   IF(
    ISNUMBER(MATCH("*У479*",F322,0)),
    "У479",
    IF(
     ISNUMBER(MATCH("*У480*",F322,0)),
     "У480",
     0
    )
   )
  )
 )
)</f>
        <v>0</v>
      </c>
      <c r="I322" s="126" t="str">
        <f>A322&amp;" "&amp;D322</f>
        <v>КВВГнг-LS 5x1</v>
      </c>
      <c r="J322" s="5" t="str">
        <f>IF(G322=0,H322,G322)</f>
        <v>PG13</v>
      </c>
      <c r="K322" s="22"/>
    </row>
    <row r="323" spans="1:11" x14ac:dyDescent="0.2">
      <c r="A323" s="121" t="s">
        <v>30</v>
      </c>
      <c r="B323" s="121">
        <v>5</v>
      </c>
      <c r="C323" s="121">
        <v>1.5</v>
      </c>
      <c r="D323" s="121" t="str">
        <f t="shared" ref="D323:D386" si="160">B323&amp;"x"&amp;C323</f>
        <v>5x1,5</v>
      </c>
      <c r="E323" s="121">
        <v>0</v>
      </c>
      <c r="F323" s="296" t="str">
        <f t="shared" ref="F323" si="161">F324</f>
        <v>18153413  САЛЬНИК PG13.5, ДИАМЕТР ПРОВОДНИКА 7...11 ММ ТУ 3449-110-18461115-03</v>
      </c>
      <c r="G323" s="1087" t="str">
        <f t="shared" ref="G323" si="162">G324</f>
        <v>PG13</v>
      </c>
      <c r="H323" s="1087">
        <f t="shared" ref="H323" si="163">IF(
 ISNUMBER(MATCH("*PG42*",F323,0)),
 "PG42",
 IF(
  ISNUMBER(MATCH("*PG48*",F323,0)),
  "PG48",
  IF(
   ISNUMBER(MATCH("*MG63*",F323,0)),
   "MG63",
   IF(
    ISNUMBER(MATCH("*У479*",F323,0)),
    "У479",
    IF(
     ISNUMBER(MATCH("*У480*",F323,0)),
     "У480",
     0
    )
   )
  )
 )
)</f>
        <v>0</v>
      </c>
      <c r="I323" s="543" t="str">
        <f t="shared" ref="I323" si="164">A323&amp;" "&amp;D323</f>
        <v>- 5x1,5</v>
      </c>
      <c r="J323" s="1087" t="str">
        <f t="shared" ref="J323" si="165">J324</f>
        <v>PG13</v>
      </c>
      <c r="K323" s="22"/>
    </row>
    <row r="324" spans="1:11" x14ac:dyDescent="0.2">
      <c r="A324" s="121" t="s">
        <v>901</v>
      </c>
      <c r="B324" s="121">
        <v>5</v>
      </c>
      <c r="C324" s="121">
        <v>1.5</v>
      </c>
      <c r="D324" s="121" t="str">
        <f t="shared" si="160"/>
        <v>5x1,5</v>
      </c>
      <c r="E324" s="121">
        <v>10</v>
      </c>
      <c r="F324" s="121" t="s">
        <v>197</v>
      </c>
      <c r="G324" s="5" t="str">
        <f t="shared" ref="G324:G335" si="166">IF(
 ISNUMBER(MATCH("*PG13*",F324,0)),
 "PG13",
 IF(
  ISNUMBER(MATCH("*PG16*",F324,0)),
  "PG16",
  IF(
   ISNUMBER(MATCH("*PG21*",F324,0)),
   "PG21",
   IF(
    ISNUMBER(MATCH("*PG29*",F324,0)),
    "PG29",
    IF(
     ISNUMBER(MATCH("*PG36*",F324,0)),
     "PG36",
     0
    )
   )
  )
 )
)</f>
        <v>PG13</v>
      </c>
      <c r="H324" s="5">
        <f t="shared" ref="H324:H335" si="167">IF(
 ISNUMBER(MATCH("*PG42*",F324,0)),
 "PG42",
 IF(
  ISNUMBER(MATCH("*PG48*",F324,0)),
  "PG48",
  IF(
   ISNUMBER(MATCH("*MG63*",F324,0)),
   "MG63",
   IF(
    ISNUMBER(MATCH("*У479*",F324,0)),
    "У479",
    IF(
     ISNUMBER(MATCH("*У480*",F324,0)),
     "У480",
     0
    )
   )
  )
 )
)</f>
        <v>0</v>
      </c>
      <c r="I324" s="126" t="str">
        <f t="shared" ref="I324:I335" si="168">A324&amp;" "&amp;D324</f>
        <v>КВВГНг 5x1,5</v>
      </c>
      <c r="J324" s="5" t="str">
        <f t="shared" ref="J324:J335" si="169">IF(G324=0,H324,G324)</f>
        <v>PG13</v>
      </c>
      <c r="K324" s="22"/>
    </row>
    <row r="325" spans="1:11" x14ac:dyDescent="0.2">
      <c r="A325" s="121" t="s">
        <v>205</v>
      </c>
      <c r="B325" s="121">
        <v>5</v>
      </c>
      <c r="C325" s="121">
        <v>1.5</v>
      </c>
      <c r="D325" s="121" t="str">
        <f t="shared" si="160"/>
        <v>5x1,5</v>
      </c>
      <c r="E325" s="121">
        <v>10</v>
      </c>
      <c r="F325" s="121" t="s">
        <v>197</v>
      </c>
      <c r="G325" s="5" t="str">
        <f t="shared" si="166"/>
        <v>PG13</v>
      </c>
      <c r="H325" s="5">
        <f t="shared" si="167"/>
        <v>0</v>
      </c>
      <c r="I325" s="126" t="str">
        <f t="shared" si="168"/>
        <v>КВВГнг-LS 5x1,5</v>
      </c>
      <c r="J325" s="5" t="str">
        <f t="shared" si="169"/>
        <v>PG13</v>
      </c>
      <c r="K325" s="22"/>
    </row>
    <row r="326" spans="1:11" x14ac:dyDescent="0.2">
      <c r="A326" s="121" t="s">
        <v>898</v>
      </c>
      <c r="B326" s="121">
        <v>5</v>
      </c>
      <c r="C326" s="121">
        <v>1.5</v>
      </c>
      <c r="D326" s="121" t="str">
        <f t="shared" si="160"/>
        <v>5x1,5</v>
      </c>
      <c r="E326" s="121">
        <v>10.7</v>
      </c>
      <c r="F326" s="121" t="s">
        <v>197</v>
      </c>
      <c r="G326" s="5" t="str">
        <f t="shared" si="166"/>
        <v>PG13</v>
      </c>
      <c r="H326" s="5">
        <f t="shared" si="167"/>
        <v>0</v>
      </c>
      <c r="I326" s="126" t="str">
        <f t="shared" si="168"/>
        <v>ВВГНг 5x1,5</v>
      </c>
      <c r="J326" s="5" t="str">
        <f t="shared" si="169"/>
        <v>PG13</v>
      </c>
      <c r="K326" s="22"/>
    </row>
    <row r="327" spans="1:11" x14ac:dyDescent="0.2">
      <c r="A327" s="121" t="s">
        <v>196</v>
      </c>
      <c r="B327" s="121">
        <v>5</v>
      </c>
      <c r="C327" s="121">
        <v>1.5</v>
      </c>
      <c r="D327" s="121" t="str">
        <f t="shared" si="160"/>
        <v>5x1,5</v>
      </c>
      <c r="E327" s="121">
        <v>12</v>
      </c>
      <c r="F327" s="121" t="s">
        <v>195</v>
      </c>
      <c r="G327" s="5" t="str">
        <f t="shared" si="166"/>
        <v>PG16</v>
      </c>
      <c r="H327" s="5">
        <f t="shared" si="167"/>
        <v>0</v>
      </c>
      <c r="I327" s="126" t="str">
        <f t="shared" si="168"/>
        <v>АВВГнг-LS 5x1,5</v>
      </c>
      <c r="J327" s="5" t="str">
        <f t="shared" si="169"/>
        <v>PG16</v>
      </c>
      <c r="K327" s="22"/>
    </row>
    <row r="328" spans="1:11" x14ac:dyDescent="0.2">
      <c r="A328" s="121" t="s">
        <v>204</v>
      </c>
      <c r="B328" s="121">
        <v>5</v>
      </c>
      <c r="C328" s="121">
        <v>1.5</v>
      </c>
      <c r="D328" s="121" t="str">
        <f t="shared" si="160"/>
        <v>5x1,5</v>
      </c>
      <c r="E328" s="121">
        <v>12</v>
      </c>
      <c r="F328" s="121" t="s">
        <v>195</v>
      </c>
      <c r="G328" s="5" t="str">
        <f t="shared" si="166"/>
        <v>PG16</v>
      </c>
      <c r="H328" s="5">
        <f t="shared" si="167"/>
        <v>0</v>
      </c>
      <c r="I328" s="126" t="str">
        <f t="shared" si="168"/>
        <v>КВВГнг-FRLS 5x1,5</v>
      </c>
      <c r="J328" s="5" t="str">
        <f t="shared" si="169"/>
        <v>PG16</v>
      </c>
      <c r="K328" s="22"/>
    </row>
    <row r="329" spans="1:11" x14ac:dyDescent="0.2">
      <c r="A329" s="121" t="s">
        <v>208</v>
      </c>
      <c r="B329" s="121">
        <v>5</v>
      </c>
      <c r="C329" s="121">
        <v>1.5</v>
      </c>
      <c r="D329" s="121" t="str">
        <f t="shared" si="160"/>
        <v>5x1,5</v>
      </c>
      <c r="E329" s="121">
        <v>12.2</v>
      </c>
      <c r="F329" s="121" t="s">
        <v>195</v>
      </c>
      <c r="G329" s="5" t="str">
        <f t="shared" si="166"/>
        <v>PG16</v>
      </c>
      <c r="H329" s="5">
        <f t="shared" si="167"/>
        <v>0</v>
      </c>
      <c r="I329" s="126" t="str">
        <f t="shared" si="168"/>
        <v>КГВВнг 5x1,5</v>
      </c>
      <c r="J329" s="5" t="str">
        <f t="shared" si="169"/>
        <v>PG16</v>
      </c>
      <c r="K329" s="22"/>
    </row>
    <row r="330" spans="1:11" x14ac:dyDescent="0.2">
      <c r="A330" s="121" t="s">
        <v>207</v>
      </c>
      <c r="B330" s="121">
        <v>5</v>
      </c>
      <c r="C330" s="121">
        <v>1.5</v>
      </c>
      <c r="D330" s="121" t="str">
        <f t="shared" si="160"/>
        <v>5x1,5</v>
      </c>
      <c r="E330" s="121">
        <v>12.3</v>
      </c>
      <c r="F330" s="121" t="s">
        <v>195</v>
      </c>
      <c r="G330" s="5" t="str">
        <f t="shared" si="166"/>
        <v>PG16</v>
      </c>
      <c r="H330" s="5">
        <f t="shared" si="167"/>
        <v>0</v>
      </c>
      <c r="I330" s="126" t="str">
        <f t="shared" si="168"/>
        <v>КВВГЭнг-LS 5x1,5</v>
      </c>
      <c r="J330" s="5" t="str">
        <f t="shared" si="169"/>
        <v>PG16</v>
      </c>
      <c r="K330" s="22"/>
    </row>
    <row r="331" spans="1:11" x14ac:dyDescent="0.2">
      <c r="A331" s="121" t="s">
        <v>159</v>
      </c>
      <c r="B331" s="121">
        <v>5</v>
      </c>
      <c r="C331" s="121">
        <v>1.5</v>
      </c>
      <c r="D331" s="121" t="str">
        <f t="shared" si="160"/>
        <v>5x1,5</v>
      </c>
      <c r="E331" s="121">
        <v>12.4</v>
      </c>
      <c r="F331" s="121" t="s">
        <v>195</v>
      </c>
      <c r="G331" s="5" t="str">
        <f t="shared" si="166"/>
        <v>PG16</v>
      </c>
      <c r="H331" s="5">
        <f t="shared" si="167"/>
        <v>0</v>
      </c>
      <c r="I331" s="126" t="str">
        <f t="shared" si="168"/>
        <v>ВВГнг-LS 5x1,5</v>
      </c>
      <c r="J331" s="5" t="str">
        <f t="shared" si="169"/>
        <v>PG16</v>
      </c>
      <c r="K331" s="22"/>
    </row>
    <row r="332" spans="1:11" x14ac:dyDescent="0.2">
      <c r="A332" s="121" t="s">
        <v>203</v>
      </c>
      <c r="B332" s="121">
        <v>5</v>
      </c>
      <c r="C332" s="121">
        <v>1.5</v>
      </c>
      <c r="D332" s="121" t="str">
        <f t="shared" si="160"/>
        <v>5x1,5</v>
      </c>
      <c r="E332" s="121">
        <v>13.8</v>
      </c>
      <c r="F332" s="121" t="s">
        <v>194</v>
      </c>
      <c r="G332" s="5" t="str">
        <f t="shared" si="166"/>
        <v>PG21</v>
      </c>
      <c r="H332" s="5">
        <f t="shared" si="167"/>
        <v>0</v>
      </c>
      <c r="I332" s="126" t="str">
        <f t="shared" si="168"/>
        <v>КВБбШвнг 5x1,5</v>
      </c>
      <c r="J332" s="5" t="str">
        <f t="shared" si="169"/>
        <v>PG21</v>
      </c>
      <c r="K332" s="22"/>
    </row>
    <row r="333" spans="1:11" x14ac:dyDescent="0.2">
      <c r="A333" s="121" t="s">
        <v>206</v>
      </c>
      <c r="B333" s="121">
        <v>5</v>
      </c>
      <c r="C333" s="121">
        <v>1.5</v>
      </c>
      <c r="D333" s="121" t="str">
        <f t="shared" si="160"/>
        <v>5x1,5</v>
      </c>
      <c r="E333" s="121">
        <v>13.8</v>
      </c>
      <c r="F333" s="121" t="s">
        <v>194</v>
      </c>
      <c r="G333" s="5" t="str">
        <f t="shared" si="166"/>
        <v>PG21</v>
      </c>
      <c r="H333" s="5">
        <f t="shared" si="167"/>
        <v>0</v>
      </c>
      <c r="I333" s="126" t="str">
        <f t="shared" si="168"/>
        <v>КВВГЭнг-FRLS 5x1,5</v>
      </c>
      <c r="J333" s="5" t="str">
        <f t="shared" si="169"/>
        <v>PG21</v>
      </c>
      <c r="K333" s="22"/>
    </row>
    <row r="334" spans="1:11" x14ac:dyDescent="0.2">
      <c r="A334" s="121" t="s">
        <v>201</v>
      </c>
      <c r="B334" s="121">
        <v>5</v>
      </c>
      <c r="C334" s="121">
        <v>1.5</v>
      </c>
      <c r="D334" s="121" t="str">
        <f t="shared" si="160"/>
        <v>5x1,5</v>
      </c>
      <c r="E334" s="121">
        <v>16.100000000000001</v>
      </c>
      <c r="F334" s="121" t="s">
        <v>194</v>
      </c>
      <c r="G334" s="5" t="str">
        <f t="shared" si="166"/>
        <v>PG21</v>
      </c>
      <c r="H334" s="5">
        <f t="shared" si="167"/>
        <v>0</v>
      </c>
      <c r="I334" s="126" t="str">
        <f t="shared" si="168"/>
        <v>ВВГнг-FRLS 5x1,5</v>
      </c>
      <c r="J334" s="5" t="str">
        <f t="shared" si="169"/>
        <v>PG21</v>
      </c>
      <c r="K334" s="22"/>
    </row>
    <row r="335" spans="1:11" x14ac:dyDescent="0.2">
      <c r="A335" s="121" t="s">
        <v>211</v>
      </c>
      <c r="B335" s="121">
        <v>5</v>
      </c>
      <c r="C335" s="121">
        <v>1.5</v>
      </c>
      <c r="D335" s="121" t="str">
        <f t="shared" si="160"/>
        <v>5x1,5</v>
      </c>
      <c r="E335" s="121">
        <v>16.100000000000001</v>
      </c>
      <c r="F335" s="121" t="s">
        <v>194</v>
      </c>
      <c r="G335" s="5" t="str">
        <f t="shared" si="166"/>
        <v>PG21</v>
      </c>
      <c r="H335" s="5">
        <f t="shared" si="167"/>
        <v>0</v>
      </c>
      <c r="I335" s="126" t="str">
        <f t="shared" si="168"/>
        <v>КНР 5x1,5</v>
      </c>
      <c r="J335" s="5" t="str">
        <f t="shared" si="169"/>
        <v>PG21</v>
      </c>
      <c r="K335" s="22"/>
    </row>
    <row r="336" spans="1:11" x14ac:dyDescent="0.2">
      <c r="A336" s="121" t="s">
        <v>30</v>
      </c>
      <c r="B336" s="121">
        <v>5</v>
      </c>
      <c r="C336" s="121">
        <v>2.5</v>
      </c>
      <c r="D336" s="121" t="str">
        <f t="shared" si="160"/>
        <v>5x2,5</v>
      </c>
      <c r="E336" s="121">
        <v>0</v>
      </c>
      <c r="F336" s="296" t="str">
        <f t="shared" ref="F336" si="170">F337</f>
        <v>18153414  САЛЬНИК PG16, ДИАМЕТР ПРОВОДНИКА 9...13 ММ ТУ 3449-110-18461115-03</v>
      </c>
      <c r="G336" s="1087" t="str">
        <f t="shared" ref="G336" si="171">G337</f>
        <v>PG16</v>
      </c>
      <c r="H336" s="1087">
        <f t="shared" ref="H336" si="172">IF(
 ISNUMBER(MATCH("*PG42*",F336,0)),
 "PG42",
 IF(
  ISNUMBER(MATCH("*PG48*",F336,0)),
  "PG48",
  IF(
   ISNUMBER(MATCH("*MG63*",F336,0)),
   "MG63",
   IF(
    ISNUMBER(MATCH("*У479*",F336,0)),
    "У479",
    IF(
     ISNUMBER(MATCH("*У480*",F336,0)),
     "У480",
     0
    )
   )
  )
 )
)</f>
        <v>0</v>
      </c>
      <c r="I336" s="543" t="str">
        <f t="shared" ref="I336" si="173">A336&amp;" "&amp;D336</f>
        <v>- 5x2,5</v>
      </c>
      <c r="J336" s="1087" t="str">
        <f t="shared" ref="J336" si="174">J337</f>
        <v>PG16</v>
      </c>
      <c r="K336" s="22"/>
    </row>
    <row r="337" spans="1:11" x14ac:dyDescent="0.2">
      <c r="A337" s="121" t="s">
        <v>898</v>
      </c>
      <c r="B337" s="121">
        <v>5</v>
      </c>
      <c r="C337" s="121">
        <v>2.5</v>
      </c>
      <c r="D337" s="121" t="str">
        <f t="shared" si="160"/>
        <v>5x2,5</v>
      </c>
      <c r="E337" s="121">
        <v>11.8</v>
      </c>
      <c r="F337" s="121" t="s">
        <v>195</v>
      </c>
      <c r="G337" s="5" t="str">
        <f t="shared" ref="G337:G344" si="175">IF(
 ISNUMBER(MATCH("*PG13*",F337,0)),
 "PG13",
 IF(
  ISNUMBER(MATCH("*PG16*",F337,0)),
  "PG16",
  IF(
   ISNUMBER(MATCH("*PG21*",F337,0)),
   "PG21",
   IF(
    ISNUMBER(MATCH("*PG29*",F337,0)),
    "PG29",
    IF(
     ISNUMBER(MATCH("*PG36*",F337,0)),
     "PG36",
     0
    )
   )
  )
 )
)</f>
        <v>PG16</v>
      </c>
      <c r="H337" s="5">
        <f t="shared" ref="H337:H344" si="176">IF(
 ISNUMBER(MATCH("*PG42*",F337,0)),
 "PG42",
 IF(
  ISNUMBER(MATCH("*PG48*",F337,0)),
  "PG48",
  IF(
   ISNUMBER(MATCH("*MG63*",F337,0)),
   "MG63",
   IF(
    ISNUMBER(MATCH("*У479*",F337,0)),
    "У479",
    IF(
     ISNUMBER(MATCH("*У480*",F337,0)),
     "У480",
     0
    )
   )
  )
 )
)</f>
        <v>0</v>
      </c>
      <c r="I337" s="126" t="str">
        <f t="shared" ref="I337:I344" si="177">A337&amp;" "&amp;D337</f>
        <v>ВВГНг 5x2,5</v>
      </c>
      <c r="J337" s="5" t="str">
        <f t="shared" ref="J337:J344" si="178">IF(G337=0,H337,G337)</f>
        <v>PG16</v>
      </c>
      <c r="K337" s="22"/>
    </row>
    <row r="338" spans="1:11" x14ac:dyDescent="0.2">
      <c r="A338" s="121" t="s">
        <v>205</v>
      </c>
      <c r="B338" s="121">
        <v>5</v>
      </c>
      <c r="C338" s="121">
        <v>2.5</v>
      </c>
      <c r="D338" s="121" t="str">
        <f t="shared" si="160"/>
        <v>5x2,5</v>
      </c>
      <c r="E338" s="121">
        <v>11.9</v>
      </c>
      <c r="F338" s="121" t="s">
        <v>195</v>
      </c>
      <c r="G338" s="5" t="str">
        <f t="shared" si="175"/>
        <v>PG16</v>
      </c>
      <c r="H338" s="5">
        <f t="shared" si="176"/>
        <v>0</v>
      </c>
      <c r="I338" s="126" t="str">
        <f t="shared" si="177"/>
        <v>КВВГнг-LS 5x2,5</v>
      </c>
      <c r="J338" s="5" t="str">
        <f t="shared" si="178"/>
        <v>PG16</v>
      </c>
      <c r="K338" s="22"/>
    </row>
    <row r="339" spans="1:11" x14ac:dyDescent="0.2">
      <c r="A339" s="121" t="s">
        <v>207</v>
      </c>
      <c r="B339" s="121">
        <v>5</v>
      </c>
      <c r="C339" s="121">
        <v>2.5</v>
      </c>
      <c r="D339" s="121" t="str">
        <f t="shared" si="160"/>
        <v>5x2,5</v>
      </c>
      <c r="E339" s="121">
        <v>12.8</v>
      </c>
      <c r="F339" s="121" t="s">
        <v>195</v>
      </c>
      <c r="G339" s="5" t="str">
        <f t="shared" si="175"/>
        <v>PG16</v>
      </c>
      <c r="H339" s="5">
        <f t="shared" si="176"/>
        <v>0</v>
      </c>
      <c r="I339" s="126" t="str">
        <f t="shared" si="177"/>
        <v>КВВГЭнг-LS 5x2,5</v>
      </c>
      <c r="J339" s="5" t="str">
        <f t="shared" si="178"/>
        <v>PG16</v>
      </c>
      <c r="K339" s="22"/>
    </row>
    <row r="340" spans="1:11" x14ac:dyDescent="0.2">
      <c r="A340" s="121" t="s">
        <v>204</v>
      </c>
      <c r="B340" s="121">
        <v>5</v>
      </c>
      <c r="C340" s="121">
        <v>2.5</v>
      </c>
      <c r="D340" s="121" t="str">
        <f t="shared" si="160"/>
        <v>5x2,5</v>
      </c>
      <c r="E340" s="121">
        <v>13.1</v>
      </c>
      <c r="F340" s="121" t="s">
        <v>194</v>
      </c>
      <c r="G340" s="5" t="str">
        <f t="shared" si="175"/>
        <v>PG21</v>
      </c>
      <c r="H340" s="5">
        <f t="shared" si="176"/>
        <v>0</v>
      </c>
      <c r="I340" s="126" t="str">
        <f t="shared" si="177"/>
        <v>КВВГнг-FRLS 5x2,5</v>
      </c>
      <c r="J340" s="5" t="str">
        <f t="shared" si="178"/>
        <v>PG21</v>
      </c>
      <c r="K340" s="22"/>
    </row>
    <row r="341" spans="1:11" x14ac:dyDescent="0.2">
      <c r="A341" s="121" t="s">
        <v>159</v>
      </c>
      <c r="B341" s="121">
        <v>5</v>
      </c>
      <c r="C341" s="121">
        <v>2.5</v>
      </c>
      <c r="D341" s="121" t="str">
        <f t="shared" si="160"/>
        <v>5x2,5</v>
      </c>
      <c r="E341" s="121">
        <v>13.4</v>
      </c>
      <c r="F341" s="121" t="s">
        <v>194</v>
      </c>
      <c r="G341" s="5" t="str">
        <f t="shared" si="175"/>
        <v>PG21</v>
      </c>
      <c r="H341" s="5">
        <f t="shared" si="176"/>
        <v>0</v>
      </c>
      <c r="I341" s="126" t="str">
        <f t="shared" si="177"/>
        <v>ВВГнг-LS 5x2,5</v>
      </c>
      <c r="J341" s="5" t="str">
        <f t="shared" si="178"/>
        <v>PG21</v>
      </c>
      <c r="K341" s="22"/>
    </row>
    <row r="342" spans="1:11" x14ac:dyDescent="0.2">
      <c r="A342" s="121" t="s">
        <v>909</v>
      </c>
      <c r="B342" s="121">
        <v>5</v>
      </c>
      <c r="C342" s="121">
        <v>2.5</v>
      </c>
      <c r="D342" s="121" t="str">
        <f t="shared" si="160"/>
        <v>5x2,5</v>
      </c>
      <c r="E342" s="121">
        <v>15.2</v>
      </c>
      <c r="F342" s="121" t="s">
        <v>194</v>
      </c>
      <c r="G342" s="5" t="str">
        <f t="shared" si="175"/>
        <v>PG21</v>
      </c>
      <c r="H342" s="5">
        <f t="shared" si="176"/>
        <v>0</v>
      </c>
      <c r="I342" s="126" t="str">
        <f t="shared" si="177"/>
        <v>ПвПнг(А)-HF 5x2,5</v>
      </c>
      <c r="J342" s="5" t="str">
        <f t="shared" si="178"/>
        <v>PG21</v>
      </c>
      <c r="K342" s="22"/>
    </row>
    <row r="343" spans="1:11" x14ac:dyDescent="0.2">
      <c r="A343" s="121" t="s">
        <v>200</v>
      </c>
      <c r="B343" s="121">
        <v>5</v>
      </c>
      <c r="C343" s="121">
        <v>2.5</v>
      </c>
      <c r="D343" s="121" t="str">
        <f t="shared" si="160"/>
        <v>5x2,5</v>
      </c>
      <c r="E343" s="121">
        <v>16.100000000000001</v>
      </c>
      <c r="F343" s="121" t="s">
        <v>194</v>
      </c>
      <c r="G343" s="5" t="str">
        <f t="shared" si="175"/>
        <v>PG21</v>
      </c>
      <c r="H343" s="5">
        <f t="shared" si="176"/>
        <v>0</v>
      </c>
      <c r="I343" s="126" t="str">
        <f t="shared" si="177"/>
        <v>ВБбШвнг 5x2,5</v>
      </c>
      <c r="J343" s="5" t="str">
        <f t="shared" si="178"/>
        <v>PG21</v>
      </c>
      <c r="K343" s="22"/>
    </row>
    <row r="344" spans="1:11" x14ac:dyDescent="0.2">
      <c r="A344" s="121" t="s">
        <v>201</v>
      </c>
      <c r="B344" s="121">
        <v>5</v>
      </c>
      <c r="C344" s="121">
        <v>2.5</v>
      </c>
      <c r="D344" s="121" t="str">
        <f t="shared" si="160"/>
        <v>5x2,5</v>
      </c>
      <c r="E344" s="121">
        <v>17.2</v>
      </c>
      <c r="F344" s="121" t="s">
        <v>194</v>
      </c>
      <c r="G344" s="5" t="str">
        <f t="shared" si="175"/>
        <v>PG21</v>
      </c>
      <c r="H344" s="5">
        <f t="shared" si="176"/>
        <v>0</v>
      </c>
      <c r="I344" s="126" t="str">
        <f t="shared" si="177"/>
        <v>ВВГнг-FRLS 5x2,5</v>
      </c>
      <c r="J344" s="5" t="str">
        <f t="shared" si="178"/>
        <v>PG21</v>
      </c>
      <c r="K344" s="22"/>
    </row>
    <row r="345" spans="1:11" x14ac:dyDescent="0.2">
      <c r="A345" s="121" t="s">
        <v>30</v>
      </c>
      <c r="B345" s="121">
        <v>5</v>
      </c>
      <c r="C345" s="121">
        <v>4</v>
      </c>
      <c r="D345" s="121" t="str">
        <f t="shared" si="160"/>
        <v>5x4</v>
      </c>
      <c r="E345" s="121">
        <v>0</v>
      </c>
      <c r="F345" s="296" t="str">
        <f t="shared" ref="F345" si="179">F346</f>
        <v>18153414  САЛЬНИК PG16, ДИАМЕТР ПРОВОДНИКА 9...13 ММ ТУ 3449-110-18461115-03</v>
      </c>
      <c r="G345" s="1087" t="str">
        <f t="shared" ref="G345" si="180">G346</f>
        <v>PG16</v>
      </c>
      <c r="H345" s="1087">
        <f t="shared" ref="H345" si="181">IF(
 ISNUMBER(MATCH("*PG42*",F345,0)),
 "PG42",
 IF(
  ISNUMBER(MATCH("*PG48*",F345,0)),
  "PG48",
  IF(
   ISNUMBER(MATCH("*MG63*",F345,0)),
   "MG63",
   IF(
    ISNUMBER(MATCH("*У479*",F345,0)),
    "У479",
    IF(
     ISNUMBER(MATCH("*У480*",F345,0)),
     "У480",
     0
    )
   )
  )
 )
)</f>
        <v>0</v>
      </c>
      <c r="I345" s="543" t="str">
        <f t="shared" ref="I345" si="182">A345&amp;" "&amp;D345</f>
        <v>- 5x4</v>
      </c>
      <c r="J345" s="1087" t="str">
        <f t="shared" ref="J345" si="183">J346</f>
        <v>PG16</v>
      </c>
      <c r="K345" s="22"/>
    </row>
    <row r="346" spans="1:11" x14ac:dyDescent="0.2">
      <c r="A346" s="121" t="s">
        <v>205</v>
      </c>
      <c r="B346" s="121">
        <v>5</v>
      </c>
      <c r="C346" s="121">
        <v>4</v>
      </c>
      <c r="D346" s="121" t="str">
        <f t="shared" si="160"/>
        <v>5x4</v>
      </c>
      <c r="E346" s="121">
        <v>12.8</v>
      </c>
      <c r="F346" s="121" t="s">
        <v>195</v>
      </c>
      <c r="G346" s="5" t="str">
        <f t="shared" ref="G346:G354" si="184">IF(
 ISNUMBER(MATCH("*PG13*",F346,0)),
 "PG13",
 IF(
  ISNUMBER(MATCH("*PG16*",F346,0)),
  "PG16",
  IF(
   ISNUMBER(MATCH("*PG21*",F346,0)),
   "PG21",
   IF(
    ISNUMBER(MATCH("*PG29*",F346,0)),
    "PG29",
    IF(
     ISNUMBER(MATCH("*PG36*",F346,0)),
     "PG36",
     0
    )
   )
  )
 )
)</f>
        <v>PG16</v>
      </c>
      <c r="H346" s="5">
        <f t="shared" ref="H346:H354" si="185">IF(
 ISNUMBER(MATCH("*PG42*",F346,0)),
 "PG42",
 IF(
  ISNUMBER(MATCH("*PG48*",F346,0)),
  "PG48",
  IF(
   ISNUMBER(MATCH("*MG63*",F346,0)),
   "MG63",
   IF(
    ISNUMBER(MATCH("*У479*",F346,0)),
    "У479",
    IF(
     ISNUMBER(MATCH("*У480*",F346,0)),
     "У480",
     0
    )
   )
  )
 )
)</f>
        <v>0</v>
      </c>
      <c r="I346" s="126" t="str">
        <f t="shared" ref="I346:I354" si="186">A346&amp;" "&amp;D346</f>
        <v>КВВГнг-LS 5x4</v>
      </c>
      <c r="J346" s="5" t="str">
        <f t="shared" ref="J346:J354" si="187">IF(G346=0,H346,G346)</f>
        <v>PG16</v>
      </c>
      <c r="K346" s="22"/>
    </row>
    <row r="347" spans="1:11" x14ac:dyDescent="0.2">
      <c r="A347" s="121" t="s">
        <v>196</v>
      </c>
      <c r="B347" s="121">
        <v>5</v>
      </c>
      <c r="C347" s="121">
        <v>4</v>
      </c>
      <c r="D347" s="121" t="str">
        <f t="shared" si="160"/>
        <v>5x4</v>
      </c>
      <c r="E347" s="121">
        <v>12.9</v>
      </c>
      <c r="F347" s="121" t="s">
        <v>195</v>
      </c>
      <c r="G347" s="5" t="str">
        <f t="shared" si="184"/>
        <v>PG16</v>
      </c>
      <c r="H347" s="5">
        <f t="shared" si="185"/>
        <v>0</v>
      </c>
      <c r="I347" s="126" t="str">
        <f t="shared" si="186"/>
        <v>АВВГнг-LS 5x4</v>
      </c>
      <c r="J347" s="5" t="str">
        <f t="shared" si="187"/>
        <v>PG16</v>
      </c>
      <c r="K347" s="22"/>
    </row>
    <row r="348" spans="1:11" x14ac:dyDescent="0.2">
      <c r="A348" s="121" t="s">
        <v>159</v>
      </c>
      <c r="B348" s="121">
        <v>5</v>
      </c>
      <c r="C348" s="121">
        <v>4</v>
      </c>
      <c r="D348" s="121" t="str">
        <f t="shared" si="160"/>
        <v>5x4</v>
      </c>
      <c r="E348" s="121">
        <v>15.3</v>
      </c>
      <c r="F348" s="121" t="s">
        <v>194</v>
      </c>
      <c r="G348" s="5" t="str">
        <f t="shared" si="184"/>
        <v>PG21</v>
      </c>
      <c r="H348" s="5">
        <f t="shared" si="185"/>
        <v>0</v>
      </c>
      <c r="I348" s="126" t="str">
        <f t="shared" si="186"/>
        <v>ВВГнг-LS 5x4</v>
      </c>
      <c r="J348" s="5" t="str">
        <f t="shared" si="187"/>
        <v>PG21</v>
      </c>
      <c r="K348" s="22"/>
    </row>
    <row r="349" spans="1:11" x14ac:dyDescent="0.2">
      <c r="A349" s="121" t="s">
        <v>213</v>
      </c>
      <c r="B349" s="121">
        <v>5</v>
      </c>
      <c r="C349" s="121">
        <v>4</v>
      </c>
      <c r="D349" s="121" t="str">
        <f t="shared" si="160"/>
        <v>5x4</v>
      </c>
      <c r="E349" s="121">
        <v>15.3</v>
      </c>
      <c r="F349" s="121" t="s">
        <v>194</v>
      </c>
      <c r="G349" s="5" t="str">
        <f t="shared" si="184"/>
        <v>PG21</v>
      </c>
      <c r="H349" s="5">
        <f t="shared" si="185"/>
        <v>0</v>
      </c>
      <c r="I349" s="126" t="str">
        <f t="shared" si="186"/>
        <v>ППГнг-НF 5x4</v>
      </c>
      <c r="J349" s="5" t="str">
        <f t="shared" si="187"/>
        <v>PG21</v>
      </c>
      <c r="K349" s="22"/>
    </row>
    <row r="350" spans="1:11" x14ac:dyDescent="0.2">
      <c r="A350" s="121" t="s">
        <v>909</v>
      </c>
      <c r="B350" s="121">
        <v>5</v>
      </c>
      <c r="C350" s="121">
        <v>4</v>
      </c>
      <c r="D350" s="121" t="str">
        <f t="shared" si="160"/>
        <v>5x4</v>
      </c>
      <c r="E350" s="121">
        <v>16.5</v>
      </c>
      <c r="F350" s="121" t="s">
        <v>194</v>
      </c>
      <c r="G350" s="5" t="str">
        <f t="shared" si="184"/>
        <v>PG21</v>
      </c>
      <c r="H350" s="5">
        <f t="shared" si="185"/>
        <v>0</v>
      </c>
      <c r="I350" s="126" t="str">
        <f t="shared" si="186"/>
        <v>ПвПнг(А)-HF 5x4</v>
      </c>
      <c r="J350" s="5" t="str">
        <f t="shared" si="187"/>
        <v>PG21</v>
      </c>
      <c r="K350" s="22"/>
    </row>
    <row r="351" spans="1:11" x14ac:dyDescent="0.2">
      <c r="A351" s="121" t="s">
        <v>898</v>
      </c>
      <c r="B351" s="121">
        <v>5</v>
      </c>
      <c r="C351" s="121">
        <v>4</v>
      </c>
      <c r="D351" s="121" t="str">
        <f t="shared" si="160"/>
        <v>5x4</v>
      </c>
      <c r="E351" s="121">
        <v>17</v>
      </c>
      <c r="F351" s="121" t="s">
        <v>194</v>
      </c>
      <c r="G351" s="5" t="str">
        <f t="shared" si="184"/>
        <v>PG21</v>
      </c>
      <c r="H351" s="5">
        <f t="shared" si="185"/>
        <v>0</v>
      </c>
      <c r="I351" s="126" t="str">
        <f t="shared" si="186"/>
        <v>ВВГНг 5x4</v>
      </c>
      <c r="J351" s="5" t="str">
        <f t="shared" si="187"/>
        <v>PG21</v>
      </c>
      <c r="K351" s="22"/>
    </row>
    <row r="352" spans="1:11" x14ac:dyDescent="0.2">
      <c r="A352" s="121" t="s">
        <v>200</v>
      </c>
      <c r="B352" s="121">
        <v>5</v>
      </c>
      <c r="C352" s="121">
        <v>4</v>
      </c>
      <c r="D352" s="121" t="str">
        <f t="shared" si="160"/>
        <v>5x4</v>
      </c>
      <c r="E352" s="121">
        <v>18.5</v>
      </c>
      <c r="F352" s="121" t="s">
        <v>193</v>
      </c>
      <c r="G352" s="5" t="str">
        <f t="shared" si="184"/>
        <v>PG29</v>
      </c>
      <c r="H352" s="5">
        <f t="shared" si="185"/>
        <v>0</v>
      </c>
      <c r="I352" s="126" t="str">
        <f t="shared" si="186"/>
        <v>ВБбШвнг 5x4</v>
      </c>
      <c r="J352" s="5" t="str">
        <f t="shared" si="187"/>
        <v>PG29</v>
      </c>
      <c r="K352" s="22"/>
    </row>
    <row r="353" spans="1:10" x14ac:dyDescent="0.2">
      <c r="A353" s="121" t="s">
        <v>201</v>
      </c>
      <c r="B353" s="121">
        <v>5</v>
      </c>
      <c r="C353" s="121">
        <v>4</v>
      </c>
      <c r="D353" s="121" t="str">
        <f t="shared" si="160"/>
        <v>5x4</v>
      </c>
      <c r="E353" s="121">
        <v>18.5</v>
      </c>
      <c r="F353" s="121" t="s">
        <v>193</v>
      </c>
      <c r="G353" s="5" t="str">
        <f t="shared" si="184"/>
        <v>PG29</v>
      </c>
      <c r="H353" s="5">
        <f t="shared" si="185"/>
        <v>0</v>
      </c>
      <c r="I353" s="126" t="str">
        <f t="shared" si="186"/>
        <v>ВВГнг-FRLS 5x4</v>
      </c>
      <c r="J353" s="5" t="str">
        <f t="shared" si="187"/>
        <v>PG29</v>
      </c>
    </row>
    <row r="354" spans="1:10" x14ac:dyDescent="0.2">
      <c r="A354" s="121" t="s">
        <v>908</v>
      </c>
      <c r="B354" s="121">
        <v>5</v>
      </c>
      <c r="C354" s="121">
        <v>4</v>
      </c>
      <c r="D354" s="121" t="str">
        <f t="shared" si="160"/>
        <v>5x4</v>
      </c>
      <c r="E354" s="121">
        <v>19.5</v>
      </c>
      <c r="F354" s="121" t="s">
        <v>193</v>
      </c>
      <c r="G354" s="5" t="str">
        <f t="shared" si="184"/>
        <v>PG29</v>
      </c>
      <c r="H354" s="5">
        <f t="shared" si="185"/>
        <v>0</v>
      </c>
      <c r="I354" s="126" t="str">
        <f t="shared" si="186"/>
        <v>ПвПнг(А)-FRHF 5x4</v>
      </c>
      <c r="J354" s="5" t="str">
        <f t="shared" si="187"/>
        <v>PG29</v>
      </c>
    </row>
    <row r="355" spans="1:10" x14ac:dyDescent="0.2">
      <c r="A355" s="121" t="s">
        <v>30</v>
      </c>
      <c r="B355" s="121">
        <v>5</v>
      </c>
      <c r="C355" s="121">
        <v>6</v>
      </c>
      <c r="D355" s="121" t="str">
        <f t="shared" si="160"/>
        <v>5x6</v>
      </c>
      <c r="E355" s="121">
        <v>0</v>
      </c>
      <c r="F355" s="296" t="str">
        <f t="shared" ref="F355" si="188">F356</f>
        <v>18153415  САЛЬНИК PG21, ДИАМЕТР ПРОВОДНИКА 15...18 ММ ТУ 3449-110-18461115-03</v>
      </c>
      <c r="G355" s="1087" t="str">
        <f t="shared" ref="G355" si="189">G356</f>
        <v>PG21</v>
      </c>
      <c r="H355" s="1087">
        <f t="shared" ref="H355" si="190">IF(
 ISNUMBER(MATCH("*PG42*",F355,0)),
 "PG42",
 IF(
  ISNUMBER(MATCH("*PG48*",F355,0)),
  "PG48",
  IF(
   ISNUMBER(MATCH("*MG63*",F355,0)),
   "MG63",
   IF(
    ISNUMBER(MATCH("*У479*",F355,0)),
    "У479",
    IF(
     ISNUMBER(MATCH("*У480*",F355,0)),
     "У480",
     0
    )
   )
  )
 )
)</f>
        <v>0</v>
      </c>
      <c r="I355" s="543" t="str">
        <f t="shared" ref="I355" si="191">A355&amp;" "&amp;D355</f>
        <v>- 5x6</v>
      </c>
      <c r="J355" s="1087" t="str">
        <f t="shared" ref="J355" si="192">J356</f>
        <v>PG21</v>
      </c>
    </row>
    <row r="356" spans="1:10" x14ac:dyDescent="0.2">
      <c r="A356" s="121" t="s">
        <v>898</v>
      </c>
      <c r="B356" s="121">
        <v>5</v>
      </c>
      <c r="C356" s="121">
        <v>6</v>
      </c>
      <c r="D356" s="121" t="str">
        <f t="shared" si="160"/>
        <v>5x6</v>
      </c>
      <c r="E356" s="121">
        <v>14.2</v>
      </c>
      <c r="F356" s="121" t="s">
        <v>194</v>
      </c>
      <c r="G356" s="5" t="str">
        <f t="shared" ref="G356:G363" si="193">IF(
 ISNUMBER(MATCH("*PG13*",F356,0)),
 "PG13",
 IF(
  ISNUMBER(MATCH("*PG16*",F356,0)),
  "PG16",
  IF(
   ISNUMBER(MATCH("*PG21*",F356,0)),
   "PG21",
   IF(
    ISNUMBER(MATCH("*PG29*",F356,0)),
    "PG29",
    IF(
     ISNUMBER(MATCH("*PG36*",F356,0)),
     "PG36",
     0
    )
   )
  )
 )
)</f>
        <v>PG21</v>
      </c>
      <c r="H356" s="5">
        <f t="shared" ref="H356:H363" si="194">IF(
 ISNUMBER(MATCH("*PG42*",F356,0)),
 "PG42",
 IF(
  ISNUMBER(MATCH("*PG48*",F356,0)),
  "PG48",
  IF(
   ISNUMBER(MATCH("*MG63*",F356,0)),
   "MG63",
   IF(
    ISNUMBER(MATCH("*У479*",F356,0)),
    "У479",
    IF(
     ISNUMBER(MATCH("*У480*",F356,0)),
     "У480",
     0
    )
   )
  )
 )
)</f>
        <v>0</v>
      </c>
      <c r="I356" s="126" t="str">
        <f t="shared" ref="I356:I363" si="195">A356&amp;" "&amp;D356</f>
        <v>ВВГНг 5x6</v>
      </c>
      <c r="J356" s="5" t="str">
        <f t="shared" ref="J356:J363" si="196">IF(G356=0,H356,G356)</f>
        <v>PG21</v>
      </c>
    </row>
    <row r="357" spans="1:10" x14ac:dyDescent="0.2">
      <c r="A357" s="121" t="s">
        <v>205</v>
      </c>
      <c r="B357" s="121">
        <v>5</v>
      </c>
      <c r="C357" s="121">
        <v>6</v>
      </c>
      <c r="D357" s="121" t="str">
        <f t="shared" si="160"/>
        <v>5x6</v>
      </c>
      <c r="E357" s="121">
        <v>14.2</v>
      </c>
      <c r="F357" s="121" t="s">
        <v>194</v>
      </c>
      <c r="G357" s="5" t="str">
        <f t="shared" si="193"/>
        <v>PG21</v>
      </c>
      <c r="H357" s="5">
        <f t="shared" si="194"/>
        <v>0</v>
      </c>
      <c r="I357" s="126" t="str">
        <f t="shared" si="195"/>
        <v>КВВГнг-LS 5x6</v>
      </c>
      <c r="J357" s="5" t="str">
        <f t="shared" si="196"/>
        <v>PG21</v>
      </c>
    </row>
    <row r="358" spans="1:10" x14ac:dyDescent="0.2">
      <c r="A358" s="121" t="s">
        <v>159</v>
      </c>
      <c r="B358" s="121">
        <v>5</v>
      </c>
      <c r="C358" s="121">
        <v>6</v>
      </c>
      <c r="D358" s="121" t="str">
        <f t="shared" si="160"/>
        <v>5x6</v>
      </c>
      <c r="E358" s="121">
        <v>16.600000000000001</v>
      </c>
      <c r="F358" s="121" t="s">
        <v>194</v>
      </c>
      <c r="G358" s="5" t="str">
        <f t="shared" si="193"/>
        <v>PG21</v>
      </c>
      <c r="H358" s="5">
        <f t="shared" si="194"/>
        <v>0</v>
      </c>
      <c r="I358" s="126" t="str">
        <f t="shared" si="195"/>
        <v>ВВГнг-LS 5x6</v>
      </c>
      <c r="J358" s="5" t="str">
        <f t="shared" si="196"/>
        <v>PG21</v>
      </c>
    </row>
    <row r="359" spans="1:10" x14ac:dyDescent="0.2">
      <c r="A359" s="121" t="s">
        <v>196</v>
      </c>
      <c r="B359" s="121">
        <v>5</v>
      </c>
      <c r="C359" s="121">
        <v>6</v>
      </c>
      <c r="D359" s="121" t="str">
        <f t="shared" si="160"/>
        <v>5x6</v>
      </c>
      <c r="E359" s="121">
        <v>17.3</v>
      </c>
      <c r="F359" s="121" t="s">
        <v>194</v>
      </c>
      <c r="G359" s="5" t="str">
        <f t="shared" si="193"/>
        <v>PG21</v>
      </c>
      <c r="H359" s="5">
        <f t="shared" si="194"/>
        <v>0</v>
      </c>
      <c r="I359" s="126" t="str">
        <f t="shared" si="195"/>
        <v>АВВГнг-LS 5x6</v>
      </c>
      <c r="J359" s="5" t="str">
        <f t="shared" si="196"/>
        <v>PG21</v>
      </c>
    </row>
    <row r="360" spans="1:10" x14ac:dyDescent="0.2">
      <c r="A360" s="121" t="s">
        <v>208</v>
      </c>
      <c r="B360" s="121">
        <v>5</v>
      </c>
      <c r="C360" s="121">
        <v>6</v>
      </c>
      <c r="D360" s="121" t="str">
        <f t="shared" si="160"/>
        <v>5x6</v>
      </c>
      <c r="E360" s="121">
        <v>17.3</v>
      </c>
      <c r="F360" s="121" t="s">
        <v>194</v>
      </c>
      <c r="G360" s="5" t="str">
        <f t="shared" si="193"/>
        <v>PG21</v>
      </c>
      <c r="H360" s="5">
        <f t="shared" si="194"/>
        <v>0</v>
      </c>
      <c r="I360" s="126" t="str">
        <f t="shared" si="195"/>
        <v>КГВВнг 5x6</v>
      </c>
      <c r="J360" s="5" t="str">
        <f t="shared" si="196"/>
        <v>PG21</v>
      </c>
    </row>
    <row r="361" spans="1:10" x14ac:dyDescent="0.2">
      <c r="A361" s="121" t="s">
        <v>909</v>
      </c>
      <c r="B361" s="121">
        <v>5</v>
      </c>
      <c r="C361" s="121">
        <v>6</v>
      </c>
      <c r="D361" s="121" t="str">
        <f t="shared" si="160"/>
        <v>5x6</v>
      </c>
      <c r="E361" s="121">
        <v>17.8</v>
      </c>
      <c r="F361" s="121" t="s">
        <v>194</v>
      </c>
      <c r="G361" s="5" t="str">
        <f t="shared" si="193"/>
        <v>PG21</v>
      </c>
      <c r="H361" s="5">
        <f t="shared" si="194"/>
        <v>0</v>
      </c>
      <c r="I361" s="126" t="str">
        <f t="shared" si="195"/>
        <v>ПвПнг(А)-HF 5x6</v>
      </c>
      <c r="J361" s="5" t="str">
        <f t="shared" si="196"/>
        <v>PG21</v>
      </c>
    </row>
    <row r="362" spans="1:10" x14ac:dyDescent="0.2">
      <c r="A362" s="121" t="s">
        <v>201</v>
      </c>
      <c r="B362" s="121">
        <v>5</v>
      </c>
      <c r="C362" s="121">
        <v>6</v>
      </c>
      <c r="D362" s="121" t="str">
        <f t="shared" si="160"/>
        <v>5x6</v>
      </c>
      <c r="E362" s="121">
        <v>19.899999999999999</v>
      </c>
      <c r="F362" s="121" t="s">
        <v>193</v>
      </c>
      <c r="G362" s="5" t="str">
        <f t="shared" si="193"/>
        <v>PG29</v>
      </c>
      <c r="H362" s="5">
        <f t="shared" si="194"/>
        <v>0</v>
      </c>
      <c r="I362" s="126" t="str">
        <f t="shared" si="195"/>
        <v>ВВГнг-FRLS 5x6</v>
      </c>
      <c r="J362" s="5" t="str">
        <f t="shared" si="196"/>
        <v>PG29</v>
      </c>
    </row>
    <row r="363" spans="1:10" x14ac:dyDescent="0.2">
      <c r="A363" s="121" t="s">
        <v>897</v>
      </c>
      <c r="B363" s="121">
        <v>5</v>
      </c>
      <c r="C363" s="121">
        <v>6</v>
      </c>
      <c r="D363" s="121" t="str">
        <f t="shared" si="160"/>
        <v>5x6</v>
      </c>
      <c r="E363" s="121">
        <v>21.8</v>
      </c>
      <c r="F363" s="121" t="s">
        <v>193</v>
      </c>
      <c r="G363" s="5" t="str">
        <f t="shared" si="193"/>
        <v>PG29</v>
      </c>
      <c r="H363" s="5">
        <f t="shared" si="194"/>
        <v>0</v>
      </c>
      <c r="I363" s="126" t="str">
        <f t="shared" si="195"/>
        <v>ВБШвнг(А)-LS 5x6</v>
      </c>
      <c r="J363" s="5" t="str">
        <f t="shared" si="196"/>
        <v>PG29</v>
      </c>
    </row>
    <row r="364" spans="1:10" x14ac:dyDescent="0.2">
      <c r="A364" s="121" t="s">
        <v>30</v>
      </c>
      <c r="B364" s="121">
        <v>5</v>
      </c>
      <c r="C364" s="121">
        <v>10</v>
      </c>
      <c r="D364" s="121" t="str">
        <f t="shared" si="160"/>
        <v>5x10</v>
      </c>
      <c r="E364" s="121">
        <v>0</v>
      </c>
      <c r="F364" s="296" t="str">
        <f t="shared" ref="F364" si="197">F365</f>
        <v>18153415  САЛЬНИК PG21, ДИАМЕТР ПРОВОДНИКА 15...18 ММ ТУ 3449-110-18461115-03</v>
      </c>
      <c r="G364" s="1087" t="str">
        <f t="shared" ref="G364" si="198">G365</f>
        <v>PG21</v>
      </c>
      <c r="H364" s="1087">
        <f t="shared" ref="H364" si="199">IF(
 ISNUMBER(MATCH("*PG42*",F364,0)),
 "PG42",
 IF(
  ISNUMBER(MATCH("*PG48*",F364,0)),
  "PG48",
  IF(
   ISNUMBER(MATCH("*MG63*",F364,0)),
   "MG63",
   IF(
    ISNUMBER(MATCH("*У479*",F364,0)),
    "У479",
    IF(
     ISNUMBER(MATCH("*У480*",F364,0)),
     "У480",
     0
    )
   )
  )
 )
)</f>
        <v>0</v>
      </c>
      <c r="I364" s="543" t="str">
        <f t="shared" ref="I364" si="200">A364&amp;" "&amp;D364</f>
        <v>- 5x10</v>
      </c>
      <c r="J364" s="1087" t="str">
        <f t="shared" ref="J364" si="201">J365</f>
        <v>PG21</v>
      </c>
    </row>
    <row r="365" spans="1:10" x14ac:dyDescent="0.2">
      <c r="A365" s="121" t="s">
        <v>898</v>
      </c>
      <c r="B365" s="121">
        <v>5</v>
      </c>
      <c r="C365" s="121">
        <v>10</v>
      </c>
      <c r="D365" s="121" t="str">
        <f t="shared" si="160"/>
        <v>5x10</v>
      </c>
      <c r="E365" s="121">
        <v>17.600000000000001</v>
      </c>
      <c r="F365" s="121" t="s">
        <v>194</v>
      </c>
      <c r="G365" s="5" t="str">
        <f t="shared" ref="G365:G372" si="202">IF(
 ISNUMBER(MATCH("*PG13*",F365,0)),
 "PG13",
 IF(
  ISNUMBER(MATCH("*PG16*",F365,0)),
  "PG16",
  IF(
   ISNUMBER(MATCH("*PG21*",F365,0)),
   "PG21",
   IF(
    ISNUMBER(MATCH("*PG29*",F365,0)),
    "PG29",
    IF(
     ISNUMBER(MATCH("*PG36*",F365,0)),
     "PG36",
     0
    )
   )
  )
 )
)</f>
        <v>PG21</v>
      </c>
      <c r="H365" s="5">
        <f t="shared" ref="H365:H372" si="203">IF(
 ISNUMBER(MATCH("*PG42*",F365,0)),
 "PG42",
 IF(
  ISNUMBER(MATCH("*PG48*",F365,0)),
  "PG48",
  IF(
   ISNUMBER(MATCH("*MG63*",F365,0)),
   "MG63",
   IF(
    ISNUMBER(MATCH("*У479*",F365,0)),
    "У479",
    IF(
     ISNUMBER(MATCH("*У480*",F365,0)),
     "У480",
     0
    )
   )
  )
 )
)</f>
        <v>0</v>
      </c>
      <c r="I365" s="126" t="str">
        <f t="shared" ref="I365:I372" si="204">A365&amp;" "&amp;D365</f>
        <v>ВВГНг 5x10</v>
      </c>
      <c r="J365" s="5" t="str">
        <f t="shared" ref="J365:J372" si="205">IF(G365=0,H365,G365)</f>
        <v>PG21</v>
      </c>
    </row>
    <row r="366" spans="1:10" x14ac:dyDescent="0.2">
      <c r="A366" s="121" t="s">
        <v>196</v>
      </c>
      <c r="B366" s="121">
        <v>5</v>
      </c>
      <c r="C366" s="121">
        <v>10</v>
      </c>
      <c r="D366" s="121" t="str">
        <f t="shared" si="160"/>
        <v>5x10</v>
      </c>
      <c r="E366" s="121">
        <v>18.399999999999999</v>
      </c>
      <c r="F366" s="121" t="s">
        <v>193</v>
      </c>
      <c r="G366" s="5" t="str">
        <f t="shared" si="202"/>
        <v>PG29</v>
      </c>
      <c r="H366" s="5">
        <f t="shared" si="203"/>
        <v>0</v>
      </c>
      <c r="I366" s="126" t="str">
        <f t="shared" si="204"/>
        <v>АВВГнг-LS 5x10</v>
      </c>
      <c r="J366" s="5" t="str">
        <f t="shared" si="205"/>
        <v>PG29</v>
      </c>
    </row>
    <row r="367" spans="1:10" x14ac:dyDescent="0.2">
      <c r="A367" s="121" t="s">
        <v>896</v>
      </c>
      <c r="B367" s="121">
        <v>5</v>
      </c>
      <c r="C367" s="121">
        <v>10</v>
      </c>
      <c r="D367" s="121" t="str">
        <f t="shared" si="160"/>
        <v>5x10</v>
      </c>
      <c r="E367" s="121">
        <v>19.399999999999999</v>
      </c>
      <c r="F367" s="121" t="s">
        <v>193</v>
      </c>
      <c r="G367" s="5" t="str">
        <f t="shared" si="202"/>
        <v>PG29</v>
      </c>
      <c r="H367" s="5">
        <f t="shared" si="203"/>
        <v>0</v>
      </c>
      <c r="I367" s="126" t="str">
        <f t="shared" si="204"/>
        <v>АВВГНг 5x10</v>
      </c>
      <c r="J367" s="5" t="str">
        <f t="shared" si="205"/>
        <v>PG29</v>
      </c>
    </row>
    <row r="368" spans="1:10" x14ac:dyDescent="0.2">
      <c r="A368" s="935" t="s">
        <v>159</v>
      </c>
      <c r="B368" s="121">
        <v>5</v>
      </c>
      <c r="C368" s="121">
        <v>10</v>
      </c>
      <c r="D368" s="121" t="str">
        <f t="shared" si="160"/>
        <v>5x10</v>
      </c>
      <c r="E368" s="936">
        <v>19.899999999999999</v>
      </c>
      <c r="F368" s="121" t="s">
        <v>193</v>
      </c>
      <c r="G368" s="937" t="str">
        <f t="shared" si="202"/>
        <v>PG29</v>
      </c>
      <c r="H368" s="5">
        <f t="shared" si="203"/>
        <v>0</v>
      </c>
      <c r="I368" s="39" t="str">
        <f t="shared" si="204"/>
        <v>ВВГнг-LS 5x10</v>
      </c>
      <c r="J368" s="938" t="str">
        <f t="shared" si="205"/>
        <v>PG29</v>
      </c>
    </row>
    <row r="369" spans="1:11" x14ac:dyDescent="0.2">
      <c r="A369" s="296" t="s">
        <v>725</v>
      </c>
      <c r="B369" s="296">
        <v>5</v>
      </c>
      <c r="C369" s="296">
        <v>10</v>
      </c>
      <c r="D369" s="296" t="str">
        <f t="shared" si="160"/>
        <v>5x10</v>
      </c>
      <c r="E369" s="296">
        <v>20.3</v>
      </c>
      <c r="F369" s="296" t="s">
        <v>193</v>
      </c>
      <c r="G369" s="1087" t="str">
        <f t="shared" si="202"/>
        <v>PG29</v>
      </c>
      <c r="H369" s="1087">
        <f t="shared" si="203"/>
        <v>0</v>
      </c>
      <c r="I369" s="543" t="str">
        <f t="shared" si="204"/>
        <v>ВВГнг(A)-LS 5x10</v>
      </c>
      <c r="J369" s="1087" t="str">
        <f t="shared" si="205"/>
        <v>PG29</v>
      </c>
    </row>
    <row r="370" spans="1:11" x14ac:dyDescent="0.2">
      <c r="A370" s="121" t="s">
        <v>200</v>
      </c>
      <c r="B370" s="121">
        <v>5</v>
      </c>
      <c r="C370" s="121">
        <v>10</v>
      </c>
      <c r="D370" s="121" t="str">
        <f t="shared" si="160"/>
        <v>5x10</v>
      </c>
      <c r="E370" s="121">
        <v>22</v>
      </c>
      <c r="F370" s="121" t="s">
        <v>193</v>
      </c>
      <c r="G370" s="5" t="str">
        <f t="shared" si="202"/>
        <v>PG29</v>
      </c>
      <c r="H370" s="5">
        <f t="shared" si="203"/>
        <v>0</v>
      </c>
      <c r="I370" s="126" t="str">
        <f t="shared" si="204"/>
        <v>ВБбШвнг 5x10</v>
      </c>
      <c r="J370" s="5" t="str">
        <f t="shared" si="205"/>
        <v>PG29</v>
      </c>
    </row>
    <row r="371" spans="1:11" x14ac:dyDescent="0.2">
      <c r="A371" s="121" t="s">
        <v>201</v>
      </c>
      <c r="B371" s="121">
        <v>5</v>
      </c>
      <c r="C371" s="121">
        <v>10</v>
      </c>
      <c r="D371" s="121" t="str">
        <f t="shared" si="160"/>
        <v>5x10</v>
      </c>
      <c r="E371" s="121">
        <v>22</v>
      </c>
      <c r="F371" s="121" t="s">
        <v>193</v>
      </c>
      <c r="G371" s="5" t="str">
        <f t="shared" si="202"/>
        <v>PG29</v>
      </c>
      <c r="H371" s="5">
        <f t="shared" si="203"/>
        <v>0</v>
      </c>
      <c r="I371" s="126" t="str">
        <f t="shared" si="204"/>
        <v>ВВГнг-FRLS 5x10</v>
      </c>
      <c r="J371" s="5" t="str">
        <f t="shared" si="205"/>
        <v>PG29</v>
      </c>
    </row>
    <row r="372" spans="1:11" x14ac:dyDescent="0.2">
      <c r="A372" s="121" t="s">
        <v>908</v>
      </c>
      <c r="B372" s="121">
        <v>5</v>
      </c>
      <c r="C372" s="121">
        <v>10</v>
      </c>
      <c r="D372" s="121" t="str">
        <f t="shared" si="160"/>
        <v>5x10</v>
      </c>
      <c r="E372" s="121">
        <v>23.4</v>
      </c>
      <c r="F372" s="121" t="s">
        <v>193</v>
      </c>
      <c r="G372" s="5" t="str">
        <f t="shared" si="202"/>
        <v>PG29</v>
      </c>
      <c r="H372" s="5">
        <f t="shared" si="203"/>
        <v>0</v>
      </c>
      <c r="I372" s="126" t="str">
        <f t="shared" si="204"/>
        <v>ПвПнг(А)-FRHF 5x10</v>
      </c>
      <c r="J372" s="5" t="str">
        <f t="shared" si="205"/>
        <v>PG29</v>
      </c>
      <c r="K372" s="22"/>
    </row>
    <row r="373" spans="1:11" x14ac:dyDescent="0.2">
      <c r="A373" s="121" t="s">
        <v>30</v>
      </c>
      <c r="B373" s="121">
        <v>5</v>
      </c>
      <c r="C373" s="121">
        <v>16</v>
      </c>
      <c r="D373" s="121" t="str">
        <f t="shared" si="160"/>
        <v>5x16</v>
      </c>
      <c r="E373" s="121">
        <v>0</v>
      </c>
      <c r="F373" s="296" t="str">
        <f t="shared" ref="F373" si="206">F374</f>
        <v>18153416  САЛЬНИК PG29, ДИАМЕТР ПРОВОДНИКА 18...24 ММ ТУ 3449-110-18461115-03</v>
      </c>
      <c r="G373" s="1087" t="str">
        <f t="shared" ref="G373" si="207">G374</f>
        <v>PG29</v>
      </c>
      <c r="H373" s="1087">
        <f t="shared" ref="H373" si="208">IF(
 ISNUMBER(MATCH("*PG42*",F373,0)),
 "PG42",
 IF(
  ISNUMBER(MATCH("*PG48*",F373,0)),
  "PG48",
  IF(
   ISNUMBER(MATCH("*MG63*",F373,0)),
   "MG63",
   IF(
    ISNUMBER(MATCH("*У479*",F373,0)),
    "У479",
    IF(
     ISNUMBER(MATCH("*У480*",F373,0)),
     "У480",
     0
    )
   )
  )
 )
)</f>
        <v>0</v>
      </c>
      <c r="I373" s="543" t="str">
        <f t="shared" ref="I373" si="209">A373&amp;" "&amp;D373</f>
        <v>- 5x16</v>
      </c>
      <c r="J373" s="1087" t="str">
        <f t="shared" ref="J373" si="210">J374</f>
        <v>PG29</v>
      </c>
      <c r="K373" s="22"/>
    </row>
    <row r="374" spans="1:11" x14ac:dyDescent="0.2">
      <c r="A374" s="121" t="s">
        <v>896</v>
      </c>
      <c r="B374" s="121">
        <v>5</v>
      </c>
      <c r="C374" s="121">
        <v>16</v>
      </c>
      <c r="D374" s="121" t="str">
        <f t="shared" si="160"/>
        <v>5x16</v>
      </c>
      <c r="E374" s="121">
        <v>20.3</v>
      </c>
      <c r="F374" s="121" t="s">
        <v>193</v>
      </c>
      <c r="G374" s="5" t="str">
        <f t="shared" ref="G374:G382" si="211">IF(
 ISNUMBER(MATCH("*PG13*",F374,0)),
 "PG13",
 IF(
  ISNUMBER(MATCH("*PG16*",F374,0)),
  "PG16",
  IF(
   ISNUMBER(MATCH("*PG21*",F374,0)),
   "PG21",
   IF(
    ISNUMBER(MATCH("*PG29*",F374,0)),
    "PG29",
    IF(
     ISNUMBER(MATCH("*PG36*",F374,0)),
     "PG36",
     0
    )
   )
  )
 )
)</f>
        <v>PG29</v>
      </c>
      <c r="H374" s="5">
        <f t="shared" ref="H374:H382" si="212">IF(
 ISNUMBER(MATCH("*PG42*",F374,0)),
 "PG42",
 IF(
  ISNUMBER(MATCH("*PG48*",F374,0)),
  "PG48",
  IF(
   ISNUMBER(MATCH("*MG63*",F374,0)),
   "MG63",
   IF(
    ISNUMBER(MATCH("*У479*",F374,0)),
    "У479",
    IF(
     ISNUMBER(MATCH("*У480*",F374,0)),
     "У480",
     0
    )
   )
  )
 )
)</f>
        <v>0</v>
      </c>
      <c r="I374" s="126" t="str">
        <f t="shared" ref="I374:I382" si="213">A374&amp;" "&amp;D374</f>
        <v>АВВГНг 5x16</v>
      </c>
      <c r="J374" s="5" t="str">
        <f t="shared" ref="J374:J382" si="214">IF(G374=0,H374,G374)</f>
        <v>PG29</v>
      </c>
      <c r="K374" s="22"/>
    </row>
    <row r="375" spans="1:11" x14ac:dyDescent="0.2">
      <c r="A375" s="121" t="s">
        <v>898</v>
      </c>
      <c r="B375" s="121">
        <v>5</v>
      </c>
      <c r="C375" s="121">
        <v>16</v>
      </c>
      <c r="D375" s="121" t="str">
        <f t="shared" si="160"/>
        <v>5x16</v>
      </c>
      <c r="E375" s="121">
        <v>20.5</v>
      </c>
      <c r="F375" s="121" t="s">
        <v>193</v>
      </c>
      <c r="G375" s="5" t="str">
        <f t="shared" si="211"/>
        <v>PG29</v>
      </c>
      <c r="H375" s="5">
        <f t="shared" si="212"/>
        <v>0</v>
      </c>
      <c r="I375" s="126" t="str">
        <f t="shared" si="213"/>
        <v>ВВГНг 5x16</v>
      </c>
      <c r="J375" s="5" t="str">
        <f t="shared" si="214"/>
        <v>PG29</v>
      </c>
      <c r="K375" s="22"/>
    </row>
    <row r="376" spans="1:11" x14ac:dyDescent="0.2">
      <c r="A376" s="935" t="s">
        <v>196</v>
      </c>
      <c r="B376" s="121">
        <v>5</v>
      </c>
      <c r="C376" s="121">
        <v>16</v>
      </c>
      <c r="D376" s="121" t="str">
        <f t="shared" si="160"/>
        <v>5x16</v>
      </c>
      <c r="E376" s="936">
        <v>21</v>
      </c>
      <c r="F376" s="121" t="s">
        <v>193</v>
      </c>
      <c r="G376" s="5" t="str">
        <f t="shared" si="211"/>
        <v>PG29</v>
      </c>
      <c r="H376" s="5">
        <f t="shared" si="212"/>
        <v>0</v>
      </c>
      <c r="I376" s="126" t="str">
        <f t="shared" si="213"/>
        <v>АВВГнг-LS 5x16</v>
      </c>
      <c r="J376" s="5" t="str">
        <f t="shared" si="214"/>
        <v>PG29</v>
      </c>
      <c r="K376" s="22"/>
    </row>
    <row r="377" spans="1:11" x14ac:dyDescent="0.2">
      <c r="A377" s="296" t="s">
        <v>725</v>
      </c>
      <c r="B377" s="296">
        <v>5</v>
      </c>
      <c r="C377" s="296">
        <v>16</v>
      </c>
      <c r="D377" s="296" t="str">
        <f t="shared" si="160"/>
        <v>5x16</v>
      </c>
      <c r="E377" s="296">
        <v>21.8</v>
      </c>
      <c r="F377" s="296" t="s">
        <v>193</v>
      </c>
      <c r="G377" s="1087" t="str">
        <f t="shared" si="211"/>
        <v>PG29</v>
      </c>
      <c r="H377" s="1087">
        <f t="shared" si="212"/>
        <v>0</v>
      </c>
      <c r="I377" s="543" t="str">
        <f t="shared" si="213"/>
        <v>ВВГнг(A)-LS 5x16</v>
      </c>
      <c r="J377" s="1087" t="str">
        <f t="shared" si="214"/>
        <v>PG29</v>
      </c>
      <c r="K377" s="22"/>
    </row>
    <row r="378" spans="1:11" x14ac:dyDescent="0.2">
      <c r="A378" s="121" t="s">
        <v>159</v>
      </c>
      <c r="B378" s="121">
        <v>5</v>
      </c>
      <c r="C378" s="121">
        <v>16</v>
      </c>
      <c r="D378" s="121" t="str">
        <f t="shared" si="160"/>
        <v>5x16</v>
      </c>
      <c r="E378" s="121">
        <v>22.4</v>
      </c>
      <c r="F378" s="121" t="s">
        <v>193</v>
      </c>
      <c r="G378" s="5" t="str">
        <f t="shared" si="211"/>
        <v>PG29</v>
      </c>
      <c r="H378" s="5">
        <f t="shared" si="212"/>
        <v>0</v>
      </c>
      <c r="I378" s="126" t="str">
        <f t="shared" si="213"/>
        <v>ВВГнг-LS 5x16</v>
      </c>
      <c r="J378" s="5" t="str">
        <f t="shared" si="214"/>
        <v>PG29</v>
      </c>
      <c r="K378" s="22"/>
    </row>
    <row r="379" spans="1:11" x14ac:dyDescent="0.2">
      <c r="A379" s="121" t="s">
        <v>213</v>
      </c>
      <c r="B379" s="121">
        <v>5</v>
      </c>
      <c r="C379" s="121">
        <v>16</v>
      </c>
      <c r="D379" s="121" t="str">
        <f t="shared" si="160"/>
        <v>5x16</v>
      </c>
      <c r="E379" s="121">
        <v>23.2</v>
      </c>
      <c r="F379" s="121" t="s">
        <v>193</v>
      </c>
      <c r="G379" s="5" t="str">
        <f t="shared" si="211"/>
        <v>PG29</v>
      </c>
      <c r="H379" s="5">
        <f t="shared" si="212"/>
        <v>0</v>
      </c>
      <c r="I379" s="126" t="str">
        <f t="shared" si="213"/>
        <v>ППГнг-НF 5x16</v>
      </c>
      <c r="J379" s="5" t="str">
        <f t="shared" si="214"/>
        <v>PG29</v>
      </c>
      <c r="K379" s="22"/>
    </row>
    <row r="380" spans="1:11" x14ac:dyDescent="0.2">
      <c r="A380" s="121" t="s">
        <v>201</v>
      </c>
      <c r="B380" s="121">
        <v>5</v>
      </c>
      <c r="C380" s="121">
        <v>16</v>
      </c>
      <c r="D380" s="121" t="str">
        <f t="shared" si="160"/>
        <v>5x16</v>
      </c>
      <c r="E380" s="121">
        <v>25</v>
      </c>
      <c r="F380" s="121" t="s">
        <v>188</v>
      </c>
      <c r="G380" s="5" t="str">
        <f t="shared" si="211"/>
        <v>PG36</v>
      </c>
      <c r="H380" s="5">
        <f t="shared" si="212"/>
        <v>0</v>
      </c>
      <c r="I380" s="126" t="str">
        <f t="shared" si="213"/>
        <v>ВВГнг-FRLS 5x16</v>
      </c>
      <c r="J380" s="5" t="str">
        <f t="shared" si="214"/>
        <v>PG36</v>
      </c>
      <c r="K380" s="22"/>
    </row>
    <row r="381" spans="1:11" x14ac:dyDescent="0.2">
      <c r="A381" s="121" t="s">
        <v>908</v>
      </c>
      <c r="B381" s="121">
        <v>5</v>
      </c>
      <c r="C381" s="121">
        <v>16</v>
      </c>
      <c r="D381" s="121" t="str">
        <f t="shared" si="160"/>
        <v>5x16</v>
      </c>
      <c r="E381" s="121">
        <v>26.3</v>
      </c>
      <c r="F381" s="121" t="s">
        <v>188</v>
      </c>
      <c r="G381" s="5" t="str">
        <f t="shared" si="211"/>
        <v>PG36</v>
      </c>
      <c r="H381" s="5">
        <f t="shared" si="212"/>
        <v>0</v>
      </c>
      <c r="I381" s="126" t="str">
        <f t="shared" si="213"/>
        <v>ПвПнг(А)-FRHF 5x16</v>
      </c>
      <c r="J381" s="5" t="str">
        <f t="shared" si="214"/>
        <v>PG36</v>
      </c>
      <c r="K381" s="22"/>
    </row>
    <row r="382" spans="1:11" x14ac:dyDescent="0.2">
      <c r="A382" s="121" t="s">
        <v>200</v>
      </c>
      <c r="B382" s="121">
        <v>5</v>
      </c>
      <c r="C382" s="121">
        <v>16</v>
      </c>
      <c r="D382" s="121" t="str">
        <f t="shared" si="160"/>
        <v>5x16</v>
      </c>
      <c r="E382" s="121">
        <v>26.5</v>
      </c>
      <c r="F382" s="121" t="s">
        <v>188</v>
      </c>
      <c r="G382" s="5" t="str">
        <f t="shared" si="211"/>
        <v>PG36</v>
      </c>
      <c r="H382" s="5">
        <f t="shared" si="212"/>
        <v>0</v>
      </c>
      <c r="I382" s="126" t="str">
        <f t="shared" si="213"/>
        <v>ВБбШвнг 5x16</v>
      </c>
      <c r="J382" s="5" t="str">
        <f t="shared" si="214"/>
        <v>PG36</v>
      </c>
      <c r="K382" s="22"/>
    </row>
    <row r="383" spans="1:11" x14ac:dyDescent="0.2">
      <c r="A383" s="121" t="s">
        <v>30</v>
      </c>
      <c r="B383" s="121">
        <v>5</v>
      </c>
      <c r="C383" s="121">
        <v>25</v>
      </c>
      <c r="D383" s="121" t="str">
        <f t="shared" si="160"/>
        <v>5x25</v>
      </c>
      <c r="E383" s="121">
        <v>0</v>
      </c>
      <c r="F383" s="296" t="str">
        <f t="shared" ref="F383" si="215">F384</f>
        <v>18153417  САЛЬНИК PG36, ДИАМЕТР ПРОВОДНИКА 24...32 ММ ТУ 3449-110-18461115-03</v>
      </c>
      <c r="G383" s="1087" t="str">
        <f t="shared" ref="G383" si="216">G384</f>
        <v>PG36</v>
      </c>
      <c r="H383" s="1087">
        <f t="shared" ref="H383" si="217">IF(
 ISNUMBER(MATCH("*PG42*",F383,0)),
 "PG42",
 IF(
  ISNUMBER(MATCH("*PG48*",F383,0)),
  "PG48",
  IF(
   ISNUMBER(MATCH("*MG63*",F383,0)),
   "MG63",
   IF(
    ISNUMBER(MATCH("*У479*",F383,0)),
    "У479",
    IF(
     ISNUMBER(MATCH("*У480*",F383,0)),
     "У480",
     0
    )
   )
  )
 )
)</f>
        <v>0</v>
      </c>
      <c r="I383" s="543" t="str">
        <f t="shared" ref="I383" si="218">A383&amp;" "&amp;D383</f>
        <v>- 5x25</v>
      </c>
      <c r="J383" s="1087" t="str">
        <f t="shared" ref="J383" si="219">J384</f>
        <v>PG36</v>
      </c>
      <c r="K383" s="22"/>
    </row>
    <row r="384" spans="1:11" x14ac:dyDescent="0.2">
      <c r="A384" s="121" t="s">
        <v>898</v>
      </c>
      <c r="B384" s="121">
        <v>5</v>
      </c>
      <c r="C384" s="121">
        <v>25</v>
      </c>
      <c r="D384" s="121" t="str">
        <f t="shared" si="160"/>
        <v>5x25</v>
      </c>
      <c r="E384" s="121">
        <v>24.6</v>
      </c>
      <c r="F384" s="121" t="s">
        <v>188</v>
      </c>
      <c r="G384" s="5" t="str">
        <f t="shared" ref="G384:G394" si="220">IF(
 ISNUMBER(MATCH("*PG13*",F384,0)),
 "PG13",
 IF(
  ISNUMBER(MATCH("*PG16*",F384,0)),
  "PG16",
  IF(
   ISNUMBER(MATCH("*PG21*",F384,0)),
   "PG21",
   IF(
    ISNUMBER(MATCH("*PG29*",F384,0)),
    "PG29",
    IF(
     ISNUMBER(MATCH("*PG36*",F384,0)),
     "PG36",
     0
    )
   )
  )
 )
)</f>
        <v>PG36</v>
      </c>
      <c r="H384" s="5">
        <f t="shared" ref="H384:H394" si="221">IF(
 ISNUMBER(MATCH("*PG42*",F384,0)),
 "PG42",
 IF(
  ISNUMBER(MATCH("*PG48*",F384,0)),
  "PG48",
  IF(
   ISNUMBER(MATCH("*MG63*",F384,0)),
   "MG63",
   IF(
    ISNUMBER(MATCH("*У479*",F384,0)),
    "У479",
    IF(
     ISNUMBER(MATCH("*У480*",F384,0)),
     "У480",
     0
    )
   )
  )
 )
)</f>
        <v>0</v>
      </c>
      <c r="I384" s="126" t="str">
        <f t="shared" ref="I384:I394" si="222">A384&amp;" "&amp;D384</f>
        <v>ВВГНг 5x25</v>
      </c>
      <c r="J384" s="5" t="str">
        <f t="shared" ref="J384:J394" si="223">IF(G384=0,H384,G384)</f>
        <v>PG36</v>
      </c>
      <c r="K384" s="22"/>
    </row>
    <row r="385" spans="1:11" x14ac:dyDescent="0.2">
      <c r="A385" s="121" t="s">
        <v>196</v>
      </c>
      <c r="B385" s="121">
        <v>5</v>
      </c>
      <c r="C385" s="121">
        <v>25</v>
      </c>
      <c r="D385" s="121" t="str">
        <f t="shared" si="160"/>
        <v>5x25</v>
      </c>
      <c r="E385" s="121">
        <v>27</v>
      </c>
      <c r="F385" s="121" t="s">
        <v>188</v>
      </c>
      <c r="G385" s="5" t="str">
        <f t="shared" si="220"/>
        <v>PG36</v>
      </c>
      <c r="H385" s="5">
        <f t="shared" si="221"/>
        <v>0</v>
      </c>
      <c r="I385" s="126" t="str">
        <f t="shared" si="222"/>
        <v>АВВГнг-LS 5x25</v>
      </c>
      <c r="J385" s="5" t="str">
        <f t="shared" si="223"/>
        <v>PG36</v>
      </c>
      <c r="K385" s="22"/>
    </row>
    <row r="386" spans="1:11" x14ac:dyDescent="0.2">
      <c r="A386" s="121" t="s">
        <v>159</v>
      </c>
      <c r="B386" s="121">
        <v>5</v>
      </c>
      <c r="C386" s="121">
        <v>25</v>
      </c>
      <c r="D386" s="121" t="str">
        <f t="shared" si="160"/>
        <v>5x25</v>
      </c>
      <c r="E386" s="121">
        <v>27</v>
      </c>
      <c r="F386" s="121" t="s">
        <v>188</v>
      </c>
      <c r="G386" s="5" t="str">
        <f t="shared" si="220"/>
        <v>PG36</v>
      </c>
      <c r="H386" s="5">
        <f t="shared" si="221"/>
        <v>0</v>
      </c>
      <c r="I386" s="126" t="str">
        <f t="shared" si="222"/>
        <v>ВВГнг-LS 5x25</v>
      </c>
      <c r="J386" s="5" t="str">
        <f t="shared" si="223"/>
        <v>PG36</v>
      </c>
      <c r="K386" s="22"/>
    </row>
    <row r="387" spans="1:11" x14ac:dyDescent="0.2">
      <c r="A387" s="121" t="s">
        <v>212</v>
      </c>
      <c r="B387" s="121">
        <v>5</v>
      </c>
      <c r="C387" s="121">
        <v>25</v>
      </c>
      <c r="D387" s="121" t="str">
        <f t="shared" ref="D387:D450" si="224">B387&amp;"x"&amp;C387</f>
        <v>5x25</v>
      </c>
      <c r="E387" s="121">
        <v>27.9</v>
      </c>
      <c r="F387" s="121" t="s">
        <v>188</v>
      </c>
      <c r="G387" s="5" t="str">
        <f t="shared" si="220"/>
        <v>PG36</v>
      </c>
      <c r="H387" s="5">
        <f t="shared" si="221"/>
        <v>0</v>
      </c>
      <c r="I387" s="126" t="str">
        <f t="shared" si="222"/>
        <v>ППГнг-FRHF 5x25</v>
      </c>
      <c r="J387" s="5" t="str">
        <f t="shared" si="223"/>
        <v>PG36</v>
      </c>
      <c r="K387" s="22"/>
    </row>
    <row r="388" spans="1:11" x14ac:dyDescent="0.2">
      <c r="A388" s="121" t="s">
        <v>896</v>
      </c>
      <c r="B388" s="121">
        <v>5</v>
      </c>
      <c r="C388" s="121">
        <v>25</v>
      </c>
      <c r="D388" s="121" t="str">
        <f t="shared" si="224"/>
        <v>5x25</v>
      </c>
      <c r="E388" s="121">
        <v>28.5</v>
      </c>
      <c r="F388" s="121" t="s">
        <v>188</v>
      </c>
      <c r="G388" s="5" t="str">
        <f t="shared" si="220"/>
        <v>PG36</v>
      </c>
      <c r="H388" s="5">
        <f t="shared" si="221"/>
        <v>0</v>
      </c>
      <c r="I388" s="126" t="str">
        <f t="shared" si="222"/>
        <v>АВВГНг 5x25</v>
      </c>
      <c r="J388" s="5" t="str">
        <f t="shared" si="223"/>
        <v>PG36</v>
      </c>
      <c r="K388" s="22"/>
    </row>
    <row r="389" spans="1:11" x14ac:dyDescent="0.2">
      <c r="A389" s="121" t="s">
        <v>191</v>
      </c>
      <c r="B389" s="121">
        <v>5</v>
      </c>
      <c r="C389" s="121">
        <v>25</v>
      </c>
      <c r="D389" s="121" t="str">
        <f t="shared" si="224"/>
        <v>5x25</v>
      </c>
      <c r="E389" s="121">
        <v>28.8</v>
      </c>
      <c r="F389" s="121" t="s">
        <v>188</v>
      </c>
      <c r="G389" s="5" t="str">
        <f t="shared" si="220"/>
        <v>PG36</v>
      </c>
      <c r="H389" s="5">
        <f t="shared" si="221"/>
        <v>0</v>
      </c>
      <c r="I389" s="126" t="str">
        <f t="shared" si="222"/>
        <v>Pyrohalon Plus 5x25</v>
      </c>
      <c r="J389" s="5" t="str">
        <f t="shared" si="223"/>
        <v>PG36</v>
      </c>
      <c r="K389" s="22"/>
    </row>
    <row r="390" spans="1:11" x14ac:dyDescent="0.2">
      <c r="A390" s="121" t="s">
        <v>909</v>
      </c>
      <c r="B390" s="121">
        <v>5</v>
      </c>
      <c r="C390" s="121">
        <v>25</v>
      </c>
      <c r="D390" s="121" t="str">
        <f t="shared" si="224"/>
        <v>5x25</v>
      </c>
      <c r="E390" s="121">
        <v>29.4</v>
      </c>
      <c r="F390" s="121" t="s">
        <v>188</v>
      </c>
      <c r="G390" s="5" t="str">
        <f t="shared" si="220"/>
        <v>PG36</v>
      </c>
      <c r="H390" s="5">
        <f t="shared" si="221"/>
        <v>0</v>
      </c>
      <c r="I390" s="126" t="str">
        <f t="shared" si="222"/>
        <v>ПвПнг(А)-HF 5x25</v>
      </c>
      <c r="J390" s="5" t="str">
        <f t="shared" si="223"/>
        <v>PG36</v>
      </c>
      <c r="K390" s="22"/>
    </row>
    <row r="391" spans="1:11" x14ac:dyDescent="0.2">
      <c r="A391" s="121" t="s">
        <v>187</v>
      </c>
      <c r="B391" s="121">
        <v>5</v>
      </c>
      <c r="C391" s="121">
        <v>25</v>
      </c>
      <c r="D391" s="121" t="str">
        <f t="shared" si="224"/>
        <v>5x25</v>
      </c>
      <c r="E391" s="121">
        <v>29.8</v>
      </c>
      <c r="F391" s="121" t="s">
        <v>188</v>
      </c>
      <c r="G391" s="5" t="str">
        <f t="shared" si="220"/>
        <v>PG36</v>
      </c>
      <c r="H391" s="5">
        <f t="shared" si="221"/>
        <v>0</v>
      </c>
      <c r="I391" s="126" t="str">
        <f t="shared" si="222"/>
        <v>Creolon B 5x25</v>
      </c>
      <c r="J391" s="5" t="str">
        <f t="shared" si="223"/>
        <v>PG36</v>
      </c>
      <c r="K391" s="22"/>
    </row>
    <row r="392" spans="1:11" x14ac:dyDescent="0.2">
      <c r="A392" s="121" t="s">
        <v>159</v>
      </c>
      <c r="B392" s="121">
        <v>5</v>
      </c>
      <c r="C392" s="121">
        <v>25</v>
      </c>
      <c r="D392" s="121" t="str">
        <f t="shared" si="224"/>
        <v>5x25</v>
      </c>
      <c r="E392" s="121">
        <v>29.8</v>
      </c>
      <c r="F392" s="121" t="s">
        <v>188</v>
      </c>
      <c r="G392" s="5" t="str">
        <f t="shared" si="220"/>
        <v>PG36</v>
      </c>
      <c r="H392" s="5">
        <f t="shared" si="221"/>
        <v>0</v>
      </c>
      <c r="I392" s="126" t="str">
        <f t="shared" si="222"/>
        <v>ВВГнг-LS 5x25</v>
      </c>
      <c r="J392" s="5" t="str">
        <f t="shared" si="223"/>
        <v>PG36</v>
      </c>
      <c r="K392" s="22"/>
    </row>
    <row r="393" spans="1:11" x14ac:dyDescent="0.2">
      <c r="A393" s="121" t="s">
        <v>201</v>
      </c>
      <c r="B393" s="121">
        <v>5</v>
      </c>
      <c r="C393" s="121">
        <v>25</v>
      </c>
      <c r="D393" s="121" t="str">
        <f t="shared" si="224"/>
        <v>5x25</v>
      </c>
      <c r="E393" s="121">
        <v>30.7</v>
      </c>
      <c r="F393" s="121" t="s">
        <v>188</v>
      </c>
      <c r="G393" s="5" t="str">
        <f t="shared" si="220"/>
        <v>PG36</v>
      </c>
      <c r="H393" s="5">
        <f t="shared" si="221"/>
        <v>0</v>
      </c>
      <c r="I393" s="126" t="str">
        <f t="shared" si="222"/>
        <v>ВВГнг-FRLS 5x25</v>
      </c>
      <c r="J393" s="5" t="str">
        <f t="shared" si="223"/>
        <v>PG36</v>
      </c>
      <c r="K393" s="22"/>
    </row>
    <row r="394" spans="1:11" x14ac:dyDescent="0.2">
      <c r="A394" s="121" t="s">
        <v>908</v>
      </c>
      <c r="B394" s="121">
        <v>5</v>
      </c>
      <c r="C394" s="121">
        <v>25</v>
      </c>
      <c r="D394" s="121" t="str">
        <f t="shared" si="224"/>
        <v>5x25</v>
      </c>
      <c r="E394" s="121">
        <v>32.799999999999997</v>
      </c>
      <c r="F394" s="121" t="s">
        <v>189</v>
      </c>
      <c r="G394" s="5">
        <f t="shared" si="220"/>
        <v>0</v>
      </c>
      <c r="H394" s="5" t="str">
        <f t="shared" si="221"/>
        <v>PG42</v>
      </c>
      <c r="I394" s="126" t="str">
        <f t="shared" si="222"/>
        <v>ПвПнг(А)-FRHF 5x25</v>
      </c>
      <c r="J394" s="5" t="str">
        <f t="shared" si="223"/>
        <v>PG42</v>
      </c>
      <c r="K394" s="22"/>
    </row>
    <row r="395" spans="1:11" x14ac:dyDescent="0.2">
      <c r="A395" s="121" t="s">
        <v>30</v>
      </c>
      <c r="B395" s="121">
        <v>5</v>
      </c>
      <c r="C395" s="121">
        <v>35</v>
      </c>
      <c r="D395" s="121" t="str">
        <f t="shared" si="224"/>
        <v>5x35</v>
      </c>
      <c r="E395" s="121">
        <v>0</v>
      </c>
      <c r="F395" s="296" t="str">
        <f t="shared" ref="F395" si="225">F396</f>
        <v>18153417  САЛЬНИК PG36, ДИАМЕТР ПРОВОДНИКА 24...32 ММ ТУ 3449-110-18461115-03</v>
      </c>
      <c r="G395" s="1087" t="str">
        <f t="shared" ref="G395" si="226">G396</f>
        <v>PG36</v>
      </c>
      <c r="H395" s="1087">
        <f t="shared" ref="H395" si="227">IF(
 ISNUMBER(MATCH("*PG42*",F395,0)),
 "PG42",
 IF(
  ISNUMBER(MATCH("*PG48*",F395,0)),
  "PG48",
  IF(
   ISNUMBER(MATCH("*MG63*",F395,0)),
   "MG63",
   IF(
    ISNUMBER(MATCH("*У479*",F395,0)),
    "У479",
    IF(
     ISNUMBER(MATCH("*У480*",F395,0)),
     "У480",
     0
    )
   )
  )
 )
)</f>
        <v>0</v>
      </c>
      <c r="I395" s="543" t="str">
        <f t="shared" ref="I395" si="228">A395&amp;" "&amp;D395</f>
        <v>- 5x35</v>
      </c>
      <c r="J395" s="1087" t="str">
        <f t="shared" ref="J395" si="229">J396</f>
        <v>PG36</v>
      </c>
      <c r="K395" s="22"/>
    </row>
    <row r="396" spans="1:11" x14ac:dyDescent="0.2">
      <c r="A396" s="121" t="s">
        <v>898</v>
      </c>
      <c r="B396" s="121">
        <v>5</v>
      </c>
      <c r="C396" s="121">
        <v>35</v>
      </c>
      <c r="D396" s="121" t="str">
        <f t="shared" si="224"/>
        <v>5x35</v>
      </c>
      <c r="E396" s="121">
        <v>27.4</v>
      </c>
      <c r="F396" s="121" t="s">
        <v>188</v>
      </c>
      <c r="G396" s="5" t="str">
        <f t="shared" ref="G396:G403" si="230">IF(
 ISNUMBER(MATCH("*PG13*",F396,0)),
 "PG13",
 IF(
  ISNUMBER(MATCH("*PG16*",F396,0)),
  "PG16",
  IF(
   ISNUMBER(MATCH("*PG21*",F396,0)),
   "PG21",
   IF(
    ISNUMBER(MATCH("*PG29*",F396,0)),
    "PG29",
    IF(
     ISNUMBER(MATCH("*PG36*",F396,0)),
     "PG36",
     0
    )
   )
  )
 )
)</f>
        <v>PG36</v>
      </c>
      <c r="H396" s="5">
        <f t="shared" ref="H396:H403" si="231">IF(
 ISNUMBER(MATCH("*PG42*",F396,0)),
 "PG42",
 IF(
  ISNUMBER(MATCH("*PG48*",F396,0)),
  "PG48",
  IF(
   ISNUMBER(MATCH("*MG63*",F396,0)),
   "MG63",
   IF(
    ISNUMBER(MATCH("*У479*",F396,0)),
    "У479",
    IF(
     ISNUMBER(MATCH("*У480*",F396,0)),
     "У480",
     0
    )
   )
  )
 )
)</f>
        <v>0</v>
      </c>
      <c r="I396" s="126" t="str">
        <f t="shared" ref="I396:I403" si="232">A396&amp;" "&amp;D396</f>
        <v>ВВГНг 5x35</v>
      </c>
      <c r="J396" s="5" t="str">
        <f t="shared" ref="J396:J403" si="233">IF(G396=0,H396,G396)</f>
        <v>PG36</v>
      </c>
      <c r="K396" s="22"/>
    </row>
    <row r="397" spans="1:11" x14ac:dyDescent="0.2">
      <c r="A397" s="121" t="s">
        <v>896</v>
      </c>
      <c r="B397" s="121">
        <v>5</v>
      </c>
      <c r="C397" s="121">
        <v>35</v>
      </c>
      <c r="D397" s="121" t="str">
        <f t="shared" si="224"/>
        <v>5x35</v>
      </c>
      <c r="E397" s="121">
        <v>28.11</v>
      </c>
      <c r="F397" s="121" t="s">
        <v>188</v>
      </c>
      <c r="G397" s="5" t="str">
        <f t="shared" si="230"/>
        <v>PG36</v>
      </c>
      <c r="H397" s="5">
        <f t="shared" si="231"/>
        <v>0</v>
      </c>
      <c r="I397" s="126" t="str">
        <f t="shared" si="232"/>
        <v>АВВГНг 5x35</v>
      </c>
      <c r="J397" s="5" t="str">
        <f t="shared" si="233"/>
        <v>PG36</v>
      </c>
      <c r="K397" s="22"/>
    </row>
    <row r="398" spans="1:11" x14ac:dyDescent="0.2">
      <c r="A398" s="121" t="s">
        <v>196</v>
      </c>
      <c r="B398" s="121">
        <v>5</v>
      </c>
      <c r="C398" s="121">
        <v>35</v>
      </c>
      <c r="D398" s="121" t="str">
        <f t="shared" si="224"/>
        <v>5x35</v>
      </c>
      <c r="E398" s="121">
        <v>29.4</v>
      </c>
      <c r="F398" s="121" t="s">
        <v>188</v>
      </c>
      <c r="G398" s="5" t="str">
        <f t="shared" si="230"/>
        <v>PG36</v>
      </c>
      <c r="H398" s="5">
        <f t="shared" si="231"/>
        <v>0</v>
      </c>
      <c r="I398" s="126" t="str">
        <f t="shared" si="232"/>
        <v>АВВГнг-LS 5x35</v>
      </c>
      <c r="J398" s="5" t="str">
        <f t="shared" si="233"/>
        <v>PG36</v>
      </c>
      <c r="K398" s="22"/>
    </row>
    <row r="399" spans="1:11" x14ac:dyDescent="0.2">
      <c r="A399" s="121" t="s">
        <v>159</v>
      </c>
      <c r="B399" s="121">
        <v>5</v>
      </c>
      <c r="C399" s="121">
        <v>35</v>
      </c>
      <c r="D399" s="121" t="str">
        <f t="shared" si="224"/>
        <v>5x35</v>
      </c>
      <c r="E399" s="121">
        <v>29.6</v>
      </c>
      <c r="F399" s="121" t="s">
        <v>188</v>
      </c>
      <c r="G399" s="5" t="str">
        <f t="shared" si="230"/>
        <v>PG36</v>
      </c>
      <c r="H399" s="5">
        <f t="shared" si="231"/>
        <v>0</v>
      </c>
      <c r="I399" s="126" t="str">
        <f t="shared" si="232"/>
        <v>ВВГнг-LS 5x35</v>
      </c>
      <c r="J399" s="5" t="str">
        <f t="shared" si="233"/>
        <v>PG36</v>
      </c>
      <c r="K399" s="22"/>
    </row>
    <row r="400" spans="1:11" x14ac:dyDescent="0.2">
      <c r="A400" s="935" t="s">
        <v>909</v>
      </c>
      <c r="B400" s="121">
        <v>5</v>
      </c>
      <c r="C400" s="121">
        <v>35</v>
      </c>
      <c r="D400" s="121" t="str">
        <f t="shared" si="224"/>
        <v>5x35</v>
      </c>
      <c r="E400" s="936">
        <v>30</v>
      </c>
      <c r="F400" s="121" t="s">
        <v>188</v>
      </c>
      <c r="G400" s="937" t="str">
        <f t="shared" si="230"/>
        <v>PG36</v>
      </c>
      <c r="H400" s="5">
        <f t="shared" si="231"/>
        <v>0</v>
      </c>
      <c r="I400" s="39" t="str">
        <f t="shared" si="232"/>
        <v>ПвПнг(А)-HF 5x35</v>
      </c>
      <c r="J400" s="938" t="str">
        <f t="shared" si="233"/>
        <v>PG36</v>
      </c>
      <c r="K400" s="22"/>
    </row>
    <row r="401" spans="1:11" x14ac:dyDescent="0.2">
      <c r="A401" s="296" t="s">
        <v>725</v>
      </c>
      <c r="B401" s="296">
        <v>5</v>
      </c>
      <c r="C401" s="296">
        <v>35</v>
      </c>
      <c r="D401" s="296" t="str">
        <f t="shared" si="224"/>
        <v>5x35</v>
      </c>
      <c r="E401" s="296">
        <v>31.1</v>
      </c>
      <c r="F401" s="298" t="s">
        <v>188</v>
      </c>
      <c r="G401" s="1087" t="str">
        <f t="shared" si="230"/>
        <v>PG36</v>
      </c>
      <c r="H401" s="1087">
        <f t="shared" si="231"/>
        <v>0</v>
      </c>
      <c r="I401" s="543" t="str">
        <f t="shared" si="232"/>
        <v>ВВГнг(A)-LS 5x35</v>
      </c>
      <c r="J401" s="1087" t="str">
        <f t="shared" si="233"/>
        <v>PG36</v>
      </c>
      <c r="K401" s="22"/>
    </row>
    <row r="402" spans="1:11" x14ac:dyDescent="0.2">
      <c r="A402" s="121" t="s">
        <v>213</v>
      </c>
      <c r="B402" s="121">
        <v>5</v>
      </c>
      <c r="C402" s="121">
        <v>35</v>
      </c>
      <c r="D402" s="121" t="str">
        <f t="shared" si="224"/>
        <v>5x35</v>
      </c>
      <c r="E402" s="121">
        <v>31.6</v>
      </c>
      <c r="F402" s="121" t="s">
        <v>188</v>
      </c>
      <c r="G402" s="5" t="str">
        <f t="shared" si="230"/>
        <v>PG36</v>
      </c>
      <c r="H402" s="5">
        <f t="shared" si="231"/>
        <v>0</v>
      </c>
      <c r="I402" s="126" t="str">
        <f t="shared" si="232"/>
        <v>ППГнг-НF 5x35</v>
      </c>
      <c r="J402" s="5" t="str">
        <f t="shared" si="233"/>
        <v>PG36</v>
      </c>
      <c r="K402" s="22"/>
    </row>
    <row r="403" spans="1:11" x14ac:dyDescent="0.2">
      <c r="A403" s="121" t="s">
        <v>201</v>
      </c>
      <c r="B403" s="121">
        <v>5</v>
      </c>
      <c r="C403" s="121">
        <v>35</v>
      </c>
      <c r="D403" s="121" t="str">
        <f t="shared" si="224"/>
        <v>5x35</v>
      </c>
      <c r="E403" s="121">
        <v>36</v>
      </c>
      <c r="F403" s="121" t="s">
        <v>189</v>
      </c>
      <c r="G403" s="5">
        <f t="shared" si="230"/>
        <v>0</v>
      </c>
      <c r="H403" s="5" t="str">
        <f t="shared" si="231"/>
        <v>PG42</v>
      </c>
      <c r="I403" s="126" t="str">
        <f t="shared" si="232"/>
        <v>ВВГнг-FRLS 5x35</v>
      </c>
      <c r="J403" s="5" t="str">
        <f t="shared" si="233"/>
        <v>PG42</v>
      </c>
      <c r="K403" s="22"/>
    </row>
    <row r="404" spans="1:11" x14ac:dyDescent="0.2">
      <c r="A404" s="121" t="s">
        <v>30</v>
      </c>
      <c r="B404" s="121">
        <v>5</v>
      </c>
      <c r="C404" s="121">
        <v>50</v>
      </c>
      <c r="D404" s="121" t="str">
        <f t="shared" si="224"/>
        <v>5x50</v>
      </c>
      <c r="E404" s="121">
        <v>0</v>
      </c>
      <c r="F404" s="296" t="str">
        <f t="shared" ref="F404" si="234">F405</f>
        <v>18153417  САЛЬНИК PG36, ДИАМЕТР ПРОВОДНИКА 24...32 ММ ТУ 3449-110-18461115-03</v>
      </c>
      <c r="G404" s="1087" t="str">
        <f t="shared" ref="G404" si="235">G405</f>
        <v>PG36</v>
      </c>
      <c r="H404" s="1087">
        <f t="shared" ref="H404" si="236">IF(
 ISNUMBER(MATCH("*PG42*",F404,0)),
 "PG42",
 IF(
  ISNUMBER(MATCH("*PG48*",F404,0)),
  "PG48",
  IF(
   ISNUMBER(MATCH("*MG63*",F404,0)),
   "MG63",
   IF(
    ISNUMBER(MATCH("*У479*",F404,0)),
    "У479",
    IF(
     ISNUMBER(MATCH("*У480*",F404,0)),
     "У480",
     0
    )
   )
  )
 )
)</f>
        <v>0</v>
      </c>
      <c r="I404" s="543" t="str">
        <f t="shared" ref="I404" si="237">A404&amp;" "&amp;D404</f>
        <v>- 5x50</v>
      </c>
      <c r="J404" s="1087" t="str">
        <f t="shared" ref="J404" si="238">J405</f>
        <v>PG36</v>
      </c>
      <c r="K404" s="22"/>
    </row>
    <row r="405" spans="1:11" x14ac:dyDescent="0.2">
      <c r="A405" s="121" t="s">
        <v>896</v>
      </c>
      <c r="B405" s="121">
        <v>5</v>
      </c>
      <c r="C405" s="121">
        <v>50</v>
      </c>
      <c r="D405" s="121" t="str">
        <f t="shared" si="224"/>
        <v>5x50</v>
      </c>
      <c r="E405" s="121">
        <v>32</v>
      </c>
      <c r="F405" s="121" t="s">
        <v>188</v>
      </c>
      <c r="G405" s="5" t="str">
        <f t="shared" ref="G405:G411" si="239">IF(
 ISNUMBER(MATCH("*PG13*",F405,0)),
 "PG13",
 IF(
  ISNUMBER(MATCH("*PG16*",F405,0)),
  "PG16",
  IF(
   ISNUMBER(MATCH("*PG21*",F405,0)),
   "PG21",
   IF(
    ISNUMBER(MATCH("*PG29*",F405,0)),
    "PG29",
    IF(
     ISNUMBER(MATCH("*PG36*",F405,0)),
     "PG36",
     0
    )
   )
  )
 )
)</f>
        <v>PG36</v>
      </c>
      <c r="H405" s="5">
        <f t="shared" ref="H405:H411" si="240">IF(
 ISNUMBER(MATCH("*PG42*",F405,0)),
 "PG42",
 IF(
  ISNUMBER(MATCH("*PG48*",F405,0)),
  "PG48",
  IF(
   ISNUMBER(MATCH("*MG63*",F405,0)),
   "MG63",
   IF(
    ISNUMBER(MATCH("*У479*",F405,0)),
    "У479",
    IF(
     ISNUMBER(MATCH("*У480*",F405,0)),
     "У480",
     0
    )
   )
  )
 )
)</f>
        <v>0</v>
      </c>
      <c r="I405" s="126" t="str">
        <f t="shared" ref="I405:I411" si="241">A405&amp;" "&amp;D405</f>
        <v>АВВГНг 5x50</v>
      </c>
      <c r="J405" s="5" t="str">
        <f t="shared" ref="J405:J411" si="242">IF(G405=0,H405,G405)</f>
        <v>PG36</v>
      </c>
      <c r="K405" s="22"/>
    </row>
    <row r="406" spans="1:11" x14ac:dyDescent="0.2">
      <c r="A406" s="121" t="s">
        <v>159</v>
      </c>
      <c r="B406" s="121">
        <v>5</v>
      </c>
      <c r="C406" s="121">
        <v>50</v>
      </c>
      <c r="D406" s="121" t="str">
        <f t="shared" si="224"/>
        <v>5x50</v>
      </c>
      <c r="E406" s="121">
        <v>32</v>
      </c>
      <c r="F406" s="121" t="s">
        <v>188</v>
      </c>
      <c r="G406" s="5" t="str">
        <f t="shared" si="239"/>
        <v>PG36</v>
      </c>
      <c r="H406" s="5">
        <f t="shared" si="240"/>
        <v>0</v>
      </c>
      <c r="I406" s="126" t="str">
        <f t="shared" si="241"/>
        <v>ВВГнг-LS 5x50</v>
      </c>
      <c r="J406" s="5" t="str">
        <f t="shared" si="242"/>
        <v>PG36</v>
      </c>
      <c r="K406" s="22"/>
    </row>
    <row r="407" spans="1:11" x14ac:dyDescent="0.2">
      <c r="A407" s="121" t="s">
        <v>898</v>
      </c>
      <c r="B407" s="121">
        <v>5</v>
      </c>
      <c r="C407" s="121">
        <v>50</v>
      </c>
      <c r="D407" s="121" t="str">
        <f t="shared" si="224"/>
        <v>5x50</v>
      </c>
      <c r="E407" s="121">
        <v>33</v>
      </c>
      <c r="F407" s="121" t="s">
        <v>189</v>
      </c>
      <c r="G407" s="5">
        <f t="shared" si="239"/>
        <v>0</v>
      </c>
      <c r="H407" s="5" t="str">
        <f t="shared" si="240"/>
        <v>PG42</v>
      </c>
      <c r="I407" s="126" t="str">
        <f t="shared" si="241"/>
        <v>ВВГНг 5x50</v>
      </c>
      <c r="J407" s="5" t="str">
        <f t="shared" si="242"/>
        <v>PG42</v>
      </c>
      <c r="K407" s="22"/>
    </row>
    <row r="408" spans="1:11" x14ac:dyDescent="0.2">
      <c r="A408" s="121" t="s">
        <v>909</v>
      </c>
      <c r="B408" s="121">
        <v>5</v>
      </c>
      <c r="C408" s="121">
        <v>50</v>
      </c>
      <c r="D408" s="121" t="str">
        <f t="shared" si="224"/>
        <v>5x50</v>
      </c>
      <c r="E408" s="121">
        <v>34.1</v>
      </c>
      <c r="F408" s="121" t="s">
        <v>189</v>
      </c>
      <c r="G408" s="5">
        <f t="shared" si="239"/>
        <v>0</v>
      </c>
      <c r="H408" s="5" t="str">
        <f t="shared" si="240"/>
        <v>PG42</v>
      </c>
      <c r="I408" s="126" t="str">
        <f t="shared" si="241"/>
        <v>ПвПнг(А)-HF 5x50</v>
      </c>
      <c r="J408" s="5" t="str">
        <f t="shared" si="242"/>
        <v>PG42</v>
      </c>
      <c r="K408" s="22"/>
    </row>
    <row r="409" spans="1:11" x14ac:dyDescent="0.2">
      <c r="A409" s="121" t="s">
        <v>196</v>
      </c>
      <c r="B409" s="121">
        <v>5</v>
      </c>
      <c r="C409" s="121">
        <v>50</v>
      </c>
      <c r="D409" s="121" t="str">
        <f t="shared" si="224"/>
        <v>5x50</v>
      </c>
      <c r="E409" s="121">
        <v>35.5</v>
      </c>
      <c r="F409" s="121" t="s">
        <v>189</v>
      </c>
      <c r="G409" s="5">
        <f t="shared" si="239"/>
        <v>0</v>
      </c>
      <c r="H409" s="5" t="str">
        <f t="shared" si="240"/>
        <v>PG42</v>
      </c>
      <c r="I409" s="126" t="str">
        <f t="shared" si="241"/>
        <v>АВВГнг-LS 5x50</v>
      </c>
      <c r="J409" s="5" t="str">
        <f t="shared" si="242"/>
        <v>PG42</v>
      </c>
      <c r="K409" s="22"/>
    </row>
    <row r="410" spans="1:11" x14ac:dyDescent="0.2">
      <c r="A410" s="121" t="s">
        <v>187</v>
      </c>
      <c r="B410" s="121">
        <v>5</v>
      </c>
      <c r="C410" s="121">
        <v>50</v>
      </c>
      <c r="D410" s="121" t="str">
        <f t="shared" si="224"/>
        <v>5x50</v>
      </c>
      <c r="E410" s="121">
        <v>38.799999999999997</v>
      </c>
      <c r="F410" s="121" t="s">
        <v>189</v>
      </c>
      <c r="G410" s="5">
        <f t="shared" si="239"/>
        <v>0</v>
      </c>
      <c r="H410" s="5" t="str">
        <f t="shared" si="240"/>
        <v>PG42</v>
      </c>
      <c r="I410" s="126" t="str">
        <f t="shared" si="241"/>
        <v>Creolon B 5x50</v>
      </c>
      <c r="J410" s="5" t="str">
        <f t="shared" si="242"/>
        <v>PG42</v>
      </c>
      <c r="K410" s="22"/>
    </row>
    <row r="411" spans="1:11" x14ac:dyDescent="0.2">
      <c r="A411" s="121" t="s">
        <v>201</v>
      </c>
      <c r="B411" s="121">
        <v>5</v>
      </c>
      <c r="C411" s="121">
        <v>50</v>
      </c>
      <c r="D411" s="121" t="str">
        <f t="shared" si="224"/>
        <v>5x50</v>
      </c>
      <c r="E411" s="121">
        <v>40.799999999999997</v>
      </c>
      <c r="F411" s="121" t="s">
        <v>190</v>
      </c>
      <c r="G411" s="5">
        <f t="shared" si="239"/>
        <v>0</v>
      </c>
      <c r="H411" s="5" t="str">
        <f t="shared" si="240"/>
        <v>PG48</v>
      </c>
      <c r="I411" s="126" t="str">
        <f t="shared" si="241"/>
        <v>ВВГнг-FRLS 5x50</v>
      </c>
      <c r="J411" s="5" t="str">
        <f t="shared" si="242"/>
        <v>PG48</v>
      </c>
      <c r="K411" s="22"/>
    </row>
    <row r="412" spans="1:11" x14ac:dyDescent="0.2">
      <c r="A412" s="121" t="s">
        <v>30</v>
      </c>
      <c r="B412" s="121">
        <v>5</v>
      </c>
      <c r="C412" s="121">
        <v>70</v>
      </c>
      <c r="D412" s="121" t="str">
        <f t="shared" si="224"/>
        <v>5x70</v>
      </c>
      <c r="E412" s="121">
        <v>0</v>
      </c>
      <c r="F412" s="296" t="str">
        <f t="shared" ref="F412" si="243">F413</f>
        <v>18153418  САЛЬНИК PG42, ДИАМЕТР ПРОВОДНИКА 30...40 ММ ТУ 3449-110-18461115-03</v>
      </c>
      <c r="G412" s="1087">
        <f t="shared" ref="G412" si="244">G413</f>
        <v>0</v>
      </c>
      <c r="H412" s="1087" t="str">
        <f t="shared" ref="H412" si="245">IF(
 ISNUMBER(MATCH("*PG42*",F412,0)),
 "PG42",
 IF(
  ISNUMBER(MATCH("*PG48*",F412,0)),
  "PG48",
  IF(
   ISNUMBER(MATCH("*MG63*",F412,0)),
   "MG63",
   IF(
    ISNUMBER(MATCH("*У479*",F412,0)),
    "У479",
    IF(
     ISNUMBER(MATCH("*У480*",F412,0)),
     "У480",
     0
    )
   )
  )
 )
)</f>
        <v>PG42</v>
      </c>
      <c r="I412" s="543" t="str">
        <f t="shared" ref="I412" si="246">A412&amp;" "&amp;D412</f>
        <v>- 5x70</v>
      </c>
      <c r="J412" s="1087" t="str">
        <f t="shared" ref="J412" si="247">J413</f>
        <v>PG42</v>
      </c>
      <c r="K412" s="22"/>
    </row>
    <row r="413" spans="1:11" x14ac:dyDescent="0.2">
      <c r="A413" s="121" t="s">
        <v>898</v>
      </c>
      <c r="B413" s="121">
        <v>5</v>
      </c>
      <c r="C413" s="121">
        <v>70</v>
      </c>
      <c r="D413" s="121" t="str">
        <f t="shared" si="224"/>
        <v>5x70</v>
      </c>
      <c r="E413" s="121">
        <v>35</v>
      </c>
      <c r="F413" s="121" t="s">
        <v>189</v>
      </c>
      <c r="G413" s="5">
        <f t="shared" ref="G413:G421" si="248">IF(
 ISNUMBER(MATCH("*PG13*",F413,0)),
 "PG13",
 IF(
  ISNUMBER(MATCH("*PG16*",F413,0)),
  "PG16",
  IF(
   ISNUMBER(MATCH("*PG21*",F413,0)),
   "PG21",
   IF(
    ISNUMBER(MATCH("*PG29*",F413,0)),
    "PG29",
    IF(
     ISNUMBER(MATCH("*PG36*",F413,0)),
     "PG36",
     0
    )
   )
  )
 )
)</f>
        <v>0</v>
      </c>
      <c r="H413" s="5" t="str">
        <f t="shared" ref="H413:H421" si="249">IF(
 ISNUMBER(MATCH("*PG42*",F413,0)),
 "PG42",
 IF(
  ISNUMBER(MATCH("*PG48*",F413,0)),
  "PG48",
  IF(
   ISNUMBER(MATCH("*MG63*",F413,0)),
   "MG63",
   IF(
    ISNUMBER(MATCH("*У479*",F413,0)),
    "У479",
    IF(
     ISNUMBER(MATCH("*У480*",F413,0)),
     "У480",
     0
    )
   )
  )
 )
)</f>
        <v>PG42</v>
      </c>
      <c r="I413" s="126" t="str">
        <f t="shared" ref="I413:I421" si="250">A413&amp;" "&amp;D413</f>
        <v>ВВГНг 5x70</v>
      </c>
      <c r="J413" s="5" t="str">
        <f t="shared" ref="J413:J421" si="251">IF(G413=0,H413,G413)</f>
        <v>PG42</v>
      </c>
      <c r="K413" s="22"/>
    </row>
    <row r="414" spans="1:11" x14ac:dyDescent="0.2">
      <c r="A414" s="121" t="s">
        <v>159</v>
      </c>
      <c r="B414" s="121">
        <v>5</v>
      </c>
      <c r="C414" s="121">
        <v>70</v>
      </c>
      <c r="D414" s="121" t="str">
        <f t="shared" si="224"/>
        <v>5x70</v>
      </c>
      <c r="E414" s="121">
        <v>35.700000000000003</v>
      </c>
      <c r="F414" s="121" t="s">
        <v>189</v>
      </c>
      <c r="G414" s="5">
        <f t="shared" si="248"/>
        <v>0</v>
      </c>
      <c r="H414" s="5" t="str">
        <f t="shared" si="249"/>
        <v>PG42</v>
      </c>
      <c r="I414" s="126" t="str">
        <f t="shared" si="250"/>
        <v>ВВГнг-LS 5x70</v>
      </c>
      <c r="J414" s="5" t="str">
        <f t="shared" si="251"/>
        <v>PG42</v>
      </c>
      <c r="K414" s="22"/>
    </row>
    <row r="415" spans="1:11" x14ac:dyDescent="0.2">
      <c r="A415" s="121" t="s">
        <v>896</v>
      </c>
      <c r="B415" s="121">
        <v>5</v>
      </c>
      <c r="C415" s="121">
        <v>70</v>
      </c>
      <c r="D415" s="121" t="str">
        <f t="shared" si="224"/>
        <v>5x70</v>
      </c>
      <c r="E415" s="121">
        <v>37</v>
      </c>
      <c r="F415" s="121" t="s">
        <v>189</v>
      </c>
      <c r="G415" s="5">
        <f t="shared" si="248"/>
        <v>0</v>
      </c>
      <c r="H415" s="5" t="str">
        <f t="shared" si="249"/>
        <v>PG42</v>
      </c>
      <c r="I415" s="126" t="str">
        <f t="shared" si="250"/>
        <v>АВВГНг 5x70</v>
      </c>
      <c r="J415" s="5" t="str">
        <f t="shared" si="251"/>
        <v>PG42</v>
      </c>
      <c r="K415" s="22"/>
    </row>
    <row r="416" spans="1:11" x14ac:dyDescent="0.2">
      <c r="A416" s="121" t="s">
        <v>196</v>
      </c>
      <c r="B416" s="121">
        <v>5</v>
      </c>
      <c r="C416" s="121">
        <v>70</v>
      </c>
      <c r="D416" s="121" t="str">
        <f t="shared" si="224"/>
        <v>5x70</v>
      </c>
      <c r="E416" s="121">
        <v>37</v>
      </c>
      <c r="F416" s="121" t="s">
        <v>189</v>
      </c>
      <c r="G416" s="5">
        <f t="shared" si="248"/>
        <v>0</v>
      </c>
      <c r="H416" s="5" t="str">
        <f t="shared" si="249"/>
        <v>PG42</v>
      </c>
      <c r="I416" s="126" t="str">
        <f t="shared" si="250"/>
        <v>АВВГнг-LS 5x70</v>
      </c>
      <c r="J416" s="5" t="str">
        <f t="shared" si="251"/>
        <v>PG42</v>
      </c>
      <c r="K416" s="22"/>
    </row>
    <row r="417" spans="1:11" x14ac:dyDescent="0.2">
      <c r="A417" s="296" t="s">
        <v>725</v>
      </c>
      <c r="B417" s="296">
        <v>5</v>
      </c>
      <c r="C417" s="296">
        <v>70</v>
      </c>
      <c r="D417" s="296" t="str">
        <f t="shared" si="224"/>
        <v>5x70</v>
      </c>
      <c r="E417" s="296">
        <v>39.6</v>
      </c>
      <c r="F417" s="296" t="s">
        <v>1196</v>
      </c>
      <c r="G417" s="1087">
        <f t="shared" si="248"/>
        <v>0</v>
      </c>
      <c r="H417" s="1087" t="str">
        <f t="shared" si="249"/>
        <v>PG42</v>
      </c>
      <c r="I417" s="543" t="str">
        <f t="shared" si="250"/>
        <v>ВВГнг(A)-LS 5x70</v>
      </c>
      <c r="J417" s="1087" t="str">
        <f t="shared" si="251"/>
        <v>PG42</v>
      </c>
      <c r="K417" s="22"/>
    </row>
    <row r="418" spans="1:11" x14ac:dyDescent="0.2">
      <c r="A418" s="121" t="s">
        <v>187</v>
      </c>
      <c r="B418" s="121">
        <v>5</v>
      </c>
      <c r="C418" s="121">
        <v>70</v>
      </c>
      <c r="D418" s="121" t="str">
        <f t="shared" si="224"/>
        <v>5x70</v>
      </c>
      <c r="E418" s="121">
        <v>43.4</v>
      </c>
      <c r="F418" s="121" t="s">
        <v>190</v>
      </c>
      <c r="G418" s="5">
        <f t="shared" si="248"/>
        <v>0</v>
      </c>
      <c r="H418" s="5" t="str">
        <f t="shared" si="249"/>
        <v>PG48</v>
      </c>
      <c r="I418" s="126" t="str">
        <f t="shared" si="250"/>
        <v>Creolon B 5x70</v>
      </c>
      <c r="J418" s="5" t="str">
        <f t="shared" si="251"/>
        <v>PG48</v>
      </c>
      <c r="K418" s="22"/>
    </row>
    <row r="419" spans="1:11" x14ac:dyDescent="0.2">
      <c r="A419" s="121" t="s">
        <v>201</v>
      </c>
      <c r="B419" s="121">
        <v>5</v>
      </c>
      <c r="C419" s="121">
        <v>70</v>
      </c>
      <c r="D419" s="121" t="str">
        <f t="shared" si="224"/>
        <v>5x70</v>
      </c>
      <c r="E419" s="121">
        <v>43.6</v>
      </c>
      <c r="F419" s="121" t="s">
        <v>190</v>
      </c>
      <c r="G419" s="5">
        <f t="shared" si="248"/>
        <v>0</v>
      </c>
      <c r="H419" s="5" t="str">
        <f t="shared" si="249"/>
        <v>PG48</v>
      </c>
      <c r="I419" s="126" t="str">
        <f t="shared" si="250"/>
        <v>ВВГнг-FRLS 5x70</v>
      </c>
      <c r="J419" s="5" t="str">
        <f t="shared" si="251"/>
        <v>PG48</v>
      </c>
      <c r="K419" s="22"/>
    </row>
    <row r="420" spans="1:11" x14ac:dyDescent="0.2">
      <c r="A420" s="121" t="s">
        <v>191</v>
      </c>
      <c r="B420" s="121">
        <v>5</v>
      </c>
      <c r="C420" s="121">
        <v>70</v>
      </c>
      <c r="D420" s="121" t="str">
        <f t="shared" si="224"/>
        <v>5x70</v>
      </c>
      <c r="E420" s="121">
        <v>44.3</v>
      </c>
      <c r="F420" s="121" t="s">
        <v>215</v>
      </c>
      <c r="G420" s="5">
        <f t="shared" si="248"/>
        <v>0</v>
      </c>
      <c r="H420" s="5" t="str">
        <f t="shared" si="249"/>
        <v>MG63</v>
      </c>
      <c r="I420" s="126" t="str">
        <f t="shared" si="250"/>
        <v>Pyrohalon Plus 5x70</v>
      </c>
      <c r="J420" s="5" t="str">
        <f t="shared" si="251"/>
        <v>MG63</v>
      </c>
      <c r="K420" s="22"/>
    </row>
    <row r="421" spans="1:11" x14ac:dyDescent="0.2">
      <c r="A421" s="121" t="s">
        <v>209</v>
      </c>
      <c r="B421" s="121">
        <v>5</v>
      </c>
      <c r="C421" s="121">
        <v>70</v>
      </c>
      <c r="D421" s="121" t="str">
        <f t="shared" si="224"/>
        <v>5x70</v>
      </c>
      <c r="E421" s="121">
        <v>54.5</v>
      </c>
      <c r="F421" s="121" t="s">
        <v>911</v>
      </c>
      <c r="G421" s="5">
        <f t="shared" si="248"/>
        <v>0</v>
      </c>
      <c r="H421" s="5" t="str">
        <f t="shared" si="249"/>
        <v>У480</v>
      </c>
      <c r="I421" s="126" t="str">
        <f t="shared" si="250"/>
        <v>КГН 5x70</v>
      </c>
      <c r="J421" s="5" t="str">
        <f t="shared" si="251"/>
        <v>У480</v>
      </c>
      <c r="K421" s="22"/>
    </row>
    <row r="422" spans="1:11" x14ac:dyDescent="0.2">
      <c r="A422" s="121" t="s">
        <v>30</v>
      </c>
      <c r="B422" s="121">
        <v>5</v>
      </c>
      <c r="C422" s="121">
        <v>95</v>
      </c>
      <c r="D422" s="121" t="str">
        <f t="shared" si="224"/>
        <v>5x95</v>
      </c>
      <c r="E422" s="121">
        <v>0</v>
      </c>
      <c r="F422" s="296" t="str">
        <f t="shared" ref="F422" si="252">F423</f>
        <v>18153419  САЛЬНИК PG48, ДИАМЕТР ПРОВОДНИКА 36...44 ММ ТУ 3449-110-18461115-03</v>
      </c>
      <c r="G422" s="1087">
        <f t="shared" ref="G422" si="253">G423</f>
        <v>0</v>
      </c>
      <c r="H422" s="1087" t="str">
        <f t="shared" ref="H422" si="254">IF(
 ISNUMBER(MATCH("*PG42*",F422,0)),
 "PG42",
 IF(
  ISNUMBER(MATCH("*PG48*",F422,0)),
  "PG48",
  IF(
   ISNUMBER(MATCH("*MG63*",F422,0)),
   "MG63",
   IF(
    ISNUMBER(MATCH("*У479*",F422,0)),
    "У479",
    IF(
     ISNUMBER(MATCH("*У480*",F422,0)),
     "У480",
     0
    )
   )
  )
 )
)</f>
        <v>PG48</v>
      </c>
      <c r="I422" s="543" t="str">
        <f t="shared" ref="I422" si="255">A422&amp;" "&amp;D422</f>
        <v>- 5x95</v>
      </c>
      <c r="J422" s="1087" t="str">
        <f t="shared" ref="J422" si="256">J423</f>
        <v>PG48</v>
      </c>
      <c r="K422" s="22"/>
    </row>
    <row r="423" spans="1:11" x14ac:dyDescent="0.2">
      <c r="A423" s="121" t="s">
        <v>896</v>
      </c>
      <c r="B423" s="121">
        <v>5</v>
      </c>
      <c r="C423" s="121">
        <v>95</v>
      </c>
      <c r="D423" s="121" t="str">
        <f t="shared" si="224"/>
        <v>5x95</v>
      </c>
      <c r="E423" s="121">
        <v>41.2</v>
      </c>
      <c r="F423" s="121" t="s">
        <v>190</v>
      </c>
      <c r="G423" s="5">
        <f t="shared" ref="G423:G445" si="257">IF(
 ISNUMBER(MATCH("*PG13*",F423,0)),
 "PG13",
 IF(
  ISNUMBER(MATCH("*PG16*",F423,0)),
  "PG16",
  IF(
   ISNUMBER(MATCH("*PG21*",F423,0)),
   "PG21",
   IF(
    ISNUMBER(MATCH("*PG29*",F423,0)),
    "PG29",
    IF(
     ISNUMBER(MATCH("*PG36*",F423,0)),
     "PG36",
     0
    )
   )
  )
 )
)</f>
        <v>0</v>
      </c>
      <c r="H423" s="5" t="str">
        <f t="shared" ref="H423:H445" si="258">IF(
 ISNUMBER(MATCH("*PG42*",F423,0)),
 "PG42",
 IF(
  ISNUMBER(MATCH("*PG48*",F423,0)),
  "PG48",
  IF(
   ISNUMBER(MATCH("*MG63*",F423,0)),
   "MG63",
   IF(
    ISNUMBER(MATCH("*У479*",F423,0)),
    "У479",
    IF(
     ISNUMBER(MATCH("*У480*",F423,0)),
     "У480",
     0
    )
   )
  )
 )
)</f>
        <v>PG48</v>
      </c>
      <c r="I423" s="126" t="str">
        <f t="shared" ref="I423:I445" si="259">A423&amp;" "&amp;D423</f>
        <v>АВВГНг 5x95</v>
      </c>
      <c r="J423" s="5" t="str">
        <f t="shared" ref="J423:J445" si="260">IF(G423=0,H423,G423)</f>
        <v>PG48</v>
      </c>
      <c r="K423" s="22"/>
    </row>
    <row r="424" spans="1:11" x14ac:dyDescent="0.2">
      <c r="A424" s="121" t="s">
        <v>159</v>
      </c>
      <c r="B424" s="121">
        <v>5</v>
      </c>
      <c r="C424" s="121">
        <v>95</v>
      </c>
      <c r="D424" s="121" t="str">
        <f t="shared" si="224"/>
        <v>5x95</v>
      </c>
      <c r="E424" s="121">
        <v>41.7</v>
      </c>
      <c r="F424" s="121" t="s">
        <v>190</v>
      </c>
      <c r="G424" s="5">
        <f t="shared" si="257"/>
        <v>0</v>
      </c>
      <c r="H424" s="5" t="str">
        <f t="shared" si="258"/>
        <v>PG48</v>
      </c>
      <c r="I424" s="126" t="str">
        <f t="shared" si="259"/>
        <v>ВВГнг-LS 5x95</v>
      </c>
      <c r="J424" s="5" t="str">
        <f t="shared" si="260"/>
        <v>PG48</v>
      </c>
      <c r="K424" s="22"/>
    </row>
    <row r="425" spans="1:11" x14ac:dyDescent="0.2">
      <c r="A425" s="121" t="s">
        <v>196</v>
      </c>
      <c r="B425" s="121">
        <v>5</v>
      </c>
      <c r="C425" s="121">
        <v>95</v>
      </c>
      <c r="D425" s="121" t="str">
        <f t="shared" si="224"/>
        <v>5x95</v>
      </c>
      <c r="E425" s="121">
        <v>42</v>
      </c>
      <c r="F425" s="121" t="s">
        <v>190</v>
      </c>
      <c r="G425" s="5">
        <f t="shared" si="257"/>
        <v>0</v>
      </c>
      <c r="H425" s="5" t="str">
        <f t="shared" si="258"/>
        <v>PG48</v>
      </c>
      <c r="I425" s="126" t="str">
        <f t="shared" si="259"/>
        <v>АВВГнг-LS 5x95</v>
      </c>
      <c r="J425" s="5" t="str">
        <f t="shared" si="260"/>
        <v>PG48</v>
      </c>
      <c r="K425" s="22"/>
    </row>
    <row r="426" spans="1:11" x14ac:dyDescent="0.2">
      <c r="A426" s="121" t="s">
        <v>898</v>
      </c>
      <c r="B426" s="121">
        <v>5</v>
      </c>
      <c r="C426" s="121">
        <v>95</v>
      </c>
      <c r="D426" s="121" t="str">
        <f t="shared" si="224"/>
        <v>5x95</v>
      </c>
      <c r="E426" s="121">
        <v>43</v>
      </c>
      <c r="F426" s="121" t="s">
        <v>190</v>
      </c>
      <c r="G426" s="5">
        <f t="shared" si="257"/>
        <v>0</v>
      </c>
      <c r="H426" s="5" t="str">
        <f t="shared" si="258"/>
        <v>PG48</v>
      </c>
      <c r="I426" s="126" t="str">
        <f t="shared" si="259"/>
        <v>ВВГНг 5x95</v>
      </c>
      <c r="J426" s="5" t="str">
        <f t="shared" si="260"/>
        <v>PG48</v>
      </c>
      <c r="K426" s="22"/>
    </row>
    <row r="427" spans="1:11" x14ac:dyDescent="0.2">
      <c r="A427" s="121" t="s">
        <v>187</v>
      </c>
      <c r="B427" s="121">
        <v>5</v>
      </c>
      <c r="C427" s="121">
        <v>95</v>
      </c>
      <c r="D427" s="121" t="str">
        <f t="shared" si="224"/>
        <v>5x95</v>
      </c>
      <c r="E427" s="121">
        <v>43.9</v>
      </c>
      <c r="F427" s="121" t="s">
        <v>190</v>
      </c>
      <c r="G427" s="5">
        <f t="shared" si="257"/>
        <v>0</v>
      </c>
      <c r="H427" s="5" t="str">
        <f t="shared" si="258"/>
        <v>PG48</v>
      </c>
      <c r="I427" s="126" t="str">
        <f t="shared" si="259"/>
        <v>Creolon B 5x95</v>
      </c>
      <c r="J427" s="5" t="str">
        <f t="shared" si="260"/>
        <v>PG48</v>
      </c>
      <c r="K427" s="22"/>
    </row>
    <row r="428" spans="1:11" x14ac:dyDescent="0.2">
      <c r="A428" s="935" t="s">
        <v>198</v>
      </c>
      <c r="B428" s="121">
        <v>5</v>
      </c>
      <c r="C428" s="121">
        <v>95</v>
      </c>
      <c r="D428" s="121" t="str">
        <f t="shared" si="224"/>
        <v>5x95</v>
      </c>
      <c r="E428" s="936">
        <v>43.9</v>
      </c>
      <c r="F428" s="121" t="s">
        <v>190</v>
      </c>
      <c r="G428" s="937">
        <f t="shared" si="257"/>
        <v>0</v>
      </c>
      <c r="H428" s="5" t="str">
        <f t="shared" si="258"/>
        <v>PG48</v>
      </c>
      <c r="I428" s="126" t="str">
        <f t="shared" si="259"/>
        <v>АВВГЭнг-LS 5x95</v>
      </c>
      <c r="J428" s="5" t="str">
        <f t="shared" si="260"/>
        <v>PG48</v>
      </c>
      <c r="K428" s="22"/>
    </row>
    <row r="429" spans="1:11" x14ac:dyDescent="0.2">
      <c r="A429" s="296" t="s">
        <v>725</v>
      </c>
      <c r="B429" s="296">
        <v>5</v>
      </c>
      <c r="C429" s="296">
        <v>95</v>
      </c>
      <c r="D429" s="296" t="str">
        <f t="shared" si="224"/>
        <v>5x95</v>
      </c>
      <c r="E429" s="296">
        <v>44.1</v>
      </c>
      <c r="F429" s="298" t="s">
        <v>189</v>
      </c>
      <c r="G429" s="1087">
        <f t="shared" si="257"/>
        <v>0</v>
      </c>
      <c r="H429" s="1087" t="str">
        <f t="shared" si="258"/>
        <v>PG42</v>
      </c>
      <c r="I429" s="543" t="str">
        <f t="shared" si="259"/>
        <v>ВВГнг(A)-LS 5x95</v>
      </c>
      <c r="J429" s="1087" t="str">
        <f t="shared" si="260"/>
        <v>PG42</v>
      </c>
      <c r="K429" s="22"/>
    </row>
    <row r="430" spans="1:11" x14ac:dyDescent="0.2">
      <c r="A430" s="121" t="s">
        <v>213</v>
      </c>
      <c r="B430" s="121">
        <v>5</v>
      </c>
      <c r="C430" s="121">
        <v>95</v>
      </c>
      <c r="D430" s="121" t="str">
        <f t="shared" si="224"/>
        <v>5x95</v>
      </c>
      <c r="E430" s="121">
        <v>44.8</v>
      </c>
      <c r="F430" s="121" t="s">
        <v>215</v>
      </c>
      <c r="G430" s="5">
        <f t="shared" si="257"/>
        <v>0</v>
      </c>
      <c r="H430" s="5" t="str">
        <f t="shared" si="258"/>
        <v>MG63</v>
      </c>
      <c r="I430" s="126" t="str">
        <f t="shared" si="259"/>
        <v>ППГнг-НF 5x95</v>
      </c>
      <c r="J430" s="5" t="str">
        <f t="shared" si="260"/>
        <v>MG63</v>
      </c>
      <c r="K430" s="22"/>
    </row>
    <row r="431" spans="1:11" x14ac:dyDescent="0.2">
      <c r="A431" s="121" t="s">
        <v>909</v>
      </c>
      <c r="B431" s="121">
        <v>5</v>
      </c>
      <c r="C431" s="121">
        <v>95</v>
      </c>
      <c r="D431" s="121" t="str">
        <f t="shared" si="224"/>
        <v>5x95</v>
      </c>
      <c r="E431" s="121">
        <v>45</v>
      </c>
      <c r="F431" s="121" t="s">
        <v>215</v>
      </c>
      <c r="G431" s="5">
        <f t="shared" si="257"/>
        <v>0</v>
      </c>
      <c r="H431" s="5" t="str">
        <f t="shared" si="258"/>
        <v>MG63</v>
      </c>
      <c r="I431" s="126" t="str">
        <f t="shared" si="259"/>
        <v>ПвПнг(А)-HF 5x95</v>
      </c>
      <c r="J431" s="5" t="str">
        <f t="shared" si="260"/>
        <v>MG63</v>
      </c>
      <c r="K431" s="22"/>
    </row>
    <row r="432" spans="1:11" x14ac:dyDescent="0.2">
      <c r="A432" s="121" t="s">
        <v>199</v>
      </c>
      <c r="B432" s="121">
        <v>5</v>
      </c>
      <c r="C432" s="121">
        <v>95</v>
      </c>
      <c r="D432" s="121" t="str">
        <f t="shared" si="224"/>
        <v>5x95</v>
      </c>
      <c r="E432" s="121">
        <v>46.2</v>
      </c>
      <c r="F432" s="121" t="s">
        <v>215</v>
      </c>
      <c r="G432" s="5">
        <f t="shared" si="257"/>
        <v>0</v>
      </c>
      <c r="H432" s="5" t="str">
        <f t="shared" si="258"/>
        <v>MG63</v>
      </c>
      <c r="I432" s="126" t="str">
        <f t="shared" si="259"/>
        <v>ВБбШв 5x95</v>
      </c>
      <c r="J432" s="5" t="str">
        <f t="shared" si="260"/>
        <v>MG63</v>
      </c>
      <c r="K432" s="22"/>
    </row>
    <row r="433" spans="1:11" x14ac:dyDescent="0.2">
      <c r="A433" s="121" t="s">
        <v>908</v>
      </c>
      <c r="B433" s="121">
        <v>5</v>
      </c>
      <c r="C433" s="121">
        <v>95</v>
      </c>
      <c r="D433" s="121" t="str">
        <f t="shared" si="224"/>
        <v>5x95</v>
      </c>
      <c r="E433" s="121">
        <v>47</v>
      </c>
      <c r="F433" s="121" t="s">
        <v>215</v>
      </c>
      <c r="G433" s="5">
        <f t="shared" si="257"/>
        <v>0</v>
      </c>
      <c r="H433" s="5" t="str">
        <f t="shared" si="258"/>
        <v>MG63</v>
      </c>
      <c r="I433" s="126" t="str">
        <f t="shared" si="259"/>
        <v>ПвПнг(А)-FRHF 5x95</v>
      </c>
      <c r="J433" s="5" t="str">
        <f t="shared" si="260"/>
        <v>MG63</v>
      </c>
      <c r="K433" s="22"/>
    </row>
    <row r="434" spans="1:11" x14ac:dyDescent="0.2">
      <c r="A434" s="121" t="s">
        <v>201</v>
      </c>
      <c r="B434" s="121">
        <v>5</v>
      </c>
      <c r="C434" s="121">
        <v>95</v>
      </c>
      <c r="D434" s="121" t="str">
        <f t="shared" si="224"/>
        <v>5x95</v>
      </c>
      <c r="E434" s="121">
        <v>48.2</v>
      </c>
      <c r="F434" s="121" t="s">
        <v>215</v>
      </c>
      <c r="G434" s="5">
        <f t="shared" si="257"/>
        <v>0</v>
      </c>
      <c r="H434" s="5" t="str">
        <f t="shared" si="258"/>
        <v>MG63</v>
      </c>
      <c r="I434" s="126" t="str">
        <f t="shared" si="259"/>
        <v>ВВГнг-FRLS 5x95</v>
      </c>
      <c r="J434" s="5" t="str">
        <f t="shared" si="260"/>
        <v>MG63</v>
      </c>
      <c r="K434" s="22"/>
    </row>
    <row r="435" spans="1:11" x14ac:dyDescent="0.2">
      <c r="A435" s="121" t="s">
        <v>208</v>
      </c>
      <c r="B435" s="121">
        <v>5</v>
      </c>
      <c r="C435" s="121">
        <v>95</v>
      </c>
      <c r="D435" s="121" t="str">
        <f t="shared" si="224"/>
        <v>5x95</v>
      </c>
      <c r="E435" s="121">
        <v>53.3</v>
      </c>
      <c r="F435" s="121" t="s">
        <v>911</v>
      </c>
      <c r="G435" s="5">
        <f t="shared" si="257"/>
        <v>0</v>
      </c>
      <c r="H435" s="5" t="str">
        <f t="shared" si="258"/>
        <v>У480</v>
      </c>
      <c r="I435" s="126" t="str">
        <f t="shared" si="259"/>
        <v>КГВВнг 5x95</v>
      </c>
      <c r="J435" s="5" t="str">
        <f t="shared" si="260"/>
        <v>У480</v>
      </c>
      <c r="K435" s="22"/>
    </row>
    <row r="436" spans="1:11" x14ac:dyDescent="0.2">
      <c r="A436" s="121" t="s">
        <v>30</v>
      </c>
      <c r="B436" s="121">
        <v>5</v>
      </c>
      <c r="C436" s="121">
        <v>120</v>
      </c>
      <c r="D436" s="121" t="str">
        <f t="shared" si="224"/>
        <v>5x120</v>
      </c>
      <c r="E436" s="121">
        <v>0</v>
      </c>
      <c r="F436" s="121" t="s">
        <v>215</v>
      </c>
      <c r="G436" s="5">
        <f t="shared" si="257"/>
        <v>0</v>
      </c>
      <c r="H436" s="5" t="str">
        <f t="shared" si="258"/>
        <v>MG63</v>
      </c>
      <c r="I436" s="126" t="str">
        <f t="shared" si="259"/>
        <v>- 5x120</v>
      </c>
      <c r="J436" s="5" t="str">
        <f t="shared" si="260"/>
        <v>MG63</v>
      </c>
      <c r="K436" s="22"/>
    </row>
    <row r="437" spans="1:11" x14ac:dyDescent="0.2">
      <c r="A437" s="121" t="s">
        <v>898</v>
      </c>
      <c r="B437" s="121">
        <v>5</v>
      </c>
      <c r="C437" s="121">
        <v>120</v>
      </c>
      <c r="D437" s="121" t="str">
        <f t="shared" si="224"/>
        <v>5x120</v>
      </c>
      <c r="E437" s="121">
        <v>45</v>
      </c>
      <c r="F437" s="121" t="s">
        <v>215</v>
      </c>
      <c r="G437" s="5">
        <f t="shared" si="257"/>
        <v>0</v>
      </c>
      <c r="H437" s="5" t="str">
        <f t="shared" si="258"/>
        <v>MG63</v>
      </c>
      <c r="I437" s="126" t="str">
        <f t="shared" si="259"/>
        <v>ВВГНг 5x120</v>
      </c>
      <c r="J437" s="5" t="str">
        <f t="shared" si="260"/>
        <v>MG63</v>
      </c>
      <c r="K437" s="22"/>
    </row>
    <row r="438" spans="1:11" x14ac:dyDescent="0.2">
      <c r="A438" s="121" t="s">
        <v>896</v>
      </c>
      <c r="B438" s="121">
        <v>5</v>
      </c>
      <c r="C438" s="121">
        <v>120</v>
      </c>
      <c r="D438" s="121" t="str">
        <f t="shared" si="224"/>
        <v>5x120</v>
      </c>
      <c r="E438" s="121">
        <v>45.4</v>
      </c>
      <c r="F438" s="121" t="s">
        <v>215</v>
      </c>
      <c r="G438" s="5">
        <f t="shared" si="257"/>
        <v>0</v>
      </c>
      <c r="H438" s="5" t="str">
        <f t="shared" si="258"/>
        <v>MG63</v>
      </c>
      <c r="I438" s="126" t="str">
        <f t="shared" si="259"/>
        <v>АВВГНг 5x120</v>
      </c>
      <c r="J438" s="5" t="str">
        <f t="shared" si="260"/>
        <v>MG63</v>
      </c>
      <c r="K438" s="22"/>
    </row>
    <row r="439" spans="1:11" x14ac:dyDescent="0.2">
      <c r="A439" s="121" t="s">
        <v>196</v>
      </c>
      <c r="B439" s="121">
        <v>5</v>
      </c>
      <c r="C439" s="121">
        <v>120</v>
      </c>
      <c r="D439" s="121" t="str">
        <f t="shared" si="224"/>
        <v>5x120</v>
      </c>
      <c r="E439" s="121">
        <v>46.1</v>
      </c>
      <c r="F439" s="121" t="s">
        <v>215</v>
      </c>
      <c r="G439" s="5">
        <f t="shared" si="257"/>
        <v>0</v>
      </c>
      <c r="H439" s="5" t="str">
        <f t="shared" si="258"/>
        <v>MG63</v>
      </c>
      <c r="I439" s="126" t="str">
        <f t="shared" si="259"/>
        <v>АВВГнг-LS 5x120</v>
      </c>
      <c r="J439" s="5" t="str">
        <f t="shared" si="260"/>
        <v>MG63</v>
      </c>
      <c r="K439" s="22"/>
    </row>
    <row r="440" spans="1:11" x14ac:dyDescent="0.2">
      <c r="A440" s="121" t="s">
        <v>159</v>
      </c>
      <c r="B440" s="121">
        <v>5</v>
      </c>
      <c r="C440" s="121">
        <v>120</v>
      </c>
      <c r="D440" s="121" t="str">
        <f t="shared" si="224"/>
        <v>5x120</v>
      </c>
      <c r="E440" s="121">
        <v>46.1</v>
      </c>
      <c r="F440" s="121" t="s">
        <v>215</v>
      </c>
      <c r="G440" s="5">
        <f t="shared" si="257"/>
        <v>0</v>
      </c>
      <c r="H440" s="5" t="str">
        <f t="shared" si="258"/>
        <v>MG63</v>
      </c>
      <c r="I440" s="126" t="str">
        <f t="shared" si="259"/>
        <v>ВВГнг-LS 5x120</v>
      </c>
      <c r="J440" s="5" t="str">
        <f t="shared" si="260"/>
        <v>MG63</v>
      </c>
      <c r="K440" s="22"/>
    </row>
    <row r="441" spans="1:11" x14ac:dyDescent="0.2">
      <c r="A441" s="121" t="s">
        <v>213</v>
      </c>
      <c r="B441" s="121">
        <v>5</v>
      </c>
      <c r="C441" s="121">
        <v>120</v>
      </c>
      <c r="D441" s="121" t="str">
        <f t="shared" si="224"/>
        <v>5x120</v>
      </c>
      <c r="E441" s="121">
        <v>48</v>
      </c>
      <c r="F441" s="121" t="s">
        <v>215</v>
      </c>
      <c r="G441" s="5">
        <f t="shared" si="257"/>
        <v>0</v>
      </c>
      <c r="H441" s="5" t="str">
        <f t="shared" si="258"/>
        <v>MG63</v>
      </c>
      <c r="I441" s="126" t="str">
        <f t="shared" si="259"/>
        <v>ППГнг-НF 5x120</v>
      </c>
      <c r="J441" s="5" t="str">
        <f t="shared" si="260"/>
        <v>MG63</v>
      </c>
      <c r="K441" s="22"/>
    </row>
    <row r="442" spans="1:11" x14ac:dyDescent="0.2">
      <c r="A442" s="121" t="s">
        <v>909</v>
      </c>
      <c r="B442" s="121">
        <v>5</v>
      </c>
      <c r="C442" s="121">
        <v>120</v>
      </c>
      <c r="D442" s="121" t="str">
        <f t="shared" si="224"/>
        <v>5x120</v>
      </c>
      <c r="E442" s="121">
        <v>50.6</v>
      </c>
      <c r="F442" s="121" t="s">
        <v>215</v>
      </c>
      <c r="G442" s="5">
        <f t="shared" si="257"/>
        <v>0</v>
      </c>
      <c r="H442" s="5" t="str">
        <f t="shared" si="258"/>
        <v>MG63</v>
      </c>
      <c r="I442" s="126" t="str">
        <f t="shared" si="259"/>
        <v>ПвПнг(А)-HF 5x120</v>
      </c>
      <c r="J442" s="5" t="str">
        <f t="shared" si="260"/>
        <v>MG63</v>
      </c>
      <c r="K442" s="22"/>
    </row>
    <row r="443" spans="1:11" x14ac:dyDescent="0.2">
      <c r="A443" s="121" t="s">
        <v>201</v>
      </c>
      <c r="B443" s="121">
        <v>5</v>
      </c>
      <c r="C443" s="121">
        <v>120</v>
      </c>
      <c r="D443" s="121" t="str">
        <f t="shared" si="224"/>
        <v>5x120</v>
      </c>
      <c r="E443" s="121">
        <v>53.7</v>
      </c>
      <c r="F443" s="121" t="s">
        <v>911</v>
      </c>
      <c r="G443" s="5">
        <f t="shared" si="257"/>
        <v>0</v>
      </c>
      <c r="H443" s="5" t="str">
        <f t="shared" si="258"/>
        <v>У480</v>
      </c>
      <c r="I443" s="126" t="str">
        <f t="shared" si="259"/>
        <v>ВВГнг-FRLS 5x120</v>
      </c>
      <c r="J443" s="5" t="str">
        <f t="shared" si="260"/>
        <v>У480</v>
      </c>
      <c r="K443" s="22"/>
    </row>
    <row r="444" spans="1:11" x14ac:dyDescent="0.2">
      <c r="A444" s="121" t="s">
        <v>187</v>
      </c>
      <c r="B444" s="121">
        <v>5</v>
      </c>
      <c r="C444" s="121">
        <v>120</v>
      </c>
      <c r="D444" s="121" t="str">
        <f t="shared" si="224"/>
        <v>5x120</v>
      </c>
      <c r="E444" s="121">
        <v>54.3</v>
      </c>
      <c r="F444" s="121" t="s">
        <v>911</v>
      </c>
      <c r="G444" s="5">
        <f t="shared" si="257"/>
        <v>0</v>
      </c>
      <c r="H444" s="5" t="str">
        <f t="shared" si="258"/>
        <v>У480</v>
      </c>
      <c r="I444" s="126" t="str">
        <f t="shared" si="259"/>
        <v>Creolon B 5x120</v>
      </c>
      <c r="J444" s="5" t="str">
        <f t="shared" si="260"/>
        <v>У480</v>
      </c>
      <c r="K444" s="22"/>
    </row>
    <row r="445" spans="1:11" x14ac:dyDescent="0.2">
      <c r="A445" s="121" t="s">
        <v>191</v>
      </c>
      <c r="B445" s="121">
        <v>5</v>
      </c>
      <c r="C445" s="121">
        <v>120</v>
      </c>
      <c r="D445" s="121" t="str">
        <f t="shared" si="224"/>
        <v>5x120</v>
      </c>
      <c r="E445" s="121">
        <v>61</v>
      </c>
      <c r="F445" s="121" t="s">
        <v>911</v>
      </c>
      <c r="G445" s="5">
        <f t="shared" si="257"/>
        <v>0</v>
      </c>
      <c r="H445" s="5" t="str">
        <f t="shared" si="258"/>
        <v>У480</v>
      </c>
      <c r="I445" s="126" t="str">
        <f t="shared" si="259"/>
        <v>Pyrohalon Plus 5x120</v>
      </c>
      <c r="J445" s="5" t="str">
        <f t="shared" si="260"/>
        <v>У480</v>
      </c>
      <c r="K445" s="22"/>
    </row>
    <row r="446" spans="1:11" x14ac:dyDescent="0.2">
      <c r="A446" s="121" t="s">
        <v>30</v>
      </c>
      <c r="B446" s="121">
        <v>5</v>
      </c>
      <c r="C446" s="121">
        <v>150</v>
      </c>
      <c r="D446" s="121" t="str">
        <f t="shared" si="224"/>
        <v>5x150</v>
      </c>
      <c r="E446" s="121">
        <v>0</v>
      </c>
      <c r="F446" s="296" t="str">
        <f t="shared" ref="F446" si="261">F447</f>
        <v>18153408  U070603009 САЛЬНИК MG63, ДИАМЕТР ПРОВОДНИКА 44...54 ММ ТУ 3449-110-18461115-03</v>
      </c>
      <c r="G446" s="1087">
        <f t="shared" ref="G446" si="262">G447</f>
        <v>0</v>
      </c>
      <c r="H446" s="1087" t="str">
        <f t="shared" ref="H446" si="263">IF(
 ISNUMBER(MATCH("*PG42*",F446,0)),
 "PG42",
 IF(
  ISNUMBER(MATCH("*PG48*",F446,0)),
  "PG48",
  IF(
   ISNUMBER(MATCH("*MG63*",F446,0)),
   "MG63",
   IF(
    ISNUMBER(MATCH("*У479*",F446,0)),
    "У479",
    IF(
     ISNUMBER(MATCH("*У480*",F446,0)),
     "У480",
     0
    )
   )
  )
 )
)</f>
        <v>MG63</v>
      </c>
      <c r="I446" s="543" t="str">
        <f t="shared" ref="I446" si="264">A446&amp;" "&amp;D446</f>
        <v>- 5x150</v>
      </c>
      <c r="J446" s="1087" t="str">
        <f t="shared" ref="J446" si="265">J447</f>
        <v>MG63</v>
      </c>
      <c r="K446" s="22"/>
    </row>
    <row r="447" spans="1:11" x14ac:dyDescent="0.2">
      <c r="A447" s="121" t="s">
        <v>898</v>
      </c>
      <c r="B447" s="121">
        <v>5</v>
      </c>
      <c r="C447" s="121">
        <v>150</v>
      </c>
      <c r="D447" s="121" t="str">
        <f t="shared" si="224"/>
        <v>5x150</v>
      </c>
      <c r="E447" s="121">
        <v>47</v>
      </c>
      <c r="F447" s="121" t="s">
        <v>215</v>
      </c>
      <c r="G447" s="5">
        <f>IF(
 ISNUMBER(MATCH("*PG13*",F447,0)),
 "PG13",
 IF(
  ISNUMBER(MATCH("*PG16*",F447,0)),
  "PG16",
  IF(
   ISNUMBER(MATCH("*PG21*",F447,0)),
   "PG21",
   IF(
    ISNUMBER(MATCH("*PG29*",F447,0)),
    "PG29",
    IF(
     ISNUMBER(MATCH("*PG36*",F447,0)),
     "PG36",
     0
    )
   )
  )
 )
)</f>
        <v>0</v>
      </c>
      <c r="H447" s="5" t="str">
        <f>IF(
 ISNUMBER(MATCH("*PG42*",F447,0)),
 "PG42",
 IF(
  ISNUMBER(MATCH("*PG48*",F447,0)),
  "PG48",
  IF(
   ISNUMBER(MATCH("*MG63*",F447,0)),
   "MG63",
   IF(
    ISNUMBER(MATCH("*У479*",F447,0)),
    "У479",
    IF(
     ISNUMBER(MATCH("*У480*",F447,0)),
     "У480",
     0
    )
   )
  )
 )
)</f>
        <v>MG63</v>
      </c>
      <c r="I447" s="126" t="str">
        <f>A447&amp;" "&amp;D447</f>
        <v>ВВГНг 5x150</v>
      </c>
      <c r="J447" s="5" t="str">
        <f>IF(G447=0,H447,G447)</f>
        <v>MG63</v>
      </c>
      <c r="K447" s="22"/>
    </row>
    <row r="448" spans="1:11" x14ac:dyDescent="0.2">
      <c r="A448" s="121" t="s">
        <v>896</v>
      </c>
      <c r="B448" s="121">
        <v>5</v>
      </c>
      <c r="C448" s="121">
        <v>150</v>
      </c>
      <c r="D448" s="121" t="str">
        <f t="shared" si="224"/>
        <v>5x150</v>
      </c>
      <c r="E448" s="121">
        <v>50.1</v>
      </c>
      <c r="F448" s="121" t="s">
        <v>215</v>
      </c>
      <c r="G448" s="5">
        <f>IF(
 ISNUMBER(MATCH("*PG13*",F448,0)),
 "PG13",
 IF(
  ISNUMBER(MATCH("*PG16*",F448,0)),
  "PG16",
  IF(
   ISNUMBER(MATCH("*PG21*",F448,0)),
   "PG21",
   IF(
    ISNUMBER(MATCH("*PG29*",F448,0)),
    "PG29",
    IF(
     ISNUMBER(MATCH("*PG36*",F448,0)),
     "PG36",
     0
    )
   )
  )
 )
)</f>
        <v>0</v>
      </c>
      <c r="H448" s="5" t="str">
        <f>IF(
 ISNUMBER(MATCH("*PG42*",F448,0)),
 "PG42",
 IF(
  ISNUMBER(MATCH("*PG48*",F448,0)),
  "PG48",
  IF(
   ISNUMBER(MATCH("*MG63*",F448,0)),
   "MG63",
   IF(
    ISNUMBER(MATCH("*У479*",F448,0)),
    "У479",
    IF(
     ISNUMBER(MATCH("*У480*",F448,0)),
     "У480",
     0
    )
   )
  )
 )
)</f>
        <v>MG63</v>
      </c>
      <c r="I448" s="126" t="str">
        <f>A448&amp;" "&amp;D448</f>
        <v>АВВГНг 5x150</v>
      </c>
      <c r="J448" s="5" t="str">
        <f>IF(G448=0,H448,G448)</f>
        <v>MG63</v>
      </c>
      <c r="K448" s="22"/>
    </row>
    <row r="449" spans="1:11" x14ac:dyDescent="0.2">
      <c r="A449" s="121" t="s">
        <v>196</v>
      </c>
      <c r="B449" s="121">
        <v>5</v>
      </c>
      <c r="C449" s="121">
        <v>150</v>
      </c>
      <c r="D449" s="121" t="str">
        <f t="shared" si="224"/>
        <v>5x150</v>
      </c>
      <c r="E449" s="121">
        <v>50.1</v>
      </c>
      <c r="F449" s="121" t="s">
        <v>215</v>
      </c>
      <c r="G449" s="5">
        <f>IF(
 ISNUMBER(MATCH("*PG13*",F449,0)),
 "PG13",
 IF(
  ISNUMBER(MATCH("*PG16*",F449,0)),
  "PG16",
  IF(
   ISNUMBER(MATCH("*PG21*",F449,0)),
   "PG21",
   IF(
    ISNUMBER(MATCH("*PG29*",F449,0)),
    "PG29",
    IF(
     ISNUMBER(MATCH("*PG36*",F449,0)),
     "PG36",
     0
    )
   )
  )
 )
)</f>
        <v>0</v>
      </c>
      <c r="H449" s="5" t="str">
        <f>IF(
 ISNUMBER(MATCH("*PG42*",F449,0)),
 "PG42",
 IF(
  ISNUMBER(MATCH("*PG48*",F449,0)),
  "PG48",
  IF(
   ISNUMBER(MATCH("*MG63*",F449,0)),
   "MG63",
   IF(
    ISNUMBER(MATCH("*У479*",F449,0)),
    "У479",
    IF(
     ISNUMBER(MATCH("*У480*",F449,0)),
     "У480",
     0
    )
   )
  )
 )
)</f>
        <v>MG63</v>
      </c>
      <c r="I449" s="126" t="str">
        <f>A449&amp;" "&amp;D449</f>
        <v>АВВГнг-LS 5x150</v>
      </c>
      <c r="J449" s="5" t="str">
        <f>IF(G449=0,H449,G449)</f>
        <v>MG63</v>
      </c>
      <c r="K449" s="22"/>
    </row>
    <row r="450" spans="1:11" x14ac:dyDescent="0.2">
      <c r="A450" s="121" t="s">
        <v>159</v>
      </c>
      <c r="B450" s="121">
        <v>5</v>
      </c>
      <c r="C450" s="121">
        <v>150</v>
      </c>
      <c r="D450" s="121" t="str">
        <f t="shared" si="224"/>
        <v>5x150</v>
      </c>
      <c r="E450" s="121">
        <v>50.8</v>
      </c>
      <c r="F450" s="121" t="s">
        <v>215</v>
      </c>
      <c r="G450" s="5">
        <f>IF(
 ISNUMBER(MATCH("*PG13*",F450,0)),
 "PG13",
 IF(
  ISNUMBER(MATCH("*PG16*",F450,0)),
  "PG16",
  IF(
   ISNUMBER(MATCH("*PG21*",F450,0)),
   "PG21",
   IF(
    ISNUMBER(MATCH("*PG29*",F450,0)),
    "PG29",
    IF(
     ISNUMBER(MATCH("*PG36*",F450,0)),
     "PG36",
     0
    )
   )
  )
 )
)</f>
        <v>0</v>
      </c>
      <c r="H450" s="5" t="str">
        <f>IF(
 ISNUMBER(MATCH("*PG42*",F450,0)),
 "PG42",
 IF(
  ISNUMBER(MATCH("*PG48*",F450,0)),
  "PG48",
  IF(
   ISNUMBER(MATCH("*MG63*",F450,0)),
   "MG63",
   IF(
    ISNUMBER(MATCH("*У479*",F450,0)),
    "У479",
    IF(
     ISNUMBER(MATCH("*У480*",F450,0)),
     "У480",
     0
    )
   )
  )
 )
)</f>
        <v>MG63</v>
      </c>
      <c r="I450" s="126" t="str">
        <f>A450&amp;" "&amp;D450</f>
        <v>ВВГнг-LS 5x150</v>
      </c>
      <c r="J450" s="5" t="str">
        <f>IF(G450=0,H450,G450)</f>
        <v>MG63</v>
      </c>
      <c r="K450" s="22"/>
    </row>
    <row r="451" spans="1:11" x14ac:dyDescent="0.2">
      <c r="A451" s="121" t="s">
        <v>201</v>
      </c>
      <c r="B451" s="121">
        <v>5</v>
      </c>
      <c r="C451" s="121">
        <v>150</v>
      </c>
      <c r="D451" s="121" t="str">
        <f t="shared" ref="D451:D459" si="266">B451&amp;"x"&amp;C451</f>
        <v>5x150</v>
      </c>
      <c r="E451" s="121">
        <v>59</v>
      </c>
      <c r="F451" s="121" t="s">
        <v>911</v>
      </c>
      <c r="G451" s="5">
        <f>IF(
 ISNUMBER(MATCH("*PG13*",F451,0)),
 "PG13",
 IF(
  ISNUMBER(MATCH("*PG16*",F451,0)),
  "PG16",
  IF(
   ISNUMBER(MATCH("*PG21*",F451,0)),
   "PG21",
   IF(
    ISNUMBER(MATCH("*PG29*",F451,0)),
    "PG29",
    IF(
     ISNUMBER(MATCH("*PG36*",F451,0)),
     "PG36",
     0
    )
   )
  )
 )
)</f>
        <v>0</v>
      </c>
      <c r="H451" s="5" t="str">
        <f>IF(
 ISNUMBER(MATCH("*PG42*",F451,0)),
 "PG42",
 IF(
  ISNUMBER(MATCH("*PG48*",F451,0)),
  "PG48",
  IF(
   ISNUMBER(MATCH("*MG63*",F451,0)),
   "MG63",
   IF(
    ISNUMBER(MATCH("*У479*",F451,0)),
    "У479",
    IF(
     ISNUMBER(MATCH("*У480*",F451,0)),
     "У480",
     0
    )
   )
  )
 )
)</f>
        <v>У480</v>
      </c>
      <c r="I451" s="126" t="str">
        <f>A451&amp;" "&amp;D451</f>
        <v>ВВГнг-FRLS 5x150</v>
      </c>
      <c r="J451" s="5" t="str">
        <f>IF(G451=0,H451,G451)</f>
        <v>У480</v>
      </c>
      <c r="K451" s="22"/>
    </row>
    <row r="452" spans="1:11" x14ac:dyDescent="0.2">
      <c r="A452" s="121" t="s">
        <v>30</v>
      </c>
      <c r="B452" s="121">
        <v>5</v>
      </c>
      <c r="C452" s="121">
        <v>185</v>
      </c>
      <c r="D452" s="121" t="str">
        <f t="shared" si="266"/>
        <v>5x185</v>
      </c>
      <c r="E452" s="121">
        <v>0</v>
      </c>
      <c r="F452" s="296" t="str">
        <f t="shared" ref="F452" si="267">F453</f>
        <v>14020015  ПАТРУБОК ВВОДНОЙ У480  ( до 65мм), У3 ТУ 3449-013-01395331-2011</v>
      </c>
      <c r="G452" s="1087">
        <f t="shared" ref="G452" si="268">G453</f>
        <v>0</v>
      </c>
      <c r="H452" s="1087" t="str">
        <f t="shared" ref="H452" si="269">IF(
 ISNUMBER(MATCH("*PG42*",F452,0)),
 "PG42",
 IF(
  ISNUMBER(MATCH("*PG48*",F452,0)),
  "PG48",
  IF(
   ISNUMBER(MATCH("*MG63*",F452,0)),
   "MG63",
   IF(
    ISNUMBER(MATCH("*У479*",F452,0)),
    "У479",
    IF(
     ISNUMBER(MATCH("*У480*",F452,0)),
     "У480",
     0
    )
   )
  )
 )
)</f>
        <v>У480</v>
      </c>
      <c r="I452" s="543" t="str">
        <f t="shared" ref="I452" si="270">A452&amp;" "&amp;D452</f>
        <v>- 5x185</v>
      </c>
      <c r="J452" s="1087" t="str">
        <f t="shared" ref="J452" si="271">J453</f>
        <v>У480</v>
      </c>
      <c r="K452" s="22"/>
    </row>
    <row r="453" spans="1:11" x14ac:dyDescent="0.2">
      <c r="A453" s="121" t="s">
        <v>896</v>
      </c>
      <c r="B453" s="121">
        <v>5</v>
      </c>
      <c r="C453" s="121">
        <v>185</v>
      </c>
      <c r="D453" s="121" t="str">
        <f t="shared" si="266"/>
        <v>5x185</v>
      </c>
      <c r="E453" s="121">
        <v>55.3</v>
      </c>
      <c r="F453" s="121" t="s">
        <v>911</v>
      </c>
      <c r="G453" s="5">
        <f>IF(
 ISNUMBER(MATCH("*PG13*",F453,0)),
 "PG13",
 IF(
  ISNUMBER(MATCH("*PG16*",F453,0)),
  "PG16",
  IF(
   ISNUMBER(MATCH("*PG21*",F453,0)),
   "PG21",
   IF(
    ISNUMBER(MATCH("*PG29*",F453,0)),
    "PG29",
    IF(
     ISNUMBER(MATCH("*PG36*",F453,0)),
     "PG36",
     0
    )
   )
  )
 )
)</f>
        <v>0</v>
      </c>
      <c r="H453" s="5" t="str">
        <f>IF(
 ISNUMBER(MATCH("*PG42*",F453,0)),
 "PG42",
 IF(
  ISNUMBER(MATCH("*PG48*",F453,0)),
  "PG48",
  IF(
   ISNUMBER(MATCH("*MG63*",F453,0)),
   "MG63",
   IF(
    ISNUMBER(MATCH("*У479*",F453,0)),
    "У479",
    IF(
     ISNUMBER(MATCH("*У480*",F453,0)),
     "У480",
     0
    )
   )
  )
 )
)</f>
        <v>У480</v>
      </c>
      <c r="I453" s="126" t="str">
        <f>A453&amp;" "&amp;D453</f>
        <v>АВВГНг 5x185</v>
      </c>
      <c r="J453" s="5" t="str">
        <f>IF(G453=0,H453,G453)</f>
        <v>У480</v>
      </c>
      <c r="K453" s="22"/>
    </row>
    <row r="454" spans="1:11" x14ac:dyDescent="0.2">
      <c r="A454" s="121" t="s">
        <v>898</v>
      </c>
      <c r="B454" s="121">
        <v>5</v>
      </c>
      <c r="C454" s="121">
        <v>185</v>
      </c>
      <c r="D454" s="121" t="str">
        <f t="shared" si="266"/>
        <v>5x185</v>
      </c>
      <c r="E454" s="121">
        <v>55.3</v>
      </c>
      <c r="F454" s="121" t="s">
        <v>911</v>
      </c>
      <c r="G454" s="5">
        <f>IF(
 ISNUMBER(MATCH("*PG13*",F454,0)),
 "PG13",
 IF(
  ISNUMBER(MATCH("*PG16*",F454,0)),
  "PG16",
  IF(
   ISNUMBER(MATCH("*PG21*",F454,0)),
   "PG21",
   IF(
    ISNUMBER(MATCH("*PG29*",F454,0)),
    "PG29",
    IF(
     ISNUMBER(MATCH("*PG36*",F454,0)),
     "PG36",
     0
    )
   )
  )
 )
)</f>
        <v>0</v>
      </c>
      <c r="H454" s="5" t="str">
        <f>IF(
 ISNUMBER(MATCH("*PG42*",F454,0)),
 "PG42",
 IF(
  ISNUMBER(MATCH("*PG48*",F454,0)),
  "PG48",
  IF(
   ISNUMBER(MATCH("*MG63*",F454,0)),
   "MG63",
   IF(
    ISNUMBER(MATCH("*У479*",F454,0)),
    "У479",
    IF(
     ISNUMBER(MATCH("*У480*",F454,0)),
     "У480",
     0
    )
   )
  )
 )
)</f>
        <v>У480</v>
      </c>
      <c r="I454" s="126" t="str">
        <f>A454&amp;" "&amp;D454</f>
        <v>ВВГНг 5x185</v>
      </c>
      <c r="J454" s="5" t="str">
        <f>IF(G454=0,H454,G454)</f>
        <v>У480</v>
      </c>
      <c r="K454" s="22"/>
    </row>
    <row r="455" spans="1:11" x14ac:dyDescent="0.2">
      <c r="A455" s="121" t="s">
        <v>196</v>
      </c>
      <c r="B455" s="121">
        <v>5</v>
      </c>
      <c r="C455" s="121">
        <v>185</v>
      </c>
      <c r="D455" s="121" t="str">
        <f t="shared" si="266"/>
        <v>5x185</v>
      </c>
      <c r="E455" s="121">
        <v>56</v>
      </c>
      <c r="F455" s="121" t="s">
        <v>911</v>
      </c>
      <c r="G455" s="5">
        <f>IF(
 ISNUMBER(MATCH("*PG13*",F455,0)),
 "PG13",
 IF(
  ISNUMBER(MATCH("*PG16*",F455,0)),
  "PG16",
  IF(
   ISNUMBER(MATCH("*PG21*",F455,0)),
   "PG21",
   IF(
    ISNUMBER(MATCH("*PG29*",F455,0)),
    "PG29",
    IF(
     ISNUMBER(MATCH("*PG36*",F455,0)),
     "PG36",
     0
    )
   )
  )
 )
)</f>
        <v>0</v>
      </c>
      <c r="H455" s="5" t="str">
        <f>IF(
 ISNUMBER(MATCH("*PG42*",F455,0)),
 "PG42",
 IF(
  ISNUMBER(MATCH("*PG48*",F455,0)),
  "PG48",
  IF(
   ISNUMBER(MATCH("*MG63*",F455,0)),
   "MG63",
   IF(
    ISNUMBER(MATCH("*У479*",F455,0)),
    "У479",
    IF(
     ISNUMBER(MATCH("*У480*",F455,0)),
     "У480",
     0
    )
   )
  )
 )
)</f>
        <v>У480</v>
      </c>
      <c r="I455" s="126" t="str">
        <f>A455&amp;" "&amp;D455</f>
        <v>АВВГнг-LS 5x185</v>
      </c>
      <c r="J455" s="5" t="str">
        <f>IF(G455=0,H455,G455)</f>
        <v>У480</v>
      </c>
      <c r="K455" s="22"/>
    </row>
    <row r="456" spans="1:11" x14ac:dyDescent="0.2">
      <c r="A456" s="121" t="s">
        <v>159</v>
      </c>
      <c r="B456" s="121">
        <v>5</v>
      </c>
      <c r="C456" s="121">
        <v>185</v>
      </c>
      <c r="D456" s="121" t="str">
        <f t="shared" si="266"/>
        <v>5x185</v>
      </c>
      <c r="E456" s="121">
        <v>56</v>
      </c>
      <c r="F456" s="121" t="s">
        <v>911</v>
      </c>
      <c r="G456" s="5">
        <f>IF(
 ISNUMBER(MATCH("*PG13*",F456,0)),
 "PG13",
 IF(
  ISNUMBER(MATCH("*PG16*",F456,0)),
  "PG16",
  IF(
   ISNUMBER(MATCH("*PG21*",F456,0)),
   "PG21",
   IF(
    ISNUMBER(MATCH("*PG29*",F456,0)),
    "PG29",
    IF(
     ISNUMBER(MATCH("*PG36*",F456,0)),
     "PG36",
     0
    )
   )
  )
 )
)</f>
        <v>0</v>
      </c>
      <c r="H456" s="5" t="str">
        <f>IF(
 ISNUMBER(MATCH("*PG42*",F456,0)),
 "PG42",
 IF(
  ISNUMBER(MATCH("*PG48*",F456,0)),
  "PG48",
  IF(
   ISNUMBER(MATCH("*MG63*",F456,0)),
   "MG63",
   IF(
    ISNUMBER(MATCH("*У479*",F456,0)),
    "У479",
    IF(
     ISNUMBER(MATCH("*У480*",F456,0)),
     "У480",
     0
    )
   )
  )
 )
)</f>
        <v>У480</v>
      </c>
      <c r="I456" s="126" t="str">
        <f>A456&amp;" "&amp;D456</f>
        <v>ВВГнг-LS 5x185</v>
      </c>
      <c r="J456" s="5" t="str">
        <f>IF(G456=0,H456,G456)</f>
        <v>У480</v>
      </c>
      <c r="K456" s="22"/>
    </row>
    <row r="457" spans="1:11" x14ac:dyDescent="0.2">
      <c r="A457" s="121" t="s">
        <v>187</v>
      </c>
      <c r="B457" s="121">
        <v>5</v>
      </c>
      <c r="C457" s="121">
        <v>185</v>
      </c>
      <c r="D457" s="121" t="str">
        <f t="shared" si="266"/>
        <v>5x185</v>
      </c>
      <c r="E457" s="121">
        <v>61</v>
      </c>
      <c r="F457" s="121" t="s">
        <v>911</v>
      </c>
      <c r="G457" s="5">
        <f>IF(
 ISNUMBER(MATCH("*PG13*",F457,0)),
 "PG13",
 IF(
  ISNUMBER(MATCH("*PG16*",F457,0)),
  "PG16",
  IF(
   ISNUMBER(MATCH("*PG21*",F457,0)),
   "PG21",
   IF(
    ISNUMBER(MATCH("*PG29*",F457,0)),
    "PG29",
    IF(
     ISNUMBER(MATCH("*PG36*",F457,0)),
     "PG36",
     0
    )
   )
  )
 )
)</f>
        <v>0</v>
      </c>
      <c r="H457" s="5" t="str">
        <f>IF(
 ISNUMBER(MATCH("*PG42*",F457,0)),
 "PG42",
 IF(
  ISNUMBER(MATCH("*PG48*",F457,0)),
  "PG48",
  IF(
   ISNUMBER(MATCH("*MG63*",F457,0)),
   "MG63",
   IF(
    ISNUMBER(MATCH("*У479*",F457,0)),
    "У479",
    IF(
     ISNUMBER(MATCH("*У480*",F457,0)),
     "У480",
     0
    )
   )
  )
 )
)</f>
        <v>У480</v>
      </c>
      <c r="I457" s="126" t="str">
        <f>A457&amp;" "&amp;D457</f>
        <v>Creolon B 5x185</v>
      </c>
      <c r="J457" s="5" t="str">
        <f>IF(G457=0,H457,G457)</f>
        <v>У480</v>
      </c>
      <c r="K457" s="22"/>
    </row>
    <row r="458" spans="1:11" x14ac:dyDescent="0.2">
      <c r="A458" s="121" t="s">
        <v>30</v>
      </c>
      <c r="B458" s="121">
        <v>5</v>
      </c>
      <c r="C458" s="121">
        <v>200</v>
      </c>
      <c r="D458" s="121" t="str">
        <f t="shared" si="266"/>
        <v>5x200</v>
      </c>
      <c r="E458" s="121">
        <v>0</v>
      </c>
      <c r="F458" s="296">
        <f t="shared" ref="F458:F459" si="272">F459</f>
        <v>0</v>
      </c>
      <c r="G458" s="1087">
        <f t="shared" ref="G458:G459" si="273">G459</f>
        <v>0</v>
      </c>
      <c r="H458" s="1087">
        <f t="shared" ref="H458:H459" si="274">IF(
 ISNUMBER(MATCH("*PG42*",F458,0)),
 "PG42",
 IF(
  ISNUMBER(MATCH("*PG48*",F458,0)),
  "PG48",
  IF(
   ISNUMBER(MATCH("*MG63*",F458,0)),
   "MG63",
   IF(
    ISNUMBER(MATCH("*У479*",F458,0)),
    "У479",
    IF(
     ISNUMBER(MATCH("*У480*",F458,0)),
     "У480",
     0
    )
   )
  )
 )
)</f>
        <v>0</v>
      </c>
      <c r="I458" s="543" t="str">
        <f t="shared" ref="I458:I459" si="275">A458&amp;" "&amp;D458</f>
        <v>- 5x200</v>
      </c>
      <c r="J458" s="1087">
        <f t="shared" ref="J458:J459" si="276">J459</f>
        <v>0</v>
      </c>
      <c r="K458" s="22"/>
    </row>
    <row r="459" spans="1:11" x14ac:dyDescent="0.2">
      <c r="A459" s="121" t="s">
        <v>30</v>
      </c>
      <c r="B459" s="121">
        <v>5</v>
      </c>
      <c r="C459" s="121">
        <v>240</v>
      </c>
      <c r="D459" s="121" t="str">
        <f t="shared" si="266"/>
        <v>5x240</v>
      </c>
      <c r="E459" s="121">
        <v>0</v>
      </c>
      <c r="F459" s="296">
        <f t="shared" si="272"/>
        <v>0</v>
      </c>
      <c r="G459" s="1087">
        <f t="shared" si="273"/>
        <v>0</v>
      </c>
      <c r="H459" s="1087">
        <f t="shared" si="274"/>
        <v>0</v>
      </c>
      <c r="I459" s="543" t="str">
        <f t="shared" si="275"/>
        <v>- 5x240</v>
      </c>
      <c r="J459" s="1087">
        <f t="shared" si="276"/>
        <v>0</v>
      </c>
      <c r="K459" s="22"/>
    </row>
    <row r="460" spans="1:11" x14ac:dyDescent="0.2">
      <c r="A460" s="18"/>
      <c r="B460" s="18"/>
      <c r="C460" s="18"/>
      <c r="D460" s="18"/>
      <c r="E460" s="18"/>
      <c r="F460" s="18"/>
      <c r="G460" s="3"/>
      <c r="H460" s="3"/>
      <c r="I460" s="39"/>
      <c r="K460" s="22"/>
    </row>
    <row r="461" spans="1:11" x14ac:dyDescent="0.2">
      <c r="A461" s="18"/>
      <c r="B461" s="18"/>
      <c r="C461" s="18"/>
      <c r="D461" s="18"/>
      <c r="E461" s="18"/>
      <c r="F461" s="18"/>
      <c r="G461" s="3"/>
      <c r="H461" s="3"/>
      <c r="I461" s="39"/>
      <c r="K461" s="22"/>
    </row>
    <row r="462" spans="1:11" x14ac:dyDescent="0.2">
      <c r="A462" s="18"/>
      <c r="B462" s="18"/>
      <c r="C462" s="18"/>
      <c r="D462" s="18"/>
      <c r="E462" s="18"/>
      <c r="F462" s="18"/>
      <c r="G462" s="3"/>
      <c r="H462" s="3"/>
      <c r="I462" s="39"/>
      <c r="K462" s="22"/>
    </row>
    <row r="463" spans="1:11" x14ac:dyDescent="0.2">
      <c r="A463" s="18"/>
      <c r="B463" s="18"/>
      <c r="C463" s="18"/>
      <c r="D463" s="18"/>
      <c r="E463" s="18"/>
      <c r="F463" s="18"/>
      <c r="G463" s="3"/>
      <c r="H463" s="3"/>
      <c r="I463" s="39"/>
      <c r="K463" s="22"/>
    </row>
    <row r="464" spans="1:11" x14ac:dyDescent="0.2">
      <c r="A464" s="18"/>
      <c r="B464" s="18"/>
      <c r="C464" s="18"/>
      <c r="D464" s="18"/>
      <c r="E464" s="18"/>
      <c r="F464" s="18"/>
      <c r="G464" s="3"/>
      <c r="H464" s="3"/>
      <c r="I464" s="39"/>
      <c r="K464" s="22"/>
    </row>
    <row r="465" spans="1:11" x14ac:dyDescent="0.2">
      <c r="A465" s="18"/>
      <c r="B465" s="18"/>
      <c r="C465" s="18"/>
      <c r="D465" s="18"/>
      <c r="E465" s="18"/>
      <c r="F465" s="18"/>
      <c r="G465" s="3"/>
      <c r="H465" s="3"/>
      <c r="I465" s="39"/>
      <c r="K465" s="22"/>
    </row>
    <row r="466" spans="1:11" x14ac:dyDescent="0.2">
      <c r="A466" s="18"/>
      <c r="B466" s="18"/>
      <c r="C466" s="18"/>
      <c r="D466" s="18"/>
      <c r="E466" s="18"/>
      <c r="F466" s="18"/>
      <c r="G466" s="3"/>
      <c r="H466" s="3"/>
      <c r="I466" s="39"/>
      <c r="K466" s="22"/>
    </row>
    <row r="467" spans="1:11" x14ac:dyDescent="0.2">
      <c r="A467" s="18"/>
      <c r="B467" s="18"/>
      <c r="C467" s="18"/>
      <c r="D467" s="18"/>
      <c r="E467" s="18"/>
      <c r="F467" s="18"/>
      <c r="G467" s="3"/>
      <c r="H467" s="3"/>
      <c r="I467" s="39"/>
      <c r="K467" s="22"/>
    </row>
    <row r="468" spans="1:11" x14ac:dyDescent="0.2">
      <c r="A468" s="18"/>
      <c r="B468" s="18"/>
      <c r="C468" s="18"/>
      <c r="D468" s="18"/>
      <c r="E468" s="18"/>
      <c r="F468" s="18"/>
      <c r="G468" s="3"/>
      <c r="H468" s="3"/>
      <c r="I468" s="39"/>
      <c r="K468" s="22"/>
    </row>
    <row r="469" spans="1:11" x14ac:dyDescent="0.2">
      <c r="A469" s="18"/>
      <c r="B469" s="18"/>
      <c r="C469" s="18"/>
      <c r="D469" s="18"/>
      <c r="E469" s="18"/>
      <c r="F469" s="18"/>
      <c r="G469" s="3"/>
      <c r="H469" s="3"/>
      <c r="I469" s="39"/>
      <c r="K469" s="22"/>
    </row>
    <row r="470" spans="1:11" x14ac:dyDescent="0.2">
      <c r="A470" s="18"/>
      <c r="B470" s="18"/>
      <c r="C470" s="18"/>
      <c r="D470" s="18"/>
      <c r="E470" s="18"/>
      <c r="F470" s="18"/>
      <c r="G470" s="3"/>
      <c r="H470" s="3"/>
      <c r="I470" s="39"/>
      <c r="K470" s="22"/>
    </row>
    <row r="471" spans="1:11" x14ac:dyDescent="0.2">
      <c r="A471" s="18"/>
      <c r="B471" s="18"/>
      <c r="C471" s="18"/>
      <c r="D471" s="18"/>
      <c r="E471" s="18"/>
      <c r="F471" s="18"/>
      <c r="G471" s="3"/>
      <c r="H471" s="3"/>
      <c r="I471" s="39"/>
      <c r="K471" s="22"/>
    </row>
    <row r="472" spans="1:11" x14ac:dyDescent="0.2">
      <c r="A472" s="18"/>
      <c r="B472" s="18"/>
      <c r="C472" s="18"/>
      <c r="D472" s="18"/>
      <c r="E472" s="18"/>
      <c r="F472" s="18"/>
      <c r="G472" s="3"/>
      <c r="H472" s="3"/>
      <c r="I472" s="39"/>
      <c r="K472" s="22"/>
    </row>
    <row r="473" spans="1:11" x14ac:dyDescent="0.2">
      <c r="A473" s="18"/>
      <c r="B473" s="18"/>
      <c r="C473" s="18"/>
      <c r="D473" s="18"/>
      <c r="E473" s="18"/>
      <c r="F473" s="18"/>
      <c r="G473" s="3"/>
      <c r="H473" s="3"/>
      <c r="I473" s="39"/>
      <c r="K473" s="22"/>
    </row>
    <row r="474" spans="1:11" x14ac:dyDescent="0.2">
      <c r="A474" s="18"/>
      <c r="B474" s="18"/>
      <c r="C474" s="18"/>
      <c r="D474" s="18"/>
      <c r="E474" s="18"/>
      <c r="F474" s="18"/>
      <c r="G474" s="3"/>
      <c r="H474" s="3"/>
      <c r="I474" s="39"/>
      <c r="K474" s="22"/>
    </row>
    <row r="475" spans="1:11" x14ac:dyDescent="0.2">
      <c r="A475" s="18"/>
      <c r="B475" s="18"/>
      <c r="C475" s="18"/>
      <c r="D475" s="18"/>
      <c r="E475" s="18"/>
      <c r="F475" s="18"/>
      <c r="G475" s="3"/>
      <c r="H475" s="3"/>
      <c r="I475" s="39"/>
      <c r="K475" s="22"/>
    </row>
    <row r="476" spans="1:11" x14ac:dyDescent="0.2">
      <c r="A476" s="18"/>
      <c r="B476" s="18"/>
      <c r="C476" s="18"/>
      <c r="D476" s="18"/>
      <c r="E476" s="18"/>
      <c r="F476" s="18"/>
      <c r="G476" s="3"/>
      <c r="H476" s="3"/>
      <c r="I476" s="39"/>
      <c r="K476" s="22"/>
    </row>
    <row r="477" spans="1:11" x14ac:dyDescent="0.2">
      <c r="A477" s="18"/>
      <c r="B477" s="18"/>
      <c r="C477" s="18"/>
      <c r="D477" s="18"/>
      <c r="E477" s="18"/>
      <c r="F477" s="18"/>
      <c r="G477" s="3"/>
      <c r="H477" s="3"/>
      <c r="I477" s="39"/>
      <c r="K477" s="22"/>
    </row>
    <row r="478" spans="1:11" x14ac:dyDescent="0.2">
      <c r="A478" s="18"/>
      <c r="B478" s="18"/>
      <c r="C478" s="18"/>
      <c r="D478" s="18"/>
      <c r="E478" s="18"/>
      <c r="F478" s="18"/>
      <c r="G478" s="3"/>
      <c r="H478" s="3"/>
      <c r="I478" s="39"/>
      <c r="K478" s="22"/>
    </row>
    <row r="479" spans="1:11" x14ac:dyDescent="0.2">
      <c r="A479" s="18"/>
      <c r="B479" s="18"/>
      <c r="C479" s="18"/>
      <c r="D479" s="18"/>
      <c r="E479" s="18"/>
      <c r="F479" s="18"/>
      <c r="G479" s="3"/>
      <c r="H479" s="3"/>
      <c r="I479" s="39"/>
      <c r="K479" s="22"/>
    </row>
    <row r="480" spans="1:11" x14ac:dyDescent="0.2">
      <c r="A480" s="18"/>
      <c r="B480" s="18"/>
      <c r="C480" s="18"/>
      <c r="D480" s="18"/>
      <c r="E480" s="18"/>
      <c r="F480" s="18"/>
      <c r="G480" s="3"/>
      <c r="H480" s="3"/>
      <c r="I480" s="39"/>
      <c r="K480" s="22"/>
    </row>
    <row r="481" spans="1:11" x14ac:dyDescent="0.2">
      <c r="A481" s="18"/>
      <c r="B481" s="18"/>
      <c r="C481" s="18"/>
      <c r="D481" s="18"/>
      <c r="E481" s="18"/>
      <c r="F481" s="18"/>
      <c r="G481" s="3"/>
      <c r="H481" s="3"/>
      <c r="I481" s="39"/>
      <c r="K481" s="22"/>
    </row>
    <row r="482" spans="1:11" x14ac:dyDescent="0.2">
      <c r="A482" s="18"/>
      <c r="B482" s="18"/>
      <c r="C482" s="18"/>
      <c r="D482" s="18"/>
      <c r="E482" s="18"/>
      <c r="F482" s="18"/>
      <c r="G482" s="3"/>
      <c r="H482" s="3"/>
      <c r="I482" s="39"/>
      <c r="K482" s="22"/>
    </row>
    <row r="483" spans="1:11" x14ac:dyDescent="0.2">
      <c r="A483" s="18"/>
      <c r="B483" s="18"/>
      <c r="C483" s="18"/>
      <c r="D483" s="18"/>
      <c r="E483" s="18"/>
      <c r="F483" s="18"/>
      <c r="G483" s="3"/>
      <c r="H483" s="3"/>
      <c r="I483" s="39"/>
      <c r="K483" s="22"/>
    </row>
    <row r="484" spans="1:11" x14ac:dyDescent="0.2">
      <c r="A484" s="18"/>
      <c r="B484" s="18"/>
      <c r="C484" s="18"/>
      <c r="D484" s="18"/>
      <c r="E484" s="18"/>
      <c r="F484" s="18"/>
      <c r="G484" s="3"/>
      <c r="H484" s="3"/>
      <c r="I484" s="39"/>
      <c r="K484" s="22"/>
    </row>
    <row r="485" spans="1:11" x14ac:dyDescent="0.2">
      <c r="A485" s="18"/>
      <c r="B485" s="18"/>
      <c r="C485" s="18"/>
      <c r="D485" s="18"/>
      <c r="E485" s="18"/>
      <c r="F485" s="18"/>
      <c r="G485" s="3"/>
      <c r="H485" s="3"/>
      <c r="I485" s="39"/>
      <c r="K485" s="22"/>
    </row>
    <row r="486" spans="1:11" x14ac:dyDescent="0.2">
      <c r="A486" s="18"/>
      <c r="B486" s="18"/>
      <c r="C486" s="18"/>
      <c r="D486" s="18"/>
      <c r="E486" s="18"/>
      <c r="F486" s="18"/>
      <c r="G486" s="3"/>
      <c r="H486" s="3"/>
      <c r="I486" s="39"/>
      <c r="K486" s="22"/>
    </row>
    <row r="487" spans="1:11" x14ac:dyDescent="0.2">
      <c r="A487" s="18"/>
      <c r="B487" s="18"/>
      <c r="C487" s="18"/>
      <c r="D487" s="18"/>
      <c r="E487" s="18"/>
      <c r="F487" s="18"/>
      <c r="G487" s="3"/>
      <c r="H487" s="3"/>
      <c r="I487" s="39"/>
      <c r="K487" s="22"/>
    </row>
    <row r="488" spans="1:11" x14ac:dyDescent="0.2">
      <c r="A488" s="18"/>
      <c r="B488" s="18"/>
      <c r="C488" s="18"/>
      <c r="D488" s="18"/>
      <c r="E488" s="18"/>
      <c r="F488" s="18"/>
      <c r="G488" s="3"/>
      <c r="H488" s="3"/>
      <c r="I488" s="39"/>
      <c r="K488" s="22"/>
    </row>
    <row r="489" spans="1:11" x14ac:dyDescent="0.2">
      <c r="A489" s="18"/>
      <c r="B489" s="18"/>
      <c r="C489" s="18"/>
      <c r="D489" s="18"/>
      <c r="E489" s="18"/>
      <c r="F489" s="18"/>
      <c r="G489" s="3"/>
      <c r="H489" s="3"/>
      <c r="I489" s="39"/>
      <c r="K489" s="22"/>
    </row>
    <row r="490" spans="1:11" x14ac:dyDescent="0.2">
      <c r="A490" s="18"/>
      <c r="B490" s="18"/>
      <c r="C490" s="18"/>
      <c r="D490" s="18"/>
      <c r="E490" s="18"/>
      <c r="F490" s="18"/>
      <c r="G490" s="3"/>
      <c r="H490" s="3"/>
      <c r="I490" s="39"/>
      <c r="K490" s="22"/>
    </row>
    <row r="491" spans="1:11" x14ac:dyDescent="0.2">
      <c r="A491" s="18"/>
      <c r="B491" s="18"/>
      <c r="C491" s="18"/>
      <c r="D491" s="18"/>
      <c r="E491" s="18"/>
      <c r="F491" s="18"/>
      <c r="G491" s="3"/>
      <c r="H491" s="3"/>
      <c r="I491" s="39"/>
      <c r="K491" s="22"/>
    </row>
    <row r="492" spans="1:11" x14ac:dyDescent="0.2">
      <c r="A492" s="18"/>
      <c r="B492" s="18"/>
      <c r="C492" s="18"/>
      <c r="D492" s="18"/>
      <c r="E492" s="18"/>
      <c r="F492" s="18"/>
      <c r="G492" s="3"/>
      <c r="H492" s="3"/>
      <c r="I492" s="39"/>
      <c r="K492" s="22"/>
    </row>
    <row r="493" spans="1:11" x14ac:dyDescent="0.2">
      <c r="A493" s="18"/>
      <c r="B493" s="18"/>
      <c r="C493" s="18"/>
      <c r="D493" s="18"/>
      <c r="E493" s="18"/>
      <c r="F493" s="18"/>
      <c r="G493" s="3"/>
      <c r="H493" s="3"/>
      <c r="I493" s="39"/>
      <c r="K493" s="22"/>
    </row>
    <row r="494" spans="1:11" x14ac:dyDescent="0.2">
      <c r="A494" s="18"/>
      <c r="B494" s="18"/>
      <c r="C494" s="18"/>
      <c r="D494" s="18"/>
      <c r="E494" s="18"/>
      <c r="F494" s="18"/>
      <c r="G494" s="3"/>
      <c r="H494" s="3"/>
      <c r="I494" s="39"/>
      <c r="K494" s="22"/>
    </row>
    <row r="495" spans="1:11" x14ac:dyDescent="0.2">
      <c r="A495" s="18"/>
      <c r="B495" s="18"/>
      <c r="C495" s="18"/>
      <c r="D495" s="18"/>
      <c r="E495" s="18"/>
      <c r="F495" s="18"/>
      <c r="G495" s="3"/>
      <c r="H495" s="3"/>
      <c r="I495" s="39"/>
      <c r="K495" s="22"/>
    </row>
    <row r="496" spans="1:11" x14ac:dyDescent="0.2">
      <c r="A496" s="18"/>
      <c r="B496" s="18"/>
      <c r="C496" s="18"/>
      <c r="D496" s="18"/>
      <c r="E496" s="18"/>
      <c r="F496" s="18"/>
      <c r="G496" s="3"/>
      <c r="H496" s="3"/>
      <c r="I496" s="39"/>
      <c r="K496" s="22"/>
    </row>
    <row r="497" spans="1:11" x14ac:dyDescent="0.2">
      <c r="A497" s="18"/>
      <c r="B497" s="18"/>
      <c r="C497" s="18"/>
      <c r="D497" s="18"/>
      <c r="E497" s="18"/>
      <c r="F497" s="18"/>
      <c r="G497" s="3"/>
      <c r="H497" s="3"/>
      <c r="I497" s="39"/>
      <c r="K497" s="22"/>
    </row>
    <row r="498" spans="1:11" x14ac:dyDescent="0.2">
      <c r="A498" s="18"/>
      <c r="B498" s="18"/>
      <c r="C498" s="18"/>
      <c r="D498" s="18"/>
      <c r="E498" s="18"/>
      <c r="F498" s="18"/>
      <c r="G498" s="3"/>
      <c r="H498" s="3"/>
      <c r="I498" s="39"/>
      <c r="K498" s="22"/>
    </row>
    <row r="499" spans="1:11" x14ac:dyDescent="0.2">
      <c r="A499" s="18"/>
      <c r="B499" s="18"/>
      <c r="C499" s="18"/>
      <c r="D499" s="18"/>
      <c r="E499" s="18"/>
      <c r="F499" s="18"/>
      <c r="G499" s="3"/>
      <c r="H499" s="3"/>
      <c r="I499" s="39"/>
      <c r="K499" s="22"/>
    </row>
    <row r="500" spans="1:11" x14ac:dyDescent="0.2">
      <c r="A500" s="18"/>
      <c r="B500" s="18"/>
      <c r="C500" s="18"/>
      <c r="D500" s="18"/>
      <c r="E500" s="18"/>
      <c r="F500" s="18"/>
      <c r="G500" s="3"/>
      <c r="H500" s="3"/>
      <c r="I500" s="39"/>
      <c r="K500" s="22"/>
    </row>
    <row r="501" spans="1:11" x14ac:dyDescent="0.2">
      <c r="A501" s="18"/>
      <c r="B501" s="18"/>
      <c r="C501" s="18"/>
      <c r="D501" s="18"/>
      <c r="E501" s="18"/>
      <c r="F501" s="18"/>
      <c r="G501" s="3"/>
      <c r="H501" s="3"/>
      <c r="I501" s="39"/>
      <c r="K501" s="22"/>
    </row>
    <row r="502" spans="1:11" x14ac:dyDescent="0.2">
      <c r="A502" s="18"/>
      <c r="B502" s="18"/>
      <c r="C502" s="18"/>
      <c r="D502" s="18"/>
      <c r="E502" s="18"/>
      <c r="F502" s="18"/>
      <c r="G502" s="3"/>
      <c r="H502" s="3"/>
      <c r="I502" s="39"/>
      <c r="K502" s="22"/>
    </row>
    <row r="503" spans="1:11" x14ac:dyDescent="0.2">
      <c r="A503" s="18"/>
      <c r="B503" s="18"/>
      <c r="C503" s="18"/>
      <c r="D503" s="18"/>
      <c r="E503" s="18"/>
      <c r="F503" s="18"/>
      <c r="G503" s="3"/>
      <c r="H503" s="3"/>
      <c r="I503" s="39"/>
      <c r="K503" s="22"/>
    </row>
    <row r="504" spans="1:11" x14ac:dyDescent="0.2">
      <c r="A504" s="18"/>
      <c r="B504" s="18"/>
      <c r="C504" s="18"/>
      <c r="D504" s="18"/>
      <c r="E504" s="18"/>
      <c r="F504" s="18"/>
      <c r="G504" s="3"/>
      <c r="H504" s="3"/>
      <c r="I504" s="39"/>
      <c r="K504" s="22"/>
    </row>
    <row r="505" spans="1:11" x14ac:dyDescent="0.2">
      <c r="A505" s="18"/>
      <c r="B505" s="18"/>
      <c r="C505" s="18"/>
      <c r="D505" s="18"/>
      <c r="E505" s="18"/>
      <c r="F505" s="18"/>
      <c r="G505" s="3"/>
      <c r="H505" s="3"/>
      <c r="I505" s="39"/>
      <c r="K505" s="22"/>
    </row>
    <row r="506" spans="1:11" x14ac:dyDescent="0.2">
      <c r="A506" s="18"/>
      <c r="B506" s="18"/>
      <c r="C506" s="18"/>
      <c r="D506" s="18"/>
      <c r="E506" s="18"/>
      <c r="F506" s="18"/>
      <c r="G506" s="3"/>
      <c r="H506" s="3"/>
      <c r="I506" s="39"/>
      <c r="K506" s="22"/>
    </row>
    <row r="507" spans="1:11" x14ac:dyDescent="0.2">
      <c r="A507" s="18"/>
      <c r="B507" s="18"/>
      <c r="C507" s="18"/>
      <c r="D507" s="18"/>
      <c r="E507" s="18"/>
      <c r="F507" s="18"/>
      <c r="G507" s="3"/>
      <c r="H507" s="3"/>
      <c r="I507" s="39"/>
      <c r="K507" s="22"/>
    </row>
    <row r="508" spans="1:11" x14ac:dyDescent="0.2">
      <c r="A508" s="18"/>
      <c r="B508" s="18"/>
      <c r="C508" s="18"/>
      <c r="D508" s="18"/>
      <c r="E508" s="18"/>
      <c r="F508" s="18"/>
      <c r="G508" s="3"/>
      <c r="H508" s="3"/>
      <c r="I508" s="39"/>
      <c r="K508" s="22"/>
    </row>
    <row r="509" spans="1:11" x14ac:dyDescent="0.2">
      <c r="A509" s="18"/>
      <c r="B509" s="18"/>
      <c r="C509" s="18"/>
      <c r="D509" s="18"/>
      <c r="E509" s="18"/>
      <c r="F509" s="18"/>
      <c r="G509" s="3"/>
      <c r="H509" s="3"/>
      <c r="I509" s="39"/>
      <c r="K509" s="22"/>
    </row>
    <row r="510" spans="1:11" x14ac:dyDescent="0.2">
      <c r="A510" s="18"/>
      <c r="B510" s="18"/>
      <c r="C510" s="18"/>
      <c r="D510" s="18"/>
      <c r="E510" s="18"/>
      <c r="F510" s="18"/>
      <c r="G510" s="3"/>
      <c r="H510" s="3"/>
      <c r="I510" s="39"/>
      <c r="K510" s="22"/>
    </row>
    <row r="511" spans="1:11" x14ac:dyDescent="0.2">
      <c r="A511" s="18"/>
      <c r="B511" s="18"/>
      <c r="C511" s="18"/>
      <c r="D511" s="18"/>
      <c r="E511" s="18"/>
      <c r="F511" s="18"/>
      <c r="G511" s="3"/>
      <c r="H511" s="3"/>
      <c r="I511" s="39"/>
      <c r="K511" s="22"/>
    </row>
    <row r="512" spans="1:11" x14ac:dyDescent="0.2">
      <c r="A512" s="18"/>
      <c r="B512" s="18"/>
      <c r="C512" s="18"/>
      <c r="D512" s="18"/>
      <c r="E512" s="18"/>
      <c r="F512" s="18"/>
      <c r="G512" s="3"/>
      <c r="H512" s="3"/>
      <c r="I512" s="39"/>
      <c r="K512" s="22"/>
    </row>
    <row r="513" spans="1:15" x14ac:dyDescent="0.2">
      <c r="A513" s="18"/>
      <c r="B513" s="18"/>
      <c r="C513" s="18"/>
      <c r="D513" s="18"/>
      <c r="E513" s="18"/>
      <c r="F513" s="18"/>
      <c r="G513" s="3"/>
      <c r="H513" s="3"/>
      <c r="I513" s="39"/>
      <c r="K513" s="22"/>
    </row>
    <row r="514" spans="1:15" x14ac:dyDescent="0.2">
      <c r="A514" s="18"/>
      <c r="B514" s="18"/>
      <c r="C514" s="18"/>
      <c r="D514" s="18"/>
      <c r="E514" s="18"/>
      <c r="F514" s="18"/>
      <c r="G514" s="3"/>
      <c r="H514" s="3"/>
      <c r="I514" s="39"/>
      <c r="K514" s="22"/>
    </row>
    <row r="515" spans="1:15" x14ac:dyDescent="0.2">
      <c r="A515" s="18"/>
      <c r="B515" s="18"/>
      <c r="C515" s="18"/>
      <c r="D515" s="18"/>
      <c r="E515" s="18"/>
      <c r="F515" s="18"/>
      <c r="G515" s="3"/>
      <c r="H515" s="3"/>
      <c r="I515" s="39"/>
      <c r="K515" s="22"/>
    </row>
    <row r="516" spans="1:15" x14ac:dyDescent="0.2">
      <c r="A516" s="18"/>
      <c r="B516" s="18"/>
      <c r="C516" s="18"/>
      <c r="D516" s="18"/>
      <c r="E516" s="18"/>
      <c r="F516" s="18"/>
      <c r="G516" s="3"/>
      <c r="H516" s="3"/>
      <c r="I516" s="39"/>
      <c r="K516" s="22"/>
    </row>
    <row r="517" spans="1:15" x14ac:dyDescent="0.2">
      <c r="A517" s="18"/>
      <c r="B517" s="18"/>
      <c r="C517" s="18"/>
      <c r="D517" s="18"/>
      <c r="E517" s="18"/>
      <c r="F517" s="18"/>
      <c r="G517" s="3"/>
      <c r="H517" s="3"/>
      <c r="I517" s="39"/>
      <c r="K517" s="22"/>
    </row>
    <row r="518" spans="1:15" x14ac:dyDescent="0.2">
      <c r="A518" s="18"/>
      <c r="B518" s="18"/>
      <c r="C518" s="18"/>
      <c r="D518" s="18"/>
      <c r="E518" s="18"/>
      <c r="F518" s="18"/>
      <c r="G518" s="3"/>
      <c r="H518" s="3"/>
      <c r="I518" s="39"/>
      <c r="K518" s="22"/>
    </row>
    <row r="519" spans="1:15" x14ac:dyDescent="0.2">
      <c r="A519" s="18"/>
      <c r="B519" s="18"/>
      <c r="C519" s="18"/>
      <c r="D519" s="18"/>
      <c r="E519" s="18"/>
      <c r="F519" s="18"/>
      <c r="G519" s="3"/>
      <c r="H519" s="3"/>
      <c r="I519" s="39"/>
      <c r="K519" s="22"/>
    </row>
    <row r="520" spans="1:15" x14ac:dyDescent="0.2">
      <c r="A520" s="18"/>
      <c r="B520" s="18"/>
      <c r="C520" s="18"/>
      <c r="D520" s="18"/>
      <c r="E520" s="18"/>
      <c r="F520" s="18"/>
      <c r="G520" s="3"/>
      <c r="H520" s="3"/>
      <c r="I520" s="39"/>
      <c r="K520" s="22"/>
    </row>
    <row r="521" spans="1:15" x14ac:dyDescent="0.2">
      <c r="A521" s="18"/>
      <c r="B521" s="18"/>
      <c r="C521" s="18"/>
      <c r="D521" s="18"/>
      <c r="E521" s="18"/>
      <c r="F521" s="18"/>
      <c r="G521" s="3"/>
      <c r="H521" s="3"/>
      <c r="I521" s="39"/>
      <c r="K521" s="22"/>
      <c r="L521" s="9"/>
      <c r="M521" s="9"/>
      <c r="N521" s="9"/>
      <c r="O521" s="9"/>
    </row>
    <row r="522" spans="1:15" x14ac:dyDescent="0.2">
      <c r="A522" s="18"/>
      <c r="B522" s="18"/>
      <c r="C522" s="18"/>
      <c r="D522" s="18"/>
      <c r="E522" s="18"/>
      <c r="F522" s="18"/>
      <c r="G522" s="3"/>
      <c r="H522" s="3"/>
      <c r="I522" s="39"/>
      <c r="K522" s="22"/>
      <c r="L522" s="9"/>
      <c r="M522" s="9"/>
      <c r="N522" s="9"/>
      <c r="O522" s="9"/>
    </row>
    <row r="523" spans="1:15" x14ac:dyDescent="0.2">
      <c r="A523" s="18"/>
      <c r="B523" s="18"/>
      <c r="C523" s="18"/>
      <c r="D523" s="18"/>
      <c r="E523" s="18"/>
      <c r="F523" s="18"/>
      <c r="G523" s="3"/>
      <c r="H523" s="3"/>
      <c r="I523" s="39"/>
      <c r="K523" s="22"/>
      <c r="L523" s="9"/>
      <c r="M523" s="9"/>
      <c r="N523" s="9"/>
      <c r="O523" s="9"/>
    </row>
    <row r="524" spans="1:15" x14ac:dyDescent="0.2">
      <c r="A524" s="18"/>
      <c r="B524" s="18"/>
      <c r="C524" s="18"/>
      <c r="D524" s="18"/>
      <c r="E524" s="18"/>
      <c r="F524" s="18"/>
      <c r="G524" s="3"/>
      <c r="H524" s="3"/>
      <c r="I524" s="39"/>
      <c r="K524" s="22"/>
      <c r="L524" s="9"/>
      <c r="M524" s="9"/>
      <c r="N524" s="9"/>
      <c r="O524" s="9"/>
    </row>
    <row r="525" spans="1:15" x14ac:dyDescent="0.2">
      <c r="A525" s="18"/>
      <c r="B525" s="18"/>
      <c r="C525" s="18"/>
      <c r="D525" s="18"/>
      <c r="E525" s="18"/>
      <c r="F525" s="18"/>
      <c r="G525" s="3"/>
      <c r="H525" s="3"/>
      <c r="I525" s="39"/>
      <c r="K525" s="22"/>
      <c r="L525" s="9"/>
      <c r="M525" s="9"/>
      <c r="N525" s="9"/>
      <c r="O525" s="9"/>
    </row>
    <row r="526" spans="1:15" x14ac:dyDescent="0.2">
      <c r="A526" s="18"/>
      <c r="B526" s="18"/>
      <c r="C526" s="18"/>
      <c r="D526" s="18"/>
      <c r="E526" s="18"/>
      <c r="F526" s="18"/>
      <c r="G526" s="3"/>
      <c r="H526" s="3"/>
      <c r="I526" s="39"/>
      <c r="K526" s="22"/>
      <c r="L526" s="9"/>
      <c r="M526" s="9"/>
      <c r="N526" s="9"/>
      <c r="O526" s="9"/>
    </row>
    <row r="527" spans="1:15" x14ac:dyDescent="0.2">
      <c r="A527" s="18"/>
      <c r="B527" s="18"/>
      <c r="C527" s="18"/>
      <c r="D527" s="18"/>
      <c r="E527" s="18"/>
      <c r="F527" s="18"/>
      <c r="G527" s="3"/>
      <c r="H527" s="3"/>
      <c r="I527" s="39"/>
      <c r="K527" s="22"/>
      <c r="L527" s="9"/>
      <c r="M527" s="9"/>
      <c r="N527" s="9"/>
      <c r="O527" s="9"/>
    </row>
    <row r="528" spans="1:15" x14ac:dyDescent="0.2">
      <c r="A528" s="18"/>
      <c r="B528" s="18"/>
      <c r="C528" s="18"/>
      <c r="D528" s="18"/>
      <c r="E528" s="18"/>
      <c r="F528" s="18"/>
      <c r="G528" s="3"/>
      <c r="H528" s="3"/>
      <c r="I528" s="39"/>
      <c r="K528" s="22"/>
      <c r="L528" s="9"/>
      <c r="M528" s="9"/>
      <c r="N528" s="9"/>
      <c r="O528" s="9"/>
    </row>
    <row r="529" spans="1:15" x14ac:dyDescent="0.2">
      <c r="A529" s="18"/>
      <c r="B529" s="18"/>
      <c r="C529" s="18"/>
      <c r="D529" s="18"/>
      <c r="E529" s="18"/>
      <c r="F529" s="18"/>
      <c r="G529" s="3"/>
      <c r="H529" s="3"/>
      <c r="I529" s="39"/>
      <c r="K529" s="22"/>
      <c r="L529" s="9"/>
      <c r="M529" s="9"/>
      <c r="N529" s="9"/>
      <c r="O529" s="9"/>
    </row>
    <row r="530" spans="1:15" x14ac:dyDescent="0.2">
      <c r="A530" s="18"/>
      <c r="B530" s="18"/>
      <c r="C530" s="18"/>
      <c r="D530" s="18"/>
      <c r="E530" s="18"/>
      <c r="F530" s="18"/>
      <c r="G530" s="3"/>
      <c r="H530" s="3"/>
      <c r="I530" s="39"/>
      <c r="K530" s="22"/>
      <c r="L530" s="9"/>
      <c r="M530" s="9"/>
      <c r="N530" s="9"/>
      <c r="O530" s="9"/>
    </row>
    <row r="531" spans="1:15" x14ac:dyDescent="0.2">
      <c r="A531" s="18"/>
      <c r="B531" s="18"/>
      <c r="C531" s="18"/>
      <c r="D531" s="18"/>
      <c r="E531" s="18"/>
      <c r="F531" s="18"/>
      <c r="G531" s="3"/>
      <c r="H531" s="3"/>
      <c r="I531" s="39"/>
      <c r="K531" s="22"/>
      <c r="L531" s="9"/>
      <c r="M531" s="9"/>
      <c r="N531" s="9"/>
      <c r="O531" s="9"/>
    </row>
    <row r="532" spans="1:15" x14ac:dyDescent="0.2">
      <c r="A532" s="18"/>
      <c r="B532" s="18"/>
      <c r="C532" s="18"/>
      <c r="D532" s="18"/>
      <c r="E532" s="18"/>
      <c r="F532" s="18"/>
      <c r="G532" s="3"/>
      <c r="H532" s="3"/>
      <c r="I532" s="39"/>
      <c r="K532" s="22"/>
      <c r="L532" s="9"/>
      <c r="M532" s="9"/>
      <c r="N532" s="9"/>
      <c r="O532" s="9"/>
    </row>
    <row r="533" spans="1:15" x14ac:dyDescent="0.2">
      <c r="A533" s="18"/>
      <c r="B533" s="18"/>
      <c r="C533" s="18"/>
      <c r="D533" s="18"/>
      <c r="E533" s="18"/>
      <c r="F533" s="18"/>
      <c r="G533" s="3"/>
      <c r="H533" s="3"/>
      <c r="I533" s="39"/>
      <c r="K533" s="22"/>
      <c r="L533" s="9"/>
      <c r="M533" s="9"/>
      <c r="N533" s="9"/>
      <c r="O533" s="9"/>
    </row>
    <row r="534" spans="1:15" x14ac:dyDescent="0.2">
      <c r="A534" s="18"/>
      <c r="B534" s="18"/>
      <c r="C534" s="18"/>
      <c r="D534" s="18"/>
      <c r="E534" s="18"/>
      <c r="F534" s="18"/>
      <c r="G534" s="3"/>
      <c r="H534" s="3"/>
      <c r="I534" s="39"/>
      <c r="K534" s="22"/>
      <c r="L534" s="9"/>
      <c r="M534" s="9"/>
      <c r="N534" s="9"/>
      <c r="O534" s="9"/>
    </row>
    <row r="535" spans="1:15" x14ac:dyDescent="0.2">
      <c r="A535" s="18"/>
      <c r="B535" s="18"/>
      <c r="C535" s="18"/>
      <c r="D535" s="18"/>
      <c r="E535" s="18"/>
      <c r="F535" s="18"/>
      <c r="G535" s="3"/>
      <c r="H535" s="3"/>
      <c r="I535" s="39"/>
      <c r="K535" s="22"/>
      <c r="L535" s="9"/>
      <c r="M535" s="9"/>
      <c r="N535" s="9"/>
      <c r="O535" s="9"/>
    </row>
    <row r="536" spans="1:15" x14ac:dyDescent="0.2">
      <c r="A536" s="18"/>
      <c r="B536" s="18"/>
      <c r="C536" s="18"/>
      <c r="D536" s="18"/>
      <c r="E536" s="18"/>
      <c r="F536" s="18"/>
      <c r="G536" s="3"/>
      <c r="H536" s="3"/>
      <c r="I536" s="39"/>
      <c r="K536" s="22"/>
      <c r="L536" s="9"/>
      <c r="M536" s="9"/>
      <c r="N536" s="9"/>
      <c r="O536" s="9"/>
    </row>
    <row r="537" spans="1:15" x14ac:dyDescent="0.2">
      <c r="A537" s="18"/>
      <c r="B537" s="18"/>
      <c r="C537" s="18"/>
      <c r="D537" s="18"/>
      <c r="E537" s="18"/>
      <c r="F537" s="18"/>
      <c r="G537" s="3"/>
      <c r="H537" s="3"/>
      <c r="I537" s="39"/>
      <c r="K537" s="22"/>
      <c r="L537" s="9"/>
      <c r="M537" s="9"/>
      <c r="N537" s="9"/>
      <c r="O537" s="9"/>
    </row>
    <row r="538" spans="1:15" x14ac:dyDescent="0.2">
      <c r="A538" s="18"/>
      <c r="B538" s="18"/>
      <c r="C538" s="18"/>
      <c r="D538" s="18"/>
      <c r="E538" s="18"/>
      <c r="F538" s="18"/>
      <c r="G538" s="3"/>
      <c r="H538" s="3"/>
      <c r="I538" s="39"/>
      <c r="K538" s="22"/>
      <c r="L538" s="9"/>
      <c r="M538" s="9"/>
      <c r="N538" s="9"/>
      <c r="O538" s="9"/>
    </row>
    <row r="539" spans="1:15" x14ac:dyDescent="0.2">
      <c r="A539" s="18"/>
      <c r="B539" s="18"/>
      <c r="C539" s="18"/>
      <c r="D539" s="18"/>
      <c r="E539" s="18"/>
      <c r="F539" s="18"/>
      <c r="G539" s="3"/>
      <c r="H539" s="3"/>
      <c r="I539" s="39"/>
      <c r="K539" s="22"/>
      <c r="L539" s="9"/>
      <c r="M539" s="9"/>
      <c r="N539" s="9"/>
      <c r="O539" s="9"/>
    </row>
    <row r="540" spans="1:15" x14ac:dyDescent="0.2">
      <c r="A540" s="18"/>
      <c r="B540" s="18"/>
      <c r="C540" s="18"/>
      <c r="D540" s="18"/>
      <c r="E540" s="18"/>
      <c r="F540" s="18"/>
      <c r="G540" s="3"/>
      <c r="H540" s="3"/>
      <c r="I540" s="39"/>
      <c r="K540" s="22"/>
      <c r="L540" s="9"/>
      <c r="M540" s="9"/>
      <c r="N540" s="9"/>
      <c r="O540" s="9"/>
    </row>
    <row r="541" spans="1:15" x14ac:dyDescent="0.2">
      <c r="A541" s="18"/>
      <c r="B541" s="18"/>
      <c r="C541" s="18"/>
      <c r="D541" s="18"/>
      <c r="E541" s="18"/>
      <c r="F541" s="18"/>
      <c r="G541" s="3"/>
      <c r="H541" s="3"/>
      <c r="I541" s="39"/>
      <c r="K541" s="22"/>
      <c r="L541" s="9"/>
      <c r="M541" s="9"/>
      <c r="N541" s="9"/>
      <c r="O541" s="9"/>
    </row>
    <row r="542" spans="1:15" x14ac:dyDescent="0.2">
      <c r="A542" s="18"/>
      <c r="B542" s="18"/>
      <c r="C542" s="18"/>
      <c r="D542" s="18"/>
      <c r="E542" s="18"/>
      <c r="F542" s="18"/>
      <c r="G542" s="3"/>
      <c r="H542" s="3"/>
      <c r="I542" s="39"/>
      <c r="K542" s="22"/>
      <c r="L542" s="9"/>
      <c r="M542" s="9"/>
      <c r="N542" s="9"/>
      <c r="O542" s="9"/>
    </row>
    <row r="543" spans="1:15" x14ac:dyDescent="0.2">
      <c r="A543" s="18"/>
      <c r="B543" s="18"/>
      <c r="C543" s="18"/>
      <c r="D543" s="18"/>
      <c r="E543" s="18"/>
      <c r="F543" s="18"/>
      <c r="G543" s="3"/>
      <c r="H543" s="3"/>
      <c r="I543" s="39"/>
      <c r="K543" s="22"/>
      <c r="L543" s="9"/>
      <c r="M543" s="9"/>
      <c r="N543" s="9"/>
      <c r="O543" s="9"/>
    </row>
    <row r="544" spans="1:15" x14ac:dyDescent="0.2">
      <c r="A544" s="18"/>
      <c r="B544" s="18"/>
      <c r="C544" s="18"/>
      <c r="D544" s="18"/>
      <c r="E544" s="18"/>
      <c r="F544" s="18"/>
      <c r="G544" s="3"/>
      <c r="H544" s="3"/>
      <c r="I544" s="39"/>
      <c r="K544" s="22"/>
      <c r="L544" s="9"/>
      <c r="M544" s="9"/>
      <c r="N544" s="9"/>
      <c r="O544" s="9"/>
    </row>
    <row r="545" spans="1:15" x14ac:dyDescent="0.2">
      <c r="A545" s="18"/>
      <c r="B545" s="18"/>
      <c r="C545" s="18"/>
      <c r="D545" s="18"/>
      <c r="E545" s="18"/>
      <c r="F545" s="18"/>
      <c r="G545" s="3"/>
      <c r="H545" s="3"/>
      <c r="I545" s="39"/>
      <c r="K545" s="22"/>
      <c r="L545" s="9"/>
      <c r="M545" s="9"/>
      <c r="N545" s="9"/>
      <c r="O545" s="9"/>
    </row>
    <row r="546" spans="1:15" x14ac:dyDescent="0.2">
      <c r="A546" s="18"/>
      <c r="B546" s="18"/>
      <c r="C546" s="18"/>
      <c r="D546" s="18"/>
      <c r="E546" s="18"/>
      <c r="F546" s="18"/>
      <c r="G546" s="3"/>
      <c r="H546" s="3"/>
      <c r="I546" s="39"/>
      <c r="K546" s="22"/>
      <c r="L546" s="9"/>
      <c r="M546" s="9"/>
      <c r="N546" s="9"/>
      <c r="O546" s="9"/>
    </row>
    <row r="547" spans="1:15" x14ac:dyDescent="0.2">
      <c r="A547" s="18"/>
      <c r="B547" s="18"/>
      <c r="C547" s="18"/>
      <c r="D547" s="18"/>
      <c r="E547" s="18"/>
      <c r="F547" s="18"/>
      <c r="G547" s="3"/>
      <c r="H547" s="3"/>
      <c r="I547" s="39"/>
      <c r="K547" s="22"/>
      <c r="L547" s="9"/>
      <c r="M547" s="9"/>
      <c r="N547" s="9"/>
      <c r="O547" s="9"/>
    </row>
    <row r="548" spans="1:15" x14ac:dyDescent="0.2">
      <c r="A548" s="18"/>
      <c r="B548" s="18"/>
      <c r="C548" s="18"/>
      <c r="D548" s="18"/>
      <c r="E548" s="18"/>
      <c r="F548" s="18"/>
      <c r="G548" s="3"/>
      <c r="H548" s="3"/>
      <c r="I548" s="39"/>
      <c r="K548" s="22"/>
      <c r="L548" s="9"/>
      <c r="M548" s="9"/>
      <c r="N548" s="9"/>
      <c r="O548" s="9"/>
    </row>
    <row r="549" spans="1:15" x14ac:dyDescent="0.2">
      <c r="A549" s="18"/>
      <c r="B549" s="18"/>
      <c r="C549" s="18"/>
      <c r="D549" s="18"/>
      <c r="E549" s="18"/>
      <c r="F549" s="18"/>
      <c r="G549" s="3"/>
      <c r="H549" s="3"/>
      <c r="I549" s="39"/>
      <c r="K549" s="22"/>
      <c r="L549" s="9"/>
      <c r="M549" s="9"/>
      <c r="N549" s="9"/>
      <c r="O549" s="9"/>
    </row>
    <row r="550" spans="1:15" x14ac:dyDescent="0.2">
      <c r="A550" s="18"/>
      <c r="B550" s="18"/>
      <c r="C550" s="18"/>
      <c r="D550" s="18"/>
      <c r="E550" s="18"/>
      <c r="F550" s="18"/>
      <c r="G550" s="3"/>
      <c r="H550" s="3"/>
      <c r="I550" s="39"/>
      <c r="K550" s="22"/>
      <c r="L550" s="9"/>
      <c r="M550" s="9"/>
      <c r="N550" s="9"/>
      <c r="O550" s="9"/>
    </row>
    <row r="551" spans="1:15" x14ac:dyDescent="0.2">
      <c r="A551" s="18"/>
      <c r="B551" s="18"/>
      <c r="C551" s="18"/>
      <c r="D551" s="18"/>
      <c r="E551" s="18"/>
      <c r="F551" s="18"/>
      <c r="G551" s="3"/>
      <c r="H551" s="3"/>
      <c r="I551" s="39"/>
      <c r="K551" s="22"/>
      <c r="L551" s="9"/>
      <c r="M551" s="9"/>
      <c r="N551" s="9"/>
      <c r="O551" s="9"/>
    </row>
    <row r="552" spans="1:15" x14ac:dyDescent="0.2">
      <c r="A552" s="18"/>
      <c r="B552" s="18"/>
      <c r="C552" s="18"/>
      <c r="D552" s="18"/>
      <c r="E552" s="18"/>
      <c r="F552" s="18"/>
      <c r="G552" s="3"/>
      <c r="H552" s="3"/>
      <c r="I552" s="39"/>
      <c r="K552" s="22"/>
      <c r="L552" s="9"/>
      <c r="M552" s="9"/>
      <c r="N552" s="9"/>
      <c r="O552" s="9"/>
    </row>
    <row r="553" spans="1:15" x14ac:dyDescent="0.2">
      <c r="A553" s="18"/>
      <c r="B553" s="18"/>
      <c r="C553" s="18"/>
      <c r="D553" s="18"/>
      <c r="E553" s="18"/>
      <c r="F553" s="18"/>
      <c r="G553" s="3"/>
      <c r="H553" s="3"/>
      <c r="I553" s="39"/>
      <c r="K553" s="22"/>
      <c r="L553" s="9"/>
      <c r="M553" s="9"/>
      <c r="N553" s="9"/>
      <c r="O553" s="9"/>
    </row>
    <row r="554" spans="1:15" x14ac:dyDescent="0.2">
      <c r="A554" s="18"/>
      <c r="B554" s="18"/>
      <c r="C554" s="18"/>
      <c r="D554" s="18"/>
      <c r="E554" s="18"/>
      <c r="F554" s="18"/>
      <c r="G554" s="3"/>
      <c r="H554" s="3"/>
      <c r="I554" s="39"/>
      <c r="K554" s="22"/>
      <c r="L554" s="9"/>
      <c r="M554" s="9"/>
      <c r="N554" s="9"/>
      <c r="O554" s="9"/>
    </row>
    <row r="555" spans="1:15" x14ac:dyDescent="0.2">
      <c r="A555" s="18"/>
      <c r="B555" s="18"/>
      <c r="C555" s="18"/>
      <c r="D555" s="18"/>
      <c r="E555" s="18"/>
      <c r="F555" s="18"/>
      <c r="G555" s="3"/>
      <c r="H555" s="3"/>
      <c r="I555" s="39"/>
      <c r="K555" s="22"/>
      <c r="L555" s="9"/>
      <c r="M555" s="9"/>
      <c r="N555" s="9"/>
      <c r="O555" s="9"/>
    </row>
    <row r="556" spans="1:15" x14ac:dyDescent="0.2">
      <c r="A556" s="18"/>
      <c r="B556" s="18"/>
      <c r="C556" s="18"/>
      <c r="D556" s="18"/>
      <c r="E556" s="18"/>
      <c r="F556" s="18"/>
      <c r="G556" s="3"/>
      <c r="H556" s="3"/>
      <c r="I556" s="39"/>
      <c r="K556" s="22"/>
      <c r="L556" s="9"/>
      <c r="M556" s="9"/>
      <c r="N556" s="9"/>
      <c r="O556" s="9"/>
    </row>
    <row r="557" spans="1:15" x14ac:dyDescent="0.2">
      <c r="A557" s="18"/>
      <c r="B557" s="18"/>
      <c r="C557" s="18"/>
      <c r="D557" s="18"/>
      <c r="E557" s="18"/>
      <c r="F557" s="18"/>
      <c r="G557" s="3"/>
      <c r="H557" s="3"/>
      <c r="I557" s="39"/>
      <c r="K557" s="22"/>
      <c r="L557" s="9"/>
      <c r="M557" s="9"/>
      <c r="N557" s="9"/>
      <c r="O557" s="9"/>
    </row>
    <row r="558" spans="1:15" x14ac:dyDescent="0.2">
      <c r="A558" s="18"/>
      <c r="B558" s="18"/>
      <c r="C558" s="18"/>
      <c r="D558" s="18"/>
      <c r="E558" s="18"/>
      <c r="F558" s="18"/>
      <c r="G558" s="3"/>
      <c r="H558" s="3"/>
      <c r="I558" s="39"/>
      <c r="K558" s="22"/>
      <c r="L558" s="9"/>
      <c r="M558" s="9"/>
      <c r="N558" s="9"/>
      <c r="O558" s="9"/>
    </row>
    <row r="559" spans="1:15" x14ac:dyDescent="0.2">
      <c r="A559" s="18"/>
      <c r="B559" s="18"/>
      <c r="C559" s="18"/>
      <c r="D559" s="18"/>
      <c r="E559" s="18"/>
      <c r="F559" s="18"/>
      <c r="G559" s="3"/>
      <c r="H559" s="3"/>
      <c r="I559" s="39"/>
      <c r="K559" s="22"/>
      <c r="L559" s="9"/>
      <c r="M559" s="9"/>
      <c r="N559" s="9"/>
      <c r="O559" s="9"/>
    </row>
    <row r="560" spans="1:15" x14ac:dyDescent="0.2">
      <c r="A560" s="18"/>
      <c r="B560" s="18"/>
      <c r="C560" s="18"/>
      <c r="D560" s="18"/>
      <c r="E560" s="18"/>
      <c r="F560" s="18"/>
      <c r="G560" s="3"/>
      <c r="H560" s="3"/>
      <c r="I560" s="39"/>
      <c r="K560" s="22"/>
      <c r="L560" s="9"/>
      <c r="M560" s="9"/>
      <c r="N560" s="9"/>
      <c r="O560" s="9"/>
    </row>
    <row r="561" spans="1:15" x14ac:dyDescent="0.2">
      <c r="A561" s="18"/>
      <c r="B561" s="18"/>
      <c r="C561" s="18"/>
      <c r="D561" s="18"/>
      <c r="E561" s="18"/>
      <c r="F561" s="18"/>
      <c r="G561" s="3"/>
      <c r="H561" s="3"/>
      <c r="I561" s="39"/>
      <c r="K561" s="22"/>
      <c r="L561" s="9"/>
      <c r="M561" s="9"/>
      <c r="N561" s="9"/>
      <c r="O561" s="9"/>
    </row>
    <row r="562" spans="1:15" x14ac:dyDescent="0.2">
      <c r="A562" s="18"/>
      <c r="B562" s="18"/>
      <c r="C562" s="18"/>
      <c r="D562" s="18"/>
      <c r="E562" s="18"/>
      <c r="F562" s="18"/>
      <c r="G562" s="3"/>
      <c r="H562" s="3"/>
      <c r="I562" s="39"/>
      <c r="K562" s="22"/>
      <c r="L562" s="9"/>
      <c r="M562" s="9"/>
      <c r="N562" s="9"/>
      <c r="O562" s="9"/>
    </row>
    <row r="563" spans="1:15" x14ac:dyDescent="0.2">
      <c r="A563" s="18"/>
      <c r="B563" s="18"/>
      <c r="C563" s="18"/>
      <c r="D563" s="18"/>
      <c r="E563" s="18"/>
      <c r="F563" s="18"/>
      <c r="G563" s="3"/>
      <c r="H563" s="3"/>
      <c r="I563" s="39"/>
      <c r="K563" s="22"/>
      <c r="L563" s="9"/>
      <c r="M563" s="9"/>
      <c r="N563" s="9"/>
      <c r="O563" s="9"/>
    </row>
    <row r="564" spans="1:15" x14ac:dyDescent="0.2">
      <c r="A564" s="18"/>
      <c r="B564" s="18"/>
      <c r="C564" s="18"/>
      <c r="D564" s="18"/>
      <c r="E564" s="18"/>
      <c r="F564" s="18"/>
      <c r="G564" s="3"/>
      <c r="H564" s="3"/>
      <c r="I564" s="39"/>
      <c r="K564" s="22"/>
      <c r="L564" s="9"/>
      <c r="M564" s="9"/>
      <c r="N564" s="9"/>
      <c r="O564" s="9"/>
    </row>
    <row r="565" spans="1:15" x14ac:dyDescent="0.2">
      <c r="A565" s="18"/>
      <c r="B565" s="18"/>
      <c r="C565" s="18"/>
      <c r="D565" s="18"/>
      <c r="E565" s="18"/>
      <c r="F565" s="18"/>
      <c r="G565" s="3"/>
      <c r="H565" s="3"/>
      <c r="I565" s="39"/>
      <c r="K565" s="22"/>
      <c r="L565" s="9"/>
      <c r="M565" s="9"/>
      <c r="N565" s="9"/>
      <c r="O565" s="9"/>
    </row>
    <row r="566" spans="1:15" x14ac:dyDescent="0.2">
      <c r="A566" s="18"/>
      <c r="B566" s="18"/>
      <c r="C566" s="18"/>
      <c r="D566" s="18"/>
      <c r="E566" s="18"/>
      <c r="F566" s="18"/>
      <c r="G566" s="3"/>
      <c r="H566" s="3"/>
      <c r="I566" s="39"/>
      <c r="K566" s="22"/>
      <c r="L566" s="9"/>
      <c r="M566" s="9"/>
      <c r="N566" s="9"/>
      <c r="O566" s="9"/>
    </row>
    <row r="567" spans="1:15" x14ac:dyDescent="0.2">
      <c r="A567" s="18"/>
      <c r="B567" s="18"/>
      <c r="C567" s="18"/>
      <c r="D567" s="18"/>
      <c r="E567" s="18"/>
      <c r="F567" s="18"/>
      <c r="G567" s="3"/>
      <c r="H567" s="3"/>
      <c r="I567" s="39"/>
      <c r="K567" s="22"/>
      <c r="L567" s="9"/>
      <c r="M567" s="9"/>
      <c r="N567" s="9"/>
      <c r="O567" s="9"/>
    </row>
    <row r="568" spans="1:15" x14ac:dyDescent="0.2">
      <c r="A568" s="18"/>
      <c r="B568" s="18"/>
      <c r="C568" s="18"/>
      <c r="D568" s="18"/>
      <c r="E568" s="18"/>
      <c r="F568" s="18"/>
      <c r="G568" s="3"/>
      <c r="H568" s="3"/>
      <c r="I568" s="39"/>
      <c r="K568" s="22"/>
      <c r="L568" s="9"/>
      <c r="M568" s="9"/>
      <c r="N568" s="9"/>
      <c r="O568" s="9"/>
    </row>
    <row r="569" spans="1:15" x14ac:dyDescent="0.2">
      <c r="A569" s="18"/>
      <c r="B569" s="18"/>
      <c r="C569" s="18"/>
      <c r="D569" s="18"/>
      <c r="E569" s="18"/>
      <c r="F569" s="18"/>
      <c r="G569" s="3"/>
      <c r="H569" s="3"/>
      <c r="I569" s="39"/>
      <c r="K569" s="22"/>
      <c r="L569" s="9"/>
      <c r="M569" s="9"/>
      <c r="N569" s="9"/>
      <c r="O569" s="9"/>
    </row>
    <row r="570" spans="1:15" x14ac:dyDescent="0.2">
      <c r="A570" s="18"/>
      <c r="B570" s="18"/>
      <c r="C570" s="18"/>
      <c r="D570" s="18"/>
      <c r="E570" s="18"/>
      <c r="F570" s="18"/>
      <c r="G570" s="3"/>
      <c r="H570" s="3"/>
      <c r="I570" s="39"/>
      <c r="K570" s="22"/>
      <c r="L570" s="9"/>
      <c r="M570" s="9"/>
      <c r="N570" s="9"/>
      <c r="O570" s="9"/>
    </row>
    <row r="571" spans="1:15" x14ac:dyDescent="0.2">
      <c r="A571" s="18"/>
      <c r="B571" s="18"/>
      <c r="C571" s="18"/>
      <c r="D571" s="18"/>
      <c r="E571" s="18"/>
      <c r="F571" s="18"/>
      <c r="G571" s="3"/>
      <c r="H571" s="3"/>
      <c r="I571" s="39"/>
      <c r="K571" s="22"/>
      <c r="L571" s="9"/>
      <c r="M571" s="9"/>
      <c r="N571" s="9"/>
      <c r="O571" s="9"/>
    </row>
    <row r="572" spans="1:15" x14ac:dyDescent="0.2">
      <c r="A572" s="18"/>
      <c r="B572" s="18"/>
      <c r="C572" s="18"/>
      <c r="D572" s="18"/>
      <c r="E572" s="18"/>
      <c r="F572" s="18"/>
      <c r="G572" s="3"/>
      <c r="H572" s="3"/>
      <c r="I572" s="39"/>
      <c r="K572" s="22"/>
      <c r="L572" s="9"/>
      <c r="M572" s="9"/>
      <c r="N572" s="9"/>
      <c r="O572" s="9"/>
    </row>
    <row r="573" spans="1:15" x14ac:dyDescent="0.2">
      <c r="A573" s="18"/>
      <c r="B573" s="18"/>
      <c r="C573" s="18"/>
      <c r="D573" s="18"/>
      <c r="E573" s="18"/>
      <c r="F573" s="18"/>
      <c r="G573" s="3"/>
      <c r="H573" s="3"/>
      <c r="I573" s="39"/>
      <c r="K573" s="22"/>
      <c r="L573" s="9"/>
      <c r="M573" s="9"/>
      <c r="N573" s="9"/>
      <c r="O573" s="9"/>
    </row>
    <row r="574" spans="1:15" x14ac:dyDescent="0.2">
      <c r="A574" s="18"/>
      <c r="B574" s="18"/>
      <c r="C574" s="18"/>
      <c r="D574" s="18"/>
      <c r="E574" s="18"/>
      <c r="F574" s="18"/>
      <c r="G574" s="3"/>
      <c r="H574" s="3"/>
      <c r="I574" s="39"/>
      <c r="K574" s="22"/>
      <c r="L574" s="9"/>
      <c r="M574" s="9"/>
      <c r="N574" s="9"/>
      <c r="O574" s="9"/>
    </row>
    <row r="575" spans="1:15" x14ac:dyDescent="0.2">
      <c r="A575" s="18"/>
      <c r="B575" s="18"/>
      <c r="C575" s="18"/>
      <c r="D575" s="18"/>
      <c r="E575" s="18"/>
      <c r="F575" s="18"/>
      <c r="G575" s="3"/>
      <c r="H575" s="3"/>
      <c r="I575" s="39"/>
      <c r="K575" s="22"/>
      <c r="L575" s="9"/>
      <c r="M575" s="9"/>
      <c r="N575" s="9"/>
      <c r="O575" s="9"/>
    </row>
    <row r="576" spans="1:15" x14ac:dyDescent="0.2">
      <c r="A576" s="18"/>
      <c r="B576" s="18"/>
      <c r="C576" s="18"/>
      <c r="D576" s="18"/>
      <c r="E576" s="18"/>
      <c r="F576" s="18"/>
      <c r="G576" s="3"/>
      <c r="H576" s="3"/>
      <c r="I576" s="39"/>
      <c r="K576" s="22"/>
      <c r="L576" s="9"/>
      <c r="M576" s="9"/>
      <c r="N576" s="9"/>
      <c r="O576" s="9"/>
    </row>
    <row r="577" spans="1:15" x14ac:dyDescent="0.2">
      <c r="A577" s="18"/>
      <c r="B577" s="18"/>
      <c r="C577" s="18"/>
      <c r="D577" s="18"/>
      <c r="E577" s="18"/>
      <c r="F577" s="18"/>
      <c r="G577" s="3"/>
      <c r="H577" s="3"/>
      <c r="I577" s="39"/>
      <c r="K577" s="22"/>
      <c r="L577" s="9"/>
      <c r="M577" s="9"/>
      <c r="N577" s="9"/>
      <c r="O577" s="9"/>
    </row>
    <row r="578" spans="1:15" x14ac:dyDescent="0.2">
      <c r="A578" s="18"/>
      <c r="B578" s="18"/>
      <c r="C578" s="18"/>
      <c r="D578" s="18"/>
      <c r="E578" s="18"/>
      <c r="F578" s="18"/>
      <c r="G578" s="3"/>
      <c r="H578" s="3"/>
      <c r="I578" s="39"/>
      <c r="K578" s="22"/>
      <c r="L578" s="9"/>
      <c r="M578" s="9"/>
      <c r="N578" s="9"/>
      <c r="O578" s="9"/>
    </row>
    <row r="579" spans="1:15" x14ac:dyDescent="0.2">
      <c r="A579" s="18"/>
      <c r="B579" s="18"/>
      <c r="C579" s="18"/>
      <c r="D579" s="18"/>
      <c r="E579" s="18"/>
      <c r="F579" s="18"/>
      <c r="G579" s="3"/>
      <c r="H579" s="3"/>
      <c r="I579" s="39"/>
      <c r="K579" s="22"/>
      <c r="L579" s="9"/>
      <c r="M579" s="9"/>
      <c r="N579" s="9"/>
      <c r="O579" s="9"/>
    </row>
    <row r="580" spans="1:15" x14ac:dyDescent="0.2">
      <c r="A580" s="18"/>
      <c r="B580" s="18"/>
      <c r="C580" s="18"/>
      <c r="D580" s="18"/>
      <c r="E580" s="18"/>
      <c r="F580" s="18"/>
      <c r="G580" s="3"/>
      <c r="H580" s="3"/>
      <c r="I580" s="39"/>
      <c r="K580" s="22"/>
      <c r="L580" s="9"/>
      <c r="M580" s="9"/>
      <c r="N580" s="9"/>
      <c r="O580" s="9"/>
    </row>
    <row r="581" spans="1:15" x14ac:dyDescent="0.2">
      <c r="A581" s="18"/>
      <c r="B581" s="18"/>
      <c r="C581" s="18"/>
      <c r="D581" s="18"/>
      <c r="E581" s="18"/>
      <c r="F581" s="18"/>
      <c r="G581" s="3"/>
      <c r="H581" s="3"/>
      <c r="I581" s="39"/>
      <c r="K581" s="22"/>
      <c r="L581" s="9"/>
      <c r="M581" s="9"/>
      <c r="N581" s="9"/>
      <c r="O581" s="9"/>
    </row>
    <row r="582" spans="1:15" x14ac:dyDescent="0.2">
      <c r="A582" s="18"/>
      <c r="B582" s="18"/>
      <c r="C582" s="18"/>
      <c r="D582" s="18"/>
      <c r="E582" s="18"/>
      <c r="F582" s="18"/>
      <c r="G582" s="3"/>
      <c r="H582" s="3"/>
      <c r="I582" s="39"/>
      <c r="K582" s="22"/>
      <c r="L582" s="9"/>
      <c r="M582" s="9"/>
      <c r="N582" s="9"/>
      <c r="O582" s="9"/>
    </row>
    <row r="583" spans="1:15" x14ac:dyDescent="0.2">
      <c r="A583" s="18"/>
      <c r="B583" s="18"/>
      <c r="C583" s="18"/>
      <c r="D583" s="18"/>
      <c r="E583" s="18"/>
      <c r="F583" s="18"/>
      <c r="G583" s="3"/>
      <c r="H583" s="3"/>
      <c r="I583" s="39"/>
      <c r="K583" s="22"/>
      <c r="L583" s="9"/>
      <c r="M583" s="9"/>
      <c r="N583" s="9"/>
      <c r="O583" s="9"/>
    </row>
    <row r="584" spans="1:15" x14ac:dyDescent="0.2">
      <c r="A584" s="18"/>
      <c r="B584" s="18"/>
      <c r="C584" s="18"/>
      <c r="D584" s="18"/>
      <c r="E584" s="18"/>
      <c r="F584" s="18"/>
      <c r="G584" s="3"/>
      <c r="H584" s="3"/>
      <c r="I584" s="39"/>
      <c r="K584" s="22"/>
      <c r="L584" s="9"/>
      <c r="M584" s="9"/>
      <c r="N584" s="9"/>
      <c r="O584" s="9"/>
    </row>
    <row r="585" spans="1:15" x14ac:dyDescent="0.2">
      <c r="A585" s="18"/>
      <c r="B585" s="18"/>
      <c r="C585" s="18"/>
      <c r="D585" s="18"/>
      <c r="E585" s="18"/>
      <c r="F585" s="18"/>
      <c r="G585" s="3"/>
      <c r="H585" s="3"/>
      <c r="I585" s="39"/>
      <c r="K585" s="22"/>
      <c r="L585" s="9"/>
      <c r="M585" s="9"/>
      <c r="N585" s="9"/>
      <c r="O585" s="9"/>
    </row>
    <row r="586" spans="1:15" x14ac:dyDescent="0.2">
      <c r="A586" s="18"/>
      <c r="B586" s="18"/>
      <c r="C586" s="18"/>
      <c r="D586" s="18"/>
      <c r="E586" s="18"/>
      <c r="F586" s="18"/>
      <c r="G586" s="3"/>
      <c r="H586" s="3"/>
      <c r="I586" s="39"/>
      <c r="K586" s="22"/>
      <c r="L586" s="9"/>
      <c r="M586" s="9"/>
      <c r="N586" s="9"/>
      <c r="O586" s="9"/>
    </row>
    <row r="587" spans="1:15" x14ac:dyDescent="0.2">
      <c r="A587" s="18"/>
      <c r="B587" s="18"/>
      <c r="C587" s="18"/>
      <c r="D587" s="18"/>
      <c r="E587" s="18"/>
      <c r="F587" s="18"/>
      <c r="G587" s="3"/>
      <c r="H587" s="3"/>
      <c r="I587" s="39"/>
      <c r="K587" s="22"/>
      <c r="L587" s="9"/>
      <c r="M587" s="9"/>
      <c r="N587" s="9"/>
      <c r="O587" s="9"/>
    </row>
    <row r="588" spans="1:15" x14ac:dyDescent="0.2">
      <c r="A588" s="18"/>
      <c r="B588" s="18"/>
      <c r="C588" s="18"/>
      <c r="D588" s="18"/>
      <c r="E588" s="18"/>
      <c r="F588" s="18"/>
      <c r="G588" s="3"/>
      <c r="H588" s="3"/>
      <c r="I588" s="39"/>
      <c r="K588" s="22"/>
      <c r="L588" s="9"/>
      <c r="M588" s="9"/>
      <c r="N588" s="9"/>
      <c r="O588" s="9"/>
    </row>
    <row r="589" spans="1:15" x14ac:dyDescent="0.2">
      <c r="A589" s="18"/>
      <c r="B589" s="18"/>
      <c r="C589" s="18"/>
      <c r="D589" s="18"/>
      <c r="E589" s="18"/>
      <c r="F589" s="18"/>
      <c r="G589" s="3"/>
      <c r="H589" s="3"/>
      <c r="I589" s="39"/>
      <c r="K589" s="22"/>
      <c r="L589" s="9"/>
      <c r="M589" s="9"/>
      <c r="N589" s="9"/>
      <c r="O589" s="9"/>
    </row>
    <row r="590" spans="1:15" x14ac:dyDescent="0.2">
      <c r="A590" s="18"/>
      <c r="B590" s="18"/>
      <c r="C590" s="18"/>
      <c r="D590" s="18"/>
      <c r="E590" s="18"/>
      <c r="F590" s="18"/>
      <c r="G590" s="3"/>
      <c r="H590" s="3"/>
      <c r="I590" s="39"/>
      <c r="K590" s="22"/>
      <c r="L590" s="9"/>
      <c r="M590" s="9"/>
      <c r="N590" s="9"/>
      <c r="O590" s="9"/>
    </row>
    <row r="591" spans="1:15" x14ac:dyDescent="0.2">
      <c r="A591" s="18"/>
      <c r="B591" s="18"/>
      <c r="C591" s="18"/>
      <c r="D591" s="18"/>
      <c r="E591" s="18"/>
      <c r="F591" s="18"/>
      <c r="G591" s="3"/>
      <c r="H591" s="3"/>
      <c r="I591" s="39"/>
      <c r="K591" s="22"/>
      <c r="L591" s="9"/>
      <c r="M591" s="9"/>
      <c r="N591" s="9"/>
      <c r="O591" s="9"/>
    </row>
    <row r="592" spans="1:15" x14ac:dyDescent="0.2">
      <c r="A592" s="18"/>
      <c r="B592" s="18"/>
      <c r="C592" s="18"/>
      <c r="D592" s="18"/>
      <c r="E592" s="18"/>
      <c r="F592" s="18"/>
      <c r="G592" s="3"/>
      <c r="H592" s="3"/>
      <c r="I592" s="39"/>
      <c r="K592" s="22"/>
      <c r="L592" s="9"/>
      <c r="M592" s="9"/>
      <c r="N592" s="9"/>
      <c r="O592" s="9"/>
    </row>
    <row r="593" spans="1:15" x14ac:dyDescent="0.2">
      <c r="A593" s="18"/>
      <c r="B593" s="18"/>
      <c r="C593" s="18"/>
      <c r="D593" s="18"/>
      <c r="E593" s="18"/>
      <c r="F593" s="18"/>
      <c r="G593" s="3"/>
      <c r="H593" s="3"/>
      <c r="I593" s="39"/>
      <c r="K593" s="22"/>
      <c r="L593" s="9"/>
      <c r="M593" s="9"/>
      <c r="N593" s="9"/>
      <c r="O593" s="9"/>
    </row>
    <row r="594" spans="1:15" x14ac:dyDescent="0.2">
      <c r="A594" s="18"/>
      <c r="B594" s="18"/>
      <c r="C594" s="18"/>
      <c r="D594" s="18"/>
      <c r="E594" s="18"/>
      <c r="F594" s="18"/>
      <c r="G594" s="3"/>
      <c r="H594" s="3"/>
      <c r="I594" s="39"/>
      <c r="K594" s="22"/>
      <c r="L594" s="9"/>
      <c r="M594" s="9"/>
      <c r="N594" s="9"/>
      <c r="O594" s="9"/>
    </row>
    <row r="595" spans="1:15" x14ac:dyDescent="0.2">
      <c r="A595" s="18"/>
      <c r="B595" s="18"/>
      <c r="C595" s="18"/>
      <c r="D595" s="18"/>
      <c r="E595" s="18"/>
      <c r="F595" s="18"/>
      <c r="G595" s="3"/>
      <c r="H595" s="3"/>
      <c r="I595" s="39"/>
      <c r="K595" s="22"/>
      <c r="L595" s="9"/>
      <c r="M595" s="9"/>
      <c r="N595" s="9"/>
      <c r="O595" s="9"/>
    </row>
    <row r="596" spans="1:15" x14ac:dyDescent="0.2">
      <c r="A596" s="18"/>
      <c r="B596" s="18"/>
      <c r="C596" s="18"/>
      <c r="D596" s="18"/>
      <c r="E596" s="18"/>
      <c r="F596" s="18"/>
      <c r="G596" s="3"/>
      <c r="H596" s="3"/>
      <c r="I596" s="39"/>
      <c r="K596" s="22"/>
      <c r="L596" s="9"/>
      <c r="M596" s="9"/>
      <c r="N596" s="9"/>
      <c r="O596" s="9"/>
    </row>
    <row r="597" spans="1:15" x14ac:dyDescent="0.2">
      <c r="A597" s="18"/>
      <c r="B597" s="18"/>
      <c r="C597" s="18"/>
      <c r="D597" s="18"/>
      <c r="E597" s="18"/>
      <c r="F597" s="18"/>
      <c r="G597" s="3"/>
      <c r="H597" s="3"/>
      <c r="I597" s="39"/>
      <c r="K597" s="22"/>
      <c r="L597" s="9"/>
      <c r="M597" s="9"/>
      <c r="N597" s="9"/>
      <c r="O597" s="9"/>
    </row>
    <row r="598" spans="1:15" x14ac:dyDescent="0.2">
      <c r="A598" s="18"/>
      <c r="B598" s="18"/>
      <c r="C598" s="18"/>
      <c r="D598" s="18"/>
      <c r="E598" s="18"/>
      <c r="F598" s="18"/>
      <c r="G598" s="3"/>
      <c r="H598" s="3"/>
      <c r="I598" s="39"/>
      <c r="K598" s="22"/>
      <c r="L598" s="9"/>
      <c r="M598" s="9"/>
      <c r="N598" s="9"/>
      <c r="O598" s="9"/>
    </row>
    <row r="599" spans="1:15" x14ac:dyDescent="0.2">
      <c r="A599" s="18"/>
      <c r="B599" s="18"/>
      <c r="C599" s="18"/>
      <c r="D599" s="18"/>
      <c r="E599" s="18"/>
      <c r="F599" s="18"/>
      <c r="G599" s="3"/>
      <c r="H599" s="3"/>
      <c r="I599" s="39"/>
      <c r="K599" s="22"/>
      <c r="L599" s="9"/>
      <c r="M599" s="9"/>
      <c r="N599" s="9"/>
      <c r="O599" s="9"/>
    </row>
    <row r="600" spans="1:15" x14ac:dyDescent="0.2">
      <c r="A600" s="18"/>
      <c r="B600" s="18"/>
      <c r="C600" s="18"/>
      <c r="D600" s="18"/>
      <c r="E600" s="18"/>
      <c r="F600" s="18"/>
      <c r="G600" s="3"/>
      <c r="H600" s="3"/>
      <c r="I600" s="39"/>
      <c r="K600" s="22"/>
      <c r="L600" s="9"/>
      <c r="M600" s="9"/>
      <c r="N600" s="9"/>
      <c r="O600" s="9"/>
    </row>
    <row r="601" spans="1:15" x14ac:dyDescent="0.2">
      <c r="A601" s="18"/>
      <c r="B601" s="18"/>
      <c r="C601" s="18"/>
      <c r="D601" s="18"/>
      <c r="E601" s="18"/>
      <c r="G601" s="3"/>
      <c r="H601" s="3"/>
      <c r="I601" s="39"/>
      <c r="K601" s="22"/>
      <c r="L601" s="9"/>
      <c r="M601" s="9"/>
      <c r="N601" s="9"/>
      <c r="O601" s="9"/>
    </row>
    <row r="602" spans="1:15" x14ac:dyDescent="0.2">
      <c r="A602" s="18"/>
      <c r="B602" s="18"/>
      <c r="C602" s="18"/>
      <c r="D602" s="18"/>
      <c r="E602" s="18"/>
      <c r="G602" s="3"/>
      <c r="H602" s="3"/>
      <c r="I602" s="39"/>
      <c r="K602" s="22"/>
      <c r="L602" s="9"/>
      <c r="M602" s="9"/>
      <c r="N602" s="9"/>
      <c r="O602" s="9"/>
    </row>
    <row r="603" spans="1:15" x14ac:dyDescent="0.2">
      <c r="A603" s="18"/>
      <c r="B603" s="18"/>
      <c r="C603" s="18"/>
      <c r="D603" s="18"/>
      <c r="E603" s="18"/>
      <c r="G603" s="3"/>
      <c r="H603" s="3"/>
      <c r="I603" s="39"/>
      <c r="K603" s="22"/>
      <c r="L603" s="9"/>
      <c r="M603" s="9"/>
      <c r="N603" s="9"/>
      <c r="O603" s="9"/>
    </row>
    <row r="604" spans="1:15" x14ac:dyDescent="0.2">
      <c r="A604" s="18"/>
      <c r="B604" s="18"/>
      <c r="C604" s="18"/>
      <c r="D604" s="18"/>
      <c r="E604" s="18"/>
      <c r="G604" s="3"/>
      <c r="H604" s="3"/>
      <c r="I604" s="39"/>
      <c r="K604" s="22"/>
      <c r="L604" s="9"/>
      <c r="M604" s="9"/>
      <c r="N604" s="9"/>
      <c r="O604" s="9"/>
    </row>
    <row r="605" spans="1:15" x14ac:dyDescent="0.2">
      <c r="A605" s="18"/>
      <c r="B605" s="18"/>
      <c r="C605" s="18"/>
      <c r="D605" s="18"/>
      <c r="E605" s="18"/>
      <c r="G605" s="3"/>
      <c r="H605" s="3"/>
      <c r="I605" s="39"/>
      <c r="K605" s="22"/>
      <c r="L605" s="9"/>
      <c r="M605" s="9"/>
      <c r="N605" s="9"/>
      <c r="O605" s="9"/>
    </row>
    <row r="606" spans="1:15" x14ac:dyDescent="0.2">
      <c r="A606" s="18"/>
      <c r="B606" s="18"/>
      <c r="C606" s="18"/>
      <c r="D606" s="18"/>
      <c r="E606" s="18"/>
      <c r="G606" s="3"/>
      <c r="H606" s="3"/>
      <c r="I606" s="39"/>
      <c r="K606" s="22"/>
      <c r="L606" s="9"/>
      <c r="M606" s="9"/>
      <c r="N606" s="9"/>
      <c r="O606" s="9"/>
    </row>
    <row r="607" spans="1:15" x14ac:dyDescent="0.2">
      <c r="A607" s="18"/>
      <c r="B607" s="18"/>
      <c r="C607" s="18"/>
      <c r="D607" s="18"/>
      <c r="E607" s="18"/>
      <c r="G607" s="3"/>
      <c r="H607" s="3"/>
      <c r="I607" s="39"/>
      <c r="K607" s="22"/>
      <c r="L607" s="9"/>
      <c r="M607" s="9"/>
      <c r="N607" s="9"/>
      <c r="O607" s="9"/>
    </row>
    <row r="608" spans="1:15" x14ac:dyDescent="0.2">
      <c r="A608" s="18"/>
      <c r="B608" s="18"/>
      <c r="C608" s="18"/>
      <c r="D608" s="18"/>
      <c r="E608" s="18"/>
      <c r="G608" s="3"/>
      <c r="H608" s="3"/>
      <c r="I608" s="39"/>
      <c r="K608" s="22"/>
      <c r="L608" s="9"/>
      <c r="M608" s="9"/>
      <c r="N608" s="9"/>
      <c r="O608" s="9"/>
    </row>
    <row r="609" spans="1:15" x14ac:dyDescent="0.2">
      <c r="A609" s="18"/>
      <c r="B609" s="18"/>
      <c r="C609" s="18"/>
      <c r="D609" s="18"/>
      <c r="E609" s="18"/>
      <c r="G609" s="3"/>
      <c r="H609" s="3"/>
      <c r="I609" s="39"/>
      <c r="K609" s="22"/>
      <c r="L609" s="9"/>
      <c r="M609" s="9"/>
      <c r="N609" s="9"/>
      <c r="O609" s="9"/>
    </row>
    <row r="610" spans="1:15" x14ac:dyDescent="0.2">
      <c r="A610" s="18"/>
      <c r="B610" s="18"/>
      <c r="C610" s="18"/>
      <c r="D610" s="18"/>
      <c r="E610" s="18"/>
      <c r="G610" s="3"/>
      <c r="H610" s="3"/>
      <c r="I610" s="39"/>
      <c r="K610" s="22"/>
      <c r="L610" s="9"/>
      <c r="M610" s="9"/>
      <c r="N610" s="9"/>
      <c r="O610" s="9"/>
    </row>
    <row r="611" spans="1:15" x14ac:dyDescent="0.2">
      <c r="A611" s="18"/>
      <c r="B611" s="18"/>
      <c r="C611" s="18"/>
      <c r="D611" s="18"/>
      <c r="E611" s="18"/>
      <c r="G611" s="3"/>
      <c r="H611" s="3"/>
      <c r="I611" s="39"/>
      <c r="K611" s="22"/>
      <c r="L611" s="9"/>
      <c r="M611" s="9"/>
      <c r="N611" s="9"/>
      <c r="O611" s="9"/>
    </row>
    <row r="612" spans="1:15" x14ac:dyDescent="0.2">
      <c r="A612" s="18"/>
      <c r="B612" s="18"/>
      <c r="C612" s="18"/>
      <c r="D612" s="18"/>
      <c r="E612" s="18"/>
      <c r="G612" s="3"/>
      <c r="H612" s="3"/>
      <c r="I612" s="39"/>
      <c r="K612" s="22"/>
      <c r="L612" s="9"/>
      <c r="M612" s="9"/>
      <c r="N612" s="9"/>
      <c r="O612" s="9"/>
    </row>
    <row r="613" spans="1:15" x14ac:dyDescent="0.2">
      <c r="A613" s="18"/>
      <c r="B613" s="18"/>
      <c r="C613" s="18"/>
      <c r="D613" s="18"/>
      <c r="E613" s="18"/>
      <c r="G613" s="3"/>
      <c r="H613" s="3"/>
      <c r="I613" s="39"/>
      <c r="K613" s="22"/>
      <c r="L613" s="9"/>
      <c r="M613" s="9"/>
      <c r="N613" s="9"/>
      <c r="O613" s="9"/>
    </row>
    <row r="614" spans="1:15" x14ac:dyDescent="0.2">
      <c r="A614" s="18"/>
      <c r="B614" s="18"/>
      <c r="C614" s="18"/>
      <c r="D614" s="18"/>
      <c r="E614" s="18"/>
      <c r="G614" s="3"/>
      <c r="H614" s="3"/>
      <c r="I614" s="39"/>
      <c r="K614" s="22"/>
      <c r="L614" s="9"/>
      <c r="M614" s="9"/>
      <c r="N614" s="9"/>
      <c r="O614" s="9"/>
    </row>
    <row r="615" spans="1:15" x14ac:dyDescent="0.2">
      <c r="A615" s="18"/>
      <c r="B615" s="18"/>
      <c r="C615" s="18"/>
      <c r="D615" s="18"/>
      <c r="E615" s="18"/>
      <c r="G615" s="3"/>
      <c r="H615" s="3"/>
      <c r="I615" s="39"/>
      <c r="K615" s="22"/>
      <c r="L615" s="9"/>
      <c r="M615" s="9"/>
      <c r="N615" s="9"/>
      <c r="O615" s="9"/>
    </row>
    <row r="616" spans="1:15" x14ac:dyDescent="0.2">
      <c r="A616" s="18"/>
      <c r="B616" s="18"/>
      <c r="C616" s="18"/>
      <c r="D616" s="18"/>
      <c r="E616" s="18"/>
      <c r="G616" s="3"/>
      <c r="H616" s="3"/>
      <c r="I616" s="39"/>
      <c r="K616" s="22"/>
      <c r="L616" s="9"/>
      <c r="M616" s="9"/>
      <c r="N616" s="9"/>
      <c r="O616" s="9"/>
    </row>
    <row r="617" spans="1:15" x14ac:dyDescent="0.2">
      <c r="A617" s="18"/>
      <c r="B617" s="18"/>
      <c r="C617" s="18"/>
      <c r="D617" s="18"/>
      <c r="E617" s="18"/>
      <c r="G617" s="3"/>
      <c r="H617" s="3"/>
      <c r="I617" s="39"/>
      <c r="K617" s="22"/>
      <c r="L617" s="9"/>
      <c r="M617" s="9"/>
      <c r="N617" s="9"/>
      <c r="O617" s="9"/>
    </row>
    <row r="618" spans="1:15" x14ac:dyDescent="0.2">
      <c r="A618" s="18"/>
      <c r="B618" s="18"/>
      <c r="C618" s="18"/>
      <c r="D618" s="18"/>
      <c r="E618" s="18"/>
      <c r="G618" s="3"/>
      <c r="H618" s="3"/>
      <c r="I618" s="39"/>
      <c r="K618" s="22"/>
      <c r="L618" s="9"/>
      <c r="M618" s="9"/>
      <c r="N618" s="9"/>
      <c r="O618" s="9"/>
    </row>
    <row r="619" spans="1:15" x14ac:dyDescent="0.2">
      <c r="A619" s="18"/>
      <c r="B619" s="18"/>
      <c r="C619" s="18"/>
      <c r="D619" s="18"/>
      <c r="E619" s="18"/>
      <c r="G619" s="3"/>
      <c r="H619" s="3"/>
      <c r="I619" s="39"/>
      <c r="K619" s="22"/>
      <c r="L619" s="9"/>
      <c r="M619" s="9"/>
      <c r="N619" s="9"/>
      <c r="O619" s="9"/>
    </row>
    <row r="620" spans="1:15" x14ac:dyDescent="0.2">
      <c r="A620" s="18"/>
      <c r="B620" s="18"/>
      <c r="C620" s="18"/>
      <c r="D620" s="18"/>
      <c r="E620" s="18"/>
      <c r="G620" s="3"/>
      <c r="H620" s="3"/>
      <c r="I620" s="39"/>
      <c r="K620" s="22"/>
      <c r="L620" s="9"/>
      <c r="M620" s="9"/>
      <c r="N620" s="9"/>
      <c r="O620" s="9"/>
    </row>
    <row r="621" spans="1:15" x14ac:dyDescent="0.2">
      <c r="A621" s="18"/>
      <c r="B621" s="18"/>
      <c r="C621" s="18"/>
      <c r="D621" s="18"/>
      <c r="E621" s="18"/>
      <c r="F621" s="18"/>
      <c r="G621" s="3"/>
      <c r="H621" s="3"/>
      <c r="I621" s="39"/>
      <c r="K621" s="22"/>
      <c r="L621" s="9"/>
      <c r="M621" s="9"/>
      <c r="N621" s="9"/>
      <c r="O621" s="9"/>
    </row>
    <row r="622" spans="1:15" x14ac:dyDescent="0.2">
      <c r="A622" s="18"/>
      <c r="B622" s="18"/>
      <c r="C622" s="18"/>
      <c r="D622" s="18"/>
      <c r="E622" s="18"/>
      <c r="F622" s="18"/>
      <c r="G622" s="3"/>
      <c r="H622" s="3"/>
      <c r="I622" s="39"/>
      <c r="K622" s="22"/>
      <c r="L622" s="9"/>
      <c r="M622" s="9"/>
      <c r="N622" s="9"/>
      <c r="O622" s="9"/>
    </row>
    <row r="623" spans="1:15" x14ac:dyDescent="0.2">
      <c r="A623" s="18"/>
      <c r="B623" s="18"/>
      <c r="C623" s="18"/>
      <c r="D623" s="18"/>
      <c r="E623" s="18"/>
      <c r="F623" s="18"/>
      <c r="G623" s="3"/>
      <c r="H623" s="3"/>
      <c r="I623" s="39"/>
      <c r="K623" s="22"/>
      <c r="L623" s="9"/>
      <c r="M623" s="9"/>
      <c r="N623" s="9"/>
      <c r="O623" s="9"/>
    </row>
    <row r="624" spans="1:15" x14ac:dyDescent="0.2">
      <c r="A624" s="18"/>
      <c r="B624" s="18"/>
      <c r="C624" s="18"/>
      <c r="D624" s="18"/>
      <c r="E624" s="18"/>
      <c r="F624" s="18"/>
      <c r="G624" s="3"/>
      <c r="H624" s="3"/>
      <c r="I624" s="39"/>
      <c r="K624" s="22"/>
      <c r="L624" s="9"/>
      <c r="M624" s="9"/>
      <c r="N624" s="9"/>
      <c r="O624" s="9"/>
    </row>
    <row r="625" spans="1:15" x14ac:dyDescent="0.2">
      <c r="A625" s="18"/>
      <c r="B625" s="18"/>
      <c r="C625" s="18"/>
      <c r="D625" s="18"/>
      <c r="E625" s="18"/>
      <c r="F625" s="18"/>
      <c r="G625" s="3"/>
      <c r="H625" s="3"/>
      <c r="I625" s="39"/>
      <c r="K625" s="22"/>
      <c r="L625" s="9"/>
      <c r="M625" s="9"/>
      <c r="N625" s="9"/>
      <c r="O625" s="9"/>
    </row>
    <row r="626" spans="1:15" x14ac:dyDescent="0.2">
      <c r="A626" s="18"/>
      <c r="B626" s="18"/>
      <c r="C626" s="18"/>
      <c r="D626" s="18"/>
      <c r="E626" s="18"/>
      <c r="F626" s="18"/>
      <c r="G626" s="3"/>
      <c r="H626" s="3"/>
      <c r="I626" s="39"/>
      <c r="K626" s="22"/>
      <c r="L626" s="9"/>
      <c r="M626" s="9"/>
      <c r="N626" s="9"/>
      <c r="O626" s="9"/>
    </row>
    <row r="627" spans="1:15" x14ac:dyDescent="0.2">
      <c r="A627" s="18"/>
      <c r="B627" s="18"/>
      <c r="C627" s="18"/>
      <c r="D627" s="18"/>
      <c r="E627" s="18"/>
      <c r="F627" s="18"/>
      <c r="G627" s="3"/>
      <c r="H627" s="3"/>
      <c r="I627" s="39"/>
      <c r="K627" s="22"/>
      <c r="L627" s="9"/>
      <c r="M627" s="9"/>
      <c r="N627" s="9"/>
      <c r="O627" s="9"/>
    </row>
    <row r="628" spans="1:15" x14ac:dyDescent="0.2">
      <c r="A628" s="18"/>
      <c r="B628" s="18"/>
      <c r="C628" s="18"/>
      <c r="D628" s="18"/>
      <c r="E628" s="18"/>
      <c r="F628" s="18"/>
      <c r="G628" s="3"/>
      <c r="H628" s="3"/>
      <c r="I628" s="39"/>
      <c r="K628" s="22"/>
      <c r="L628" s="9"/>
      <c r="M628" s="9"/>
      <c r="N628" s="9"/>
      <c r="O628" s="9"/>
    </row>
    <row r="629" spans="1:15" x14ac:dyDescent="0.2">
      <c r="A629" s="18"/>
      <c r="B629" s="18"/>
      <c r="C629" s="18"/>
      <c r="D629" s="18"/>
      <c r="E629" s="18"/>
      <c r="F629" s="18"/>
      <c r="G629" s="3"/>
      <c r="H629" s="3"/>
      <c r="I629" s="39"/>
      <c r="K629" s="22"/>
      <c r="L629" s="9"/>
      <c r="M629" s="9"/>
      <c r="N629" s="9"/>
      <c r="O629" s="9"/>
    </row>
    <row r="630" spans="1:15" x14ac:dyDescent="0.2">
      <c r="A630" s="18"/>
      <c r="B630" s="18"/>
      <c r="C630" s="18"/>
      <c r="D630" s="18"/>
      <c r="E630" s="18"/>
      <c r="F630" s="18"/>
      <c r="G630" s="3"/>
      <c r="H630" s="3"/>
      <c r="I630" s="39"/>
      <c r="K630" s="22"/>
      <c r="L630" s="9"/>
      <c r="M630" s="9"/>
      <c r="N630" s="9"/>
      <c r="O630" s="9"/>
    </row>
    <row r="631" spans="1:15" x14ac:dyDescent="0.2">
      <c r="A631" s="18"/>
      <c r="B631" s="18"/>
      <c r="C631" s="18"/>
      <c r="D631" s="18"/>
      <c r="E631" s="18"/>
      <c r="F631" s="18"/>
      <c r="G631" s="3"/>
      <c r="H631" s="3"/>
      <c r="I631" s="39"/>
      <c r="K631" s="22"/>
      <c r="L631" s="9"/>
      <c r="M631" s="9"/>
      <c r="N631" s="9"/>
      <c r="O631" s="9"/>
    </row>
    <row r="632" spans="1:15" x14ac:dyDescent="0.2">
      <c r="A632" s="18"/>
      <c r="B632" s="18"/>
      <c r="C632" s="18"/>
      <c r="D632" s="18"/>
      <c r="E632" s="18"/>
      <c r="F632" s="18"/>
      <c r="G632" s="3"/>
      <c r="H632" s="3"/>
      <c r="I632" s="39"/>
      <c r="K632" s="22"/>
      <c r="L632" s="9"/>
      <c r="M632" s="9"/>
      <c r="N632" s="9"/>
      <c r="O632" s="9"/>
    </row>
    <row r="633" spans="1:15" x14ac:dyDescent="0.2">
      <c r="A633" s="18"/>
      <c r="B633" s="18"/>
      <c r="C633" s="18"/>
      <c r="D633" s="18"/>
      <c r="E633" s="18"/>
      <c r="F633" s="18"/>
      <c r="G633" s="3"/>
      <c r="H633" s="3"/>
      <c r="I633" s="39"/>
      <c r="K633" s="22"/>
      <c r="L633" s="9"/>
      <c r="M633" s="9"/>
      <c r="N633" s="9"/>
      <c r="O633" s="9"/>
    </row>
    <row r="634" spans="1:15" x14ac:dyDescent="0.2">
      <c r="A634" s="18"/>
      <c r="B634" s="18"/>
      <c r="C634" s="18"/>
      <c r="D634" s="18"/>
      <c r="E634" s="18"/>
      <c r="F634" s="18"/>
      <c r="G634" s="3"/>
      <c r="H634" s="3"/>
      <c r="I634" s="39"/>
      <c r="K634" s="22"/>
      <c r="L634" s="9"/>
      <c r="M634" s="9"/>
      <c r="N634" s="9"/>
      <c r="O634" s="9"/>
    </row>
    <row r="635" spans="1:15" x14ac:dyDescent="0.2">
      <c r="A635" s="18"/>
      <c r="B635" s="18"/>
      <c r="C635" s="18"/>
      <c r="D635" s="18"/>
      <c r="E635" s="18"/>
      <c r="F635" s="18"/>
      <c r="G635" s="3"/>
      <c r="H635" s="3"/>
      <c r="I635" s="39"/>
      <c r="K635" s="22"/>
      <c r="L635" s="9"/>
      <c r="M635" s="9"/>
      <c r="N635" s="9"/>
      <c r="O635" s="9"/>
    </row>
    <row r="636" spans="1:15" x14ac:dyDescent="0.2">
      <c r="A636" s="18"/>
      <c r="B636" s="18"/>
      <c r="C636" s="18"/>
      <c r="D636" s="18"/>
      <c r="E636" s="18"/>
      <c r="F636" s="18"/>
      <c r="G636" s="3"/>
      <c r="H636" s="3"/>
      <c r="I636" s="39"/>
      <c r="K636" s="22"/>
      <c r="L636" s="9"/>
      <c r="M636" s="9"/>
      <c r="N636" s="9"/>
      <c r="O636" s="9"/>
    </row>
    <row r="637" spans="1:15" x14ac:dyDescent="0.2">
      <c r="A637" s="18"/>
      <c r="B637" s="18"/>
      <c r="C637" s="18"/>
      <c r="D637" s="18"/>
      <c r="E637" s="18"/>
      <c r="F637" s="18"/>
      <c r="G637" s="3"/>
      <c r="H637" s="3"/>
      <c r="I637" s="39"/>
      <c r="K637" s="22"/>
      <c r="L637" s="9"/>
      <c r="M637" s="9"/>
      <c r="N637" s="9"/>
      <c r="O637" s="9"/>
    </row>
    <row r="638" spans="1:15" x14ac:dyDescent="0.2">
      <c r="A638" s="18"/>
      <c r="B638" s="18"/>
      <c r="C638" s="18"/>
      <c r="D638" s="18"/>
      <c r="E638" s="18"/>
      <c r="F638" s="18"/>
      <c r="G638" s="3"/>
      <c r="H638" s="3"/>
      <c r="I638" s="39"/>
      <c r="K638" s="22"/>
      <c r="L638" s="9"/>
      <c r="M638" s="9"/>
      <c r="N638" s="9"/>
      <c r="O638" s="9"/>
    </row>
    <row r="639" spans="1:15" x14ac:dyDescent="0.2">
      <c r="A639" s="18"/>
      <c r="B639" s="18"/>
      <c r="C639" s="18"/>
      <c r="D639" s="18"/>
      <c r="E639" s="18"/>
      <c r="F639" s="18"/>
      <c r="G639" s="3"/>
      <c r="H639" s="3"/>
      <c r="I639" s="39"/>
      <c r="K639" s="22"/>
      <c r="L639" s="9"/>
      <c r="M639" s="9"/>
      <c r="N639" s="9"/>
      <c r="O639" s="9"/>
    </row>
    <row r="640" spans="1:15" x14ac:dyDescent="0.2">
      <c r="A640" s="18"/>
      <c r="B640" s="18"/>
      <c r="C640" s="18"/>
      <c r="D640" s="18"/>
      <c r="E640" s="18"/>
      <c r="F640" s="18"/>
      <c r="G640" s="3"/>
      <c r="H640" s="3"/>
      <c r="I640" s="39"/>
      <c r="K640" s="22"/>
      <c r="L640" s="9"/>
      <c r="M640" s="9"/>
      <c r="N640" s="9"/>
      <c r="O640" s="9"/>
    </row>
    <row r="641" spans="1:15" x14ac:dyDescent="0.2">
      <c r="A641" s="18"/>
      <c r="B641" s="18"/>
      <c r="C641" s="18"/>
      <c r="D641" s="18"/>
      <c r="E641" s="18"/>
      <c r="F641" s="18"/>
      <c r="G641" s="3"/>
      <c r="H641" s="3"/>
      <c r="I641" s="39"/>
      <c r="K641" s="22"/>
      <c r="L641" s="9"/>
      <c r="M641" s="9"/>
      <c r="N641" s="9"/>
      <c r="O641" s="9"/>
    </row>
    <row r="642" spans="1:15" x14ac:dyDescent="0.2">
      <c r="A642" s="18"/>
      <c r="B642" s="18"/>
      <c r="C642" s="18"/>
      <c r="D642" s="18"/>
      <c r="E642" s="18"/>
      <c r="F642" s="18"/>
      <c r="G642" s="3"/>
      <c r="H642" s="3"/>
      <c r="I642" s="39"/>
      <c r="K642" s="22"/>
      <c r="L642" s="9"/>
      <c r="M642" s="9"/>
      <c r="N642" s="9"/>
      <c r="O642" s="9"/>
    </row>
    <row r="643" spans="1:15" x14ac:dyDescent="0.2">
      <c r="A643" s="18"/>
      <c r="B643" s="18"/>
      <c r="C643" s="18"/>
      <c r="D643" s="18"/>
      <c r="E643" s="18"/>
      <c r="F643" s="18"/>
      <c r="G643" s="3"/>
      <c r="H643" s="3"/>
      <c r="I643" s="39"/>
      <c r="K643" s="22"/>
      <c r="L643" s="9"/>
      <c r="M643" s="9"/>
      <c r="N643" s="9"/>
      <c r="O643" s="9"/>
    </row>
    <row r="644" spans="1:15" x14ac:dyDescent="0.2">
      <c r="A644" s="18"/>
      <c r="B644" s="18"/>
      <c r="C644" s="18"/>
      <c r="D644" s="18"/>
      <c r="E644" s="18"/>
      <c r="F644" s="18"/>
      <c r="G644" s="3"/>
      <c r="H644" s="3"/>
      <c r="I644" s="39"/>
      <c r="K644" s="22"/>
      <c r="L644" s="9"/>
      <c r="M644" s="9"/>
      <c r="N644" s="9"/>
      <c r="O644" s="9"/>
    </row>
    <row r="645" spans="1:15" x14ac:dyDescent="0.2">
      <c r="A645" s="18"/>
      <c r="B645" s="18"/>
      <c r="C645" s="18"/>
      <c r="D645" s="18"/>
      <c r="E645" s="18"/>
      <c r="F645" s="18"/>
      <c r="G645" s="3"/>
      <c r="H645" s="3"/>
      <c r="I645" s="39"/>
      <c r="K645" s="22"/>
      <c r="L645" s="9"/>
      <c r="M645" s="9"/>
      <c r="N645" s="9"/>
      <c r="O645" s="9"/>
    </row>
    <row r="646" spans="1:15" x14ac:dyDescent="0.2">
      <c r="A646" s="18"/>
      <c r="B646" s="18"/>
      <c r="C646" s="18"/>
      <c r="D646" s="18"/>
      <c r="E646" s="18"/>
      <c r="F646" s="18"/>
      <c r="G646" s="3"/>
      <c r="H646" s="3"/>
      <c r="I646" s="39"/>
      <c r="K646" s="22"/>
      <c r="L646" s="9"/>
      <c r="M646" s="9"/>
      <c r="N646" s="9"/>
      <c r="O646" s="9"/>
    </row>
    <row r="647" spans="1:15" x14ac:dyDescent="0.2">
      <c r="A647" s="18"/>
      <c r="B647" s="18"/>
      <c r="C647" s="18"/>
      <c r="D647" s="18"/>
      <c r="E647" s="18"/>
      <c r="F647" s="18"/>
      <c r="G647" s="3"/>
      <c r="H647" s="3"/>
      <c r="I647" s="39"/>
      <c r="K647" s="22"/>
      <c r="L647" s="9"/>
      <c r="M647" s="9"/>
      <c r="N647" s="9"/>
      <c r="O647" s="9"/>
    </row>
    <row r="648" spans="1:15" x14ac:dyDescent="0.2">
      <c r="A648" s="18"/>
      <c r="B648" s="18"/>
      <c r="C648" s="18"/>
      <c r="D648" s="18"/>
      <c r="E648" s="18"/>
      <c r="F648" s="18"/>
      <c r="G648" s="3"/>
      <c r="H648" s="3"/>
      <c r="I648" s="39"/>
      <c r="K648" s="22"/>
      <c r="L648" s="9"/>
      <c r="M648" s="9"/>
      <c r="N648" s="9"/>
      <c r="O648" s="9"/>
    </row>
    <row r="649" spans="1:15" x14ac:dyDescent="0.2">
      <c r="A649" s="18"/>
      <c r="B649" s="18"/>
      <c r="C649" s="18"/>
      <c r="D649" s="18"/>
      <c r="E649" s="18"/>
      <c r="F649" s="18"/>
      <c r="G649" s="3"/>
      <c r="H649" s="3"/>
      <c r="I649" s="39"/>
      <c r="K649" s="22"/>
      <c r="L649" s="9"/>
      <c r="M649" s="9"/>
      <c r="N649" s="9"/>
      <c r="O649" s="9"/>
    </row>
    <row r="650" spans="1:15" x14ac:dyDescent="0.2">
      <c r="A650" s="18"/>
      <c r="B650" s="18"/>
      <c r="C650" s="18"/>
      <c r="D650" s="18"/>
      <c r="E650" s="18"/>
      <c r="F650" s="18"/>
      <c r="G650" s="3"/>
      <c r="H650" s="3"/>
      <c r="I650" s="39"/>
      <c r="K650" s="22"/>
      <c r="L650" s="9"/>
      <c r="M650" s="9"/>
      <c r="N650" s="9"/>
      <c r="O650" s="9"/>
    </row>
    <row r="651" spans="1:15" x14ac:dyDescent="0.2">
      <c r="A651" s="18"/>
      <c r="B651" s="18"/>
      <c r="C651" s="18"/>
      <c r="D651" s="18"/>
      <c r="E651" s="18"/>
      <c r="F651" s="18"/>
      <c r="G651" s="3"/>
      <c r="H651" s="3"/>
      <c r="I651" s="39"/>
      <c r="K651" s="22"/>
      <c r="L651" s="9"/>
      <c r="M651" s="9"/>
      <c r="N651" s="9"/>
      <c r="O651" s="9"/>
    </row>
    <row r="652" spans="1:15" x14ac:dyDescent="0.2">
      <c r="A652" s="18"/>
      <c r="B652" s="18"/>
      <c r="C652" s="18"/>
      <c r="D652" s="18"/>
      <c r="E652" s="18"/>
      <c r="F652" s="18"/>
      <c r="G652" s="3"/>
      <c r="H652" s="3"/>
      <c r="I652" s="39"/>
      <c r="K652" s="22"/>
      <c r="L652" s="9"/>
      <c r="M652" s="9"/>
      <c r="N652" s="9"/>
      <c r="O652" s="9"/>
    </row>
    <row r="653" spans="1:15" x14ac:dyDescent="0.2">
      <c r="A653" s="18"/>
      <c r="B653" s="18"/>
      <c r="C653" s="18"/>
      <c r="D653" s="18"/>
      <c r="E653" s="18"/>
      <c r="F653" s="18"/>
      <c r="G653" s="3"/>
      <c r="H653" s="3"/>
      <c r="I653" s="39"/>
      <c r="K653" s="22"/>
      <c r="L653" s="9"/>
      <c r="M653" s="9"/>
      <c r="N653" s="9"/>
      <c r="O653" s="9"/>
    </row>
    <row r="654" spans="1:15" x14ac:dyDescent="0.2">
      <c r="A654" s="18"/>
      <c r="B654" s="18"/>
      <c r="C654" s="18"/>
      <c r="D654" s="18"/>
      <c r="E654" s="18"/>
      <c r="F654" s="18"/>
      <c r="G654" s="3"/>
      <c r="H654" s="3"/>
      <c r="I654" s="39"/>
      <c r="K654" s="22"/>
      <c r="L654" s="9"/>
      <c r="M654" s="9"/>
      <c r="N654" s="9"/>
      <c r="O654" s="9"/>
    </row>
    <row r="655" spans="1:15" x14ac:dyDescent="0.2">
      <c r="A655" s="18"/>
      <c r="B655" s="18"/>
      <c r="C655" s="18"/>
      <c r="D655" s="18"/>
      <c r="E655" s="18"/>
      <c r="F655" s="18"/>
      <c r="G655" s="3"/>
      <c r="H655" s="3"/>
      <c r="I655" s="39"/>
      <c r="K655" s="22"/>
      <c r="L655" s="9"/>
      <c r="M655" s="9"/>
      <c r="N655" s="9"/>
      <c r="O655" s="9"/>
    </row>
    <row r="656" spans="1:15" x14ac:dyDescent="0.2">
      <c r="A656" s="18"/>
      <c r="B656" s="18"/>
      <c r="C656" s="18"/>
      <c r="D656" s="18"/>
      <c r="E656" s="18"/>
      <c r="F656" s="18"/>
      <c r="G656" s="3"/>
      <c r="H656" s="3"/>
      <c r="I656" s="39"/>
      <c r="K656" s="22"/>
      <c r="L656" s="9"/>
      <c r="M656" s="9"/>
      <c r="N656" s="9"/>
      <c r="O656" s="9"/>
    </row>
    <row r="657" spans="1:15" x14ac:dyDescent="0.2">
      <c r="A657" s="18"/>
      <c r="B657" s="18"/>
      <c r="C657" s="18"/>
      <c r="D657" s="18"/>
      <c r="E657" s="18"/>
      <c r="F657" s="18"/>
      <c r="G657" s="3"/>
      <c r="H657" s="3"/>
      <c r="I657" s="39"/>
      <c r="K657" s="22"/>
      <c r="L657" s="9"/>
      <c r="M657" s="9"/>
      <c r="N657" s="9"/>
      <c r="O657" s="9"/>
    </row>
    <row r="658" spans="1:15" x14ac:dyDescent="0.2">
      <c r="A658" s="18"/>
      <c r="B658" s="18"/>
      <c r="C658" s="18"/>
      <c r="D658" s="18"/>
      <c r="E658" s="18"/>
      <c r="F658" s="18"/>
      <c r="G658" s="3"/>
      <c r="H658" s="3"/>
      <c r="I658" s="39"/>
      <c r="K658" s="22"/>
      <c r="L658" s="9"/>
      <c r="M658" s="9"/>
      <c r="N658" s="9"/>
      <c r="O658" s="9"/>
    </row>
    <row r="659" spans="1:15" x14ac:dyDescent="0.2">
      <c r="A659" s="18"/>
      <c r="B659" s="18"/>
      <c r="C659" s="18"/>
      <c r="D659" s="18"/>
      <c r="E659" s="18"/>
      <c r="F659" s="18"/>
      <c r="G659" s="3"/>
      <c r="H659" s="3"/>
      <c r="I659" s="39"/>
      <c r="K659" s="22"/>
      <c r="L659" s="9"/>
      <c r="M659" s="9"/>
      <c r="N659" s="9"/>
      <c r="O659" s="9"/>
    </row>
    <row r="660" spans="1:15" x14ac:dyDescent="0.2">
      <c r="A660" s="18"/>
      <c r="B660" s="18"/>
      <c r="C660" s="18"/>
      <c r="D660" s="18"/>
      <c r="E660" s="18"/>
      <c r="F660" s="18"/>
      <c r="G660" s="3"/>
      <c r="H660" s="3"/>
      <c r="I660" s="39"/>
      <c r="K660" s="22"/>
      <c r="L660" s="9"/>
      <c r="M660" s="9"/>
      <c r="N660" s="9"/>
      <c r="O660" s="9"/>
    </row>
    <row r="661" spans="1:15" x14ac:dyDescent="0.2">
      <c r="A661" s="18"/>
      <c r="B661" s="18"/>
      <c r="C661" s="18"/>
      <c r="D661" s="18"/>
      <c r="E661" s="18"/>
      <c r="F661" s="18"/>
      <c r="G661" s="3"/>
      <c r="H661" s="3"/>
      <c r="I661" s="39"/>
      <c r="K661" s="22"/>
      <c r="L661" s="9"/>
      <c r="M661" s="9"/>
      <c r="N661" s="9"/>
      <c r="O661" s="9"/>
    </row>
    <row r="662" spans="1:15" x14ac:dyDescent="0.2">
      <c r="A662" s="18"/>
      <c r="B662" s="18"/>
      <c r="C662" s="18"/>
      <c r="D662" s="18"/>
      <c r="E662" s="18"/>
      <c r="F662" s="18"/>
      <c r="G662" s="3"/>
      <c r="H662" s="3"/>
      <c r="I662" s="39"/>
      <c r="K662" s="22"/>
      <c r="L662" s="9"/>
      <c r="M662" s="9"/>
      <c r="N662" s="9"/>
      <c r="O662" s="9"/>
    </row>
    <row r="663" spans="1:15" x14ac:dyDescent="0.2">
      <c r="A663" s="18"/>
      <c r="B663" s="18"/>
      <c r="C663" s="18"/>
      <c r="D663" s="18"/>
      <c r="E663" s="18"/>
      <c r="F663" s="18"/>
      <c r="G663" s="3"/>
      <c r="H663" s="3"/>
      <c r="I663" s="39"/>
      <c r="K663" s="22"/>
      <c r="L663" s="9"/>
      <c r="M663" s="9"/>
      <c r="N663" s="9"/>
      <c r="O663" s="9"/>
    </row>
    <row r="664" spans="1:15" x14ac:dyDescent="0.2">
      <c r="A664" s="18"/>
      <c r="B664" s="18"/>
      <c r="C664" s="18"/>
      <c r="D664" s="18"/>
      <c r="E664" s="18"/>
      <c r="F664" s="18"/>
      <c r="G664" s="3"/>
      <c r="H664" s="3"/>
      <c r="I664" s="39"/>
      <c r="K664" s="22"/>
      <c r="L664" s="9"/>
      <c r="M664" s="9"/>
      <c r="N664" s="9"/>
      <c r="O664" s="9"/>
    </row>
    <row r="665" spans="1:15" x14ac:dyDescent="0.2">
      <c r="A665" s="18"/>
      <c r="B665" s="18"/>
      <c r="C665" s="18"/>
      <c r="D665" s="18"/>
      <c r="E665" s="18"/>
      <c r="F665" s="18"/>
      <c r="G665" s="3"/>
      <c r="H665" s="3"/>
      <c r="I665" s="39"/>
      <c r="K665" s="22"/>
      <c r="L665" s="9"/>
      <c r="M665" s="9"/>
      <c r="N665" s="9"/>
      <c r="O665" s="9"/>
    </row>
    <row r="666" spans="1:15" x14ac:dyDescent="0.2">
      <c r="A666" s="18"/>
      <c r="B666" s="18"/>
      <c r="C666" s="18"/>
      <c r="D666" s="18"/>
      <c r="E666" s="18"/>
      <c r="F666" s="18"/>
      <c r="G666" s="3"/>
      <c r="H666" s="3"/>
      <c r="I666" s="39"/>
      <c r="K666" s="22"/>
      <c r="L666" s="9"/>
      <c r="M666" s="9"/>
      <c r="N666" s="9"/>
      <c r="O666" s="9"/>
    </row>
    <row r="667" spans="1:15" x14ac:dyDescent="0.2">
      <c r="A667" s="18"/>
      <c r="B667" s="18"/>
      <c r="C667" s="18"/>
      <c r="D667" s="18"/>
      <c r="E667" s="18"/>
      <c r="F667" s="18"/>
      <c r="G667" s="3"/>
      <c r="H667" s="3"/>
      <c r="I667" s="39"/>
      <c r="K667" s="22"/>
      <c r="L667" s="9"/>
      <c r="M667" s="9"/>
      <c r="N667" s="9"/>
      <c r="O667" s="9"/>
    </row>
    <row r="668" spans="1:15" x14ac:dyDescent="0.2">
      <c r="A668" s="18"/>
      <c r="B668" s="18"/>
      <c r="C668" s="18"/>
      <c r="D668" s="18"/>
      <c r="E668" s="18"/>
      <c r="F668" s="18"/>
      <c r="G668" s="3"/>
      <c r="H668" s="3"/>
      <c r="I668" s="39"/>
      <c r="K668" s="22"/>
      <c r="L668" s="9"/>
      <c r="M668" s="9"/>
      <c r="N668" s="9"/>
      <c r="O668" s="9"/>
    </row>
    <row r="669" spans="1:15" x14ac:dyDescent="0.2">
      <c r="A669" s="18"/>
      <c r="B669" s="18"/>
      <c r="C669" s="18"/>
      <c r="D669" s="18"/>
      <c r="E669" s="18"/>
      <c r="F669" s="18"/>
      <c r="G669" s="3"/>
      <c r="H669" s="3"/>
      <c r="I669" s="39"/>
      <c r="K669" s="22"/>
      <c r="L669" s="9"/>
      <c r="M669" s="9"/>
      <c r="N669" s="9"/>
      <c r="O669" s="9"/>
    </row>
    <row r="670" spans="1:15" x14ac:dyDescent="0.2">
      <c r="A670" s="18"/>
      <c r="B670" s="18"/>
      <c r="C670" s="18"/>
      <c r="D670" s="18"/>
      <c r="E670" s="18"/>
      <c r="F670" s="18"/>
      <c r="G670" s="3"/>
      <c r="H670" s="3"/>
      <c r="I670" s="39"/>
      <c r="K670" s="22"/>
      <c r="L670" s="9"/>
      <c r="M670" s="9"/>
      <c r="N670" s="9"/>
      <c r="O670" s="9"/>
    </row>
    <row r="671" spans="1:15" x14ac:dyDescent="0.2">
      <c r="A671" s="18"/>
      <c r="B671" s="18"/>
      <c r="C671" s="18"/>
      <c r="D671" s="18"/>
      <c r="E671" s="18"/>
      <c r="F671" s="18"/>
      <c r="G671" s="3"/>
      <c r="H671" s="3"/>
      <c r="I671" s="39"/>
      <c r="K671" s="22"/>
      <c r="L671" s="9"/>
      <c r="M671" s="9"/>
      <c r="N671" s="9"/>
      <c r="O671" s="9"/>
    </row>
    <row r="672" spans="1:15" x14ac:dyDescent="0.2">
      <c r="A672" s="18"/>
      <c r="B672" s="18"/>
      <c r="C672" s="18"/>
      <c r="D672" s="18"/>
      <c r="E672" s="18"/>
      <c r="F672" s="18"/>
      <c r="G672" s="3"/>
      <c r="H672" s="3"/>
      <c r="I672" s="39"/>
      <c r="K672" s="22"/>
      <c r="L672" s="9"/>
      <c r="M672" s="9"/>
      <c r="N672" s="9"/>
      <c r="O672" s="9"/>
    </row>
    <row r="673" spans="1:15" x14ac:dyDescent="0.2">
      <c r="A673" s="18"/>
      <c r="B673" s="18"/>
      <c r="C673" s="18"/>
      <c r="D673" s="18"/>
      <c r="E673" s="18"/>
      <c r="F673" s="18"/>
      <c r="G673" s="3"/>
      <c r="H673" s="3"/>
      <c r="I673" s="39"/>
      <c r="K673" s="22"/>
      <c r="L673" s="9"/>
      <c r="M673" s="9"/>
      <c r="N673" s="9"/>
      <c r="O673" s="9"/>
    </row>
    <row r="674" spans="1:15" x14ac:dyDescent="0.2">
      <c r="A674" s="18"/>
      <c r="B674" s="18"/>
      <c r="C674" s="18"/>
      <c r="D674" s="18"/>
      <c r="E674" s="18"/>
      <c r="F674" s="18"/>
      <c r="G674" s="3"/>
      <c r="H674" s="3"/>
      <c r="I674" s="39"/>
      <c r="K674" s="22"/>
      <c r="L674" s="9"/>
      <c r="M674" s="9"/>
      <c r="N674" s="9"/>
      <c r="O674" s="9"/>
    </row>
    <row r="675" spans="1:15" x14ac:dyDescent="0.2">
      <c r="A675" s="18"/>
      <c r="B675" s="18"/>
      <c r="C675" s="18"/>
      <c r="D675" s="18"/>
      <c r="E675" s="18"/>
      <c r="F675" s="18"/>
      <c r="G675" s="3"/>
      <c r="H675" s="3"/>
      <c r="I675" s="39"/>
      <c r="K675" s="22"/>
      <c r="L675" s="9"/>
      <c r="M675" s="9"/>
      <c r="N675" s="9"/>
      <c r="O675" s="9"/>
    </row>
    <row r="676" spans="1:15" x14ac:dyDescent="0.2">
      <c r="A676" s="18"/>
      <c r="B676" s="18"/>
      <c r="C676" s="18"/>
      <c r="D676" s="18"/>
      <c r="E676" s="18"/>
      <c r="F676" s="18"/>
      <c r="G676" s="3"/>
      <c r="H676" s="3"/>
      <c r="I676" s="39"/>
      <c r="K676" s="22"/>
      <c r="L676" s="9"/>
      <c r="M676" s="9"/>
      <c r="N676" s="9"/>
      <c r="O676" s="9"/>
    </row>
    <row r="677" spans="1:15" x14ac:dyDescent="0.2">
      <c r="A677" s="18"/>
      <c r="B677" s="18"/>
      <c r="C677" s="18"/>
      <c r="D677" s="18"/>
      <c r="E677" s="18"/>
      <c r="F677" s="18"/>
      <c r="G677" s="3"/>
      <c r="H677" s="3"/>
      <c r="I677" s="39"/>
      <c r="K677" s="22"/>
      <c r="L677" s="9"/>
      <c r="M677" s="9"/>
      <c r="N677" s="9"/>
      <c r="O677" s="9"/>
    </row>
    <row r="678" spans="1:15" x14ac:dyDescent="0.2">
      <c r="A678" s="18"/>
      <c r="B678" s="18"/>
      <c r="C678" s="18"/>
      <c r="D678" s="18"/>
      <c r="E678" s="18"/>
      <c r="F678" s="18"/>
      <c r="G678" s="3"/>
      <c r="H678" s="3"/>
      <c r="I678" s="39"/>
      <c r="K678" s="22"/>
      <c r="L678" s="9"/>
      <c r="M678" s="9"/>
      <c r="N678" s="9"/>
      <c r="O678" s="9"/>
    </row>
    <row r="679" spans="1:15" x14ac:dyDescent="0.2">
      <c r="A679" s="18"/>
      <c r="B679" s="18"/>
      <c r="C679" s="18"/>
      <c r="D679" s="18"/>
      <c r="E679" s="18"/>
      <c r="F679" s="18"/>
      <c r="G679" s="3"/>
      <c r="H679" s="3"/>
      <c r="I679" s="39"/>
      <c r="K679" s="22"/>
      <c r="L679" s="9"/>
      <c r="M679" s="9"/>
      <c r="N679" s="9"/>
      <c r="O679" s="9"/>
    </row>
    <row r="680" spans="1:15" x14ac:dyDescent="0.2">
      <c r="A680" s="18"/>
      <c r="B680" s="18"/>
      <c r="C680" s="18"/>
      <c r="D680" s="18"/>
      <c r="E680" s="18"/>
      <c r="F680" s="18"/>
      <c r="G680" s="3"/>
      <c r="H680" s="3"/>
      <c r="I680" s="39"/>
      <c r="K680" s="22"/>
      <c r="L680" s="9"/>
      <c r="M680" s="9"/>
      <c r="N680" s="9"/>
      <c r="O680" s="9"/>
    </row>
    <row r="681" spans="1:15" x14ac:dyDescent="0.2">
      <c r="A681" s="18"/>
      <c r="B681" s="18"/>
      <c r="C681" s="18"/>
      <c r="D681" s="18"/>
      <c r="E681" s="18"/>
      <c r="F681" s="18"/>
      <c r="G681" s="3"/>
      <c r="H681" s="3"/>
      <c r="I681" s="39"/>
      <c r="K681" s="22"/>
      <c r="L681" s="9"/>
      <c r="M681" s="9"/>
      <c r="N681" s="9"/>
      <c r="O681" s="9"/>
    </row>
    <row r="682" spans="1:15" x14ac:dyDescent="0.2">
      <c r="A682" s="18"/>
      <c r="B682" s="18"/>
      <c r="C682" s="18"/>
      <c r="D682" s="18"/>
      <c r="E682" s="18"/>
      <c r="F682" s="18"/>
      <c r="G682" s="3"/>
      <c r="H682" s="3"/>
      <c r="I682" s="39"/>
      <c r="K682" s="22"/>
      <c r="L682" s="9"/>
      <c r="M682" s="9"/>
      <c r="N682" s="9"/>
      <c r="O682" s="9"/>
    </row>
    <row r="683" spans="1:15" x14ac:dyDescent="0.2">
      <c r="A683" s="18"/>
      <c r="B683" s="18"/>
      <c r="C683" s="18"/>
      <c r="D683" s="18"/>
      <c r="E683" s="18"/>
      <c r="F683" s="18"/>
      <c r="G683" s="3"/>
      <c r="H683" s="3"/>
      <c r="I683" s="39"/>
      <c r="K683" s="22"/>
      <c r="L683" s="9"/>
      <c r="M683" s="9"/>
      <c r="N683" s="9"/>
      <c r="O683" s="9"/>
    </row>
    <row r="684" spans="1:15" x14ac:dyDescent="0.2">
      <c r="A684" s="18"/>
      <c r="B684" s="18"/>
      <c r="C684" s="18"/>
      <c r="D684" s="18"/>
      <c r="E684" s="18"/>
      <c r="F684" s="18"/>
      <c r="G684" s="3"/>
      <c r="H684" s="3"/>
      <c r="I684" s="39"/>
      <c r="K684" s="22"/>
      <c r="L684" s="9"/>
      <c r="M684" s="9"/>
      <c r="N684" s="9"/>
      <c r="O684" s="9"/>
    </row>
    <row r="685" spans="1:15" x14ac:dyDescent="0.2">
      <c r="A685" s="18"/>
      <c r="B685" s="18"/>
      <c r="C685" s="18"/>
      <c r="D685" s="18"/>
      <c r="E685" s="18"/>
      <c r="F685" s="18"/>
      <c r="G685" s="3"/>
      <c r="H685" s="3"/>
      <c r="I685" s="39"/>
      <c r="K685" s="22"/>
      <c r="L685" s="9"/>
      <c r="M685" s="9"/>
      <c r="N685" s="9"/>
      <c r="O685" s="9"/>
    </row>
    <row r="686" spans="1:15" x14ac:dyDescent="0.2">
      <c r="A686" s="18"/>
      <c r="B686" s="18"/>
      <c r="C686" s="18"/>
      <c r="D686" s="18"/>
      <c r="E686" s="18"/>
      <c r="F686" s="18"/>
      <c r="G686" s="3"/>
      <c r="H686" s="3"/>
      <c r="I686" s="39"/>
      <c r="K686" s="22"/>
      <c r="L686" s="9"/>
      <c r="M686" s="9"/>
      <c r="N686" s="9"/>
      <c r="O686" s="9"/>
    </row>
    <row r="687" spans="1:15" x14ac:dyDescent="0.2">
      <c r="A687" s="18"/>
      <c r="B687" s="18"/>
      <c r="C687" s="18"/>
      <c r="D687" s="18"/>
      <c r="E687" s="18"/>
      <c r="F687" s="18"/>
      <c r="G687" s="3"/>
      <c r="H687" s="3"/>
      <c r="I687" s="39"/>
      <c r="K687" s="22"/>
      <c r="L687" s="9"/>
      <c r="M687" s="9"/>
      <c r="N687" s="9"/>
      <c r="O687" s="9"/>
    </row>
    <row r="688" spans="1:15" x14ac:dyDescent="0.2">
      <c r="A688" s="18"/>
      <c r="B688" s="18"/>
      <c r="C688" s="18"/>
      <c r="D688" s="18"/>
      <c r="E688" s="18"/>
      <c r="F688" s="18"/>
      <c r="G688" s="3"/>
      <c r="H688" s="3"/>
      <c r="I688" s="39"/>
      <c r="K688" s="22"/>
      <c r="L688" s="9"/>
      <c r="M688" s="9"/>
      <c r="N688" s="9"/>
      <c r="O688" s="9"/>
    </row>
    <row r="689" spans="1:15" x14ac:dyDescent="0.2">
      <c r="A689" s="18"/>
      <c r="B689" s="18"/>
      <c r="C689" s="18"/>
      <c r="D689" s="18"/>
      <c r="E689" s="18"/>
      <c r="F689" s="18"/>
      <c r="G689" s="3"/>
      <c r="H689" s="3"/>
      <c r="I689" s="39"/>
      <c r="K689" s="22"/>
      <c r="L689" s="9"/>
      <c r="M689" s="9"/>
      <c r="N689" s="9"/>
      <c r="O689" s="9"/>
    </row>
    <row r="690" spans="1:15" x14ac:dyDescent="0.2">
      <c r="A690" s="18"/>
      <c r="B690" s="18"/>
      <c r="C690" s="18"/>
      <c r="D690" s="18"/>
      <c r="E690" s="18"/>
      <c r="F690" s="18"/>
      <c r="G690" s="3"/>
      <c r="H690" s="3"/>
      <c r="I690" s="39"/>
      <c r="K690" s="22"/>
      <c r="L690" s="9"/>
      <c r="M690" s="9"/>
      <c r="N690" s="9"/>
      <c r="O690" s="9"/>
    </row>
    <row r="691" spans="1:15" x14ac:dyDescent="0.2">
      <c r="A691" s="18"/>
      <c r="B691" s="18"/>
      <c r="C691" s="18"/>
      <c r="D691" s="18"/>
      <c r="E691" s="18"/>
      <c r="F691" s="18"/>
      <c r="G691" s="3"/>
      <c r="H691" s="3"/>
      <c r="I691" s="39"/>
      <c r="K691" s="22"/>
      <c r="L691" s="9"/>
      <c r="M691" s="9"/>
      <c r="N691" s="9"/>
      <c r="O691" s="9"/>
    </row>
    <row r="692" spans="1:15" x14ac:dyDescent="0.2">
      <c r="A692" s="18"/>
      <c r="B692" s="18"/>
      <c r="C692" s="18"/>
      <c r="D692" s="18"/>
      <c r="E692" s="18"/>
      <c r="F692" s="18"/>
      <c r="G692" s="3"/>
      <c r="H692" s="3"/>
      <c r="I692" s="39"/>
      <c r="K692" s="22"/>
      <c r="L692" s="9"/>
      <c r="M692" s="9"/>
      <c r="N692" s="9"/>
      <c r="O692" s="9"/>
    </row>
    <row r="693" spans="1:15" x14ac:dyDescent="0.2">
      <c r="A693" s="18"/>
      <c r="B693" s="18"/>
      <c r="C693" s="18"/>
      <c r="D693" s="18"/>
      <c r="E693" s="18"/>
      <c r="F693" s="18"/>
      <c r="G693" s="3"/>
      <c r="H693" s="3"/>
      <c r="I693" s="39"/>
      <c r="K693" s="22"/>
      <c r="L693" s="9"/>
      <c r="M693" s="9"/>
      <c r="N693" s="9"/>
      <c r="O693" s="9"/>
    </row>
    <row r="694" spans="1:15" x14ac:dyDescent="0.2">
      <c r="A694" s="18"/>
      <c r="B694" s="18"/>
      <c r="C694" s="18"/>
      <c r="D694" s="18"/>
      <c r="E694" s="18"/>
      <c r="F694" s="18"/>
      <c r="G694" s="3"/>
      <c r="H694" s="3"/>
      <c r="I694" s="39"/>
      <c r="K694" s="22"/>
      <c r="L694" s="9"/>
      <c r="M694" s="9"/>
      <c r="N694" s="9"/>
      <c r="O694" s="9"/>
    </row>
    <row r="695" spans="1:15" x14ac:dyDescent="0.2">
      <c r="A695" s="18"/>
      <c r="B695" s="18"/>
      <c r="C695" s="18"/>
      <c r="D695" s="18"/>
      <c r="E695" s="18"/>
      <c r="F695" s="18"/>
      <c r="G695" s="3"/>
      <c r="H695" s="3"/>
      <c r="I695" s="39"/>
      <c r="K695" s="22"/>
      <c r="L695" s="9"/>
      <c r="M695" s="9"/>
      <c r="N695" s="9"/>
      <c r="O695" s="9"/>
    </row>
    <row r="696" spans="1:15" x14ac:dyDescent="0.2">
      <c r="A696" s="18"/>
      <c r="B696" s="18"/>
      <c r="C696" s="18"/>
      <c r="D696" s="18"/>
      <c r="E696" s="18"/>
      <c r="F696" s="18"/>
      <c r="G696" s="3"/>
      <c r="H696" s="3"/>
      <c r="I696" s="39"/>
      <c r="K696" s="22"/>
      <c r="L696" s="9"/>
      <c r="M696" s="9"/>
      <c r="N696" s="9"/>
      <c r="O696" s="9"/>
    </row>
    <row r="697" spans="1:15" x14ac:dyDescent="0.2">
      <c r="A697" s="18"/>
      <c r="B697" s="18"/>
      <c r="C697" s="18"/>
      <c r="D697" s="18"/>
      <c r="E697" s="18"/>
      <c r="F697" s="18"/>
      <c r="G697" s="3"/>
      <c r="H697" s="3"/>
      <c r="I697" s="39"/>
      <c r="K697" s="22"/>
      <c r="L697" s="9"/>
      <c r="M697" s="9"/>
      <c r="N697" s="9"/>
      <c r="O697" s="9"/>
    </row>
    <row r="698" spans="1:15" x14ac:dyDescent="0.2">
      <c r="A698" s="18"/>
      <c r="B698" s="18"/>
      <c r="C698" s="18"/>
      <c r="D698" s="18"/>
      <c r="E698" s="18"/>
      <c r="F698" s="18"/>
      <c r="G698" s="3"/>
      <c r="H698" s="3"/>
      <c r="I698" s="39"/>
      <c r="K698" s="22"/>
      <c r="L698" s="9"/>
      <c r="M698" s="9"/>
      <c r="N698" s="9"/>
      <c r="O698" s="9"/>
    </row>
    <row r="699" spans="1:15" x14ac:dyDescent="0.2">
      <c r="A699" s="18"/>
      <c r="B699" s="18"/>
      <c r="C699" s="18"/>
      <c r="D699" s="18"/>
      <c r="E699" s="18"/>
      <c r="F699" s="18"/>
      <c r="G699" s="3"/>
      <c r="H699" s="3"/>
      <c r="I699" s="39"/>
      <c r="K699" s="22"/>
      <c r="L699" s="9"/>
      <c r="M699" s="9"/>
      <c r="N699" s="9"/>
      <c r="O699" s="9"/>
    </row>
    <row r="700" spans="1:15" x14ac:dyDescent="0.2">
      <c r="A700" s="18"/>
      <c r="B700" s="18"/>
      <c r="C700" s="18"/>
      <c r="D700" s="18"/>
      <c r="E700" s="18"/>
      <c r="F700" s="18"/>
      <c r="G700" s="3"/>
      <c r="H700" s="3"/>
      <c r="I700" s="39"/>
      <c r="K700" s="22"/>
      <c r="L700" s="9"/>
      <c r="M700" s="9"/>
      <c r="N700" s="9"/>
      <c r="O700" s="9"/>
    </row>
    <row r="701" spans="1:15" x14ac:dyDescent="0.2">
      <c r="A701" s="18"/>
      <c r="B701" s="18"/>
      <c r="C701" s="18"/>
      <c r="D701" s="18"/>
      <c r="E701" s="18"/>
      <c r="F701" s="18"/>
      <c r="G701" s="3"/>
      <c r="H701" s="3"/>
      <c r="I701" s="39"/>
      <c r="K701" s="22"/>
      <c r="L701" s="9"/>
      <c r="M701" s="9"/>
      <c r="N701" s="9"/>
      <c r="O701" s="9"/>
    </row>
    <row r="702" spans="1:15" x14ac:dyDescent="0.2">
      <c r="A702" s="18"/>
      <c r="B702" s="18"/>
      <c r="C702" s="18"/>
      <c r="D702" s="18"/>
      <c r="E702" s="18"/>
      <c r="F702" s="18"/>
      <c r="G702" s="3"/>
      <c r="H702" s="3"/>
      <c r="I702" s="39"/>
      <c r="K702" s="22"/>
      <c r="L702" s="9"/>
      <c r="M702" s="9"/>
      <c r="N702" s="9"/>
      <c r="O702" s="9"/>
    </row>
    <row r="703" spans="1:15" x14ac:dyDescent="0.2">
      <c r="A703" s="18"/>
      <c r="B703" s="18"/>
      <c r="C703" s="18"/>
      <c r="D703" s="18"/>
      <c r="E703" s="18"/>
      <c r="F703" s="18"/>
      <c r="G703" s="3"/>
      <c r="H703" s="3"/>
      <c r="I703" s="39"/>
      <c r="K703" s="22"/>
      <c r="L703" s="9"/>
      <c r="M703" s="9"/>
      <c r="N703" s="9"/>
      <c r="O703" s="9"/>
    </row>
    <row r="704" spans="1:15" x14ac:dyDescent="0.2">
      <c r="A704" s="18"/>
      <c r="B704" s="18"/>
      <c r="C704" s="18"/>
      <c r="D704" s="18"/>
      <c r="E704" s="18"/>
      <c r="F704" s="18"/>
      <c r="G704" s="3"/>
      <c r="H704" s="3"/>
      <c r="I704" s="39"/>
      <c r="K704" s="22"/>
      <c r="L704" s="9"/>
      <c r="M704" s="9"/>
      <c r="N704" s="9"/>
      <c r="O704" s="9"/>
    </row>
    <row r="705" spans="1:15" x14ac:dyDescent="0.2">
      <c r="A705" s="18"/>
      <c r="B705" s="18"/>
      <c r="C705" s="18"/>
      <c r="D705" s="18"/>
      <c r="E705" s="18"/>
      <c r="F705" s="18"/>
      <c r="G705" s="3"/>
      <c r="H705" s="3"/>
      <c r="I705" s="39"/>
      <c r="K705" s="22"/>
      <c r="L705" s="9"/>
      <c r="M705" s="9"/>
      <c r="N705" s="9"/>
      <c r="O705" s="9"/>
    </row>
    <row r="706" spans="1:15" x14ac:dyDescent="0.2">
      <c r="A706" s="18"/>
      <c r="B706" s="18"/>
      <c r="C706" s="18"/>
      <c r="D706" s="18"/>
      <c r="E706" s="18"/>
      <c r="F706" s="18"/>
      <c r="G706" s="3"/>
      <c r="H706" s="3"/>
      <c r="I706" s="39"/>
      <c r="K706" s="22"/>
      <c r="L706" s="9"/>
      <c r="M706" s="9"/>
      <c r="N706" s="9"/>
      <c r="O706" s="9"/>
    </row>
    <row r="707" spans="1:15" x14ac:dyDescent="0.2">
      <c r="A707" s="18"/>
      <c r="B707" s="18"/>
      <c r="C707" s="18"/>
      <c r="D707" s="18"/>
      <c r="E707" s="18"/>
      <c r="F707" s="18"/>
      <c r="G707" s="3"/>
      <c r="H707" s="3"/>
      <c r="I707" s="39"/>
      <c r="K707" s="22"/>
      <c r="L707" s="9"/>
      <c r="M707" s="9"/>
      <c r="N707" s="9"/>
      <c r="O707" s="9"/>
    </row>
    <row r="708" spans="1:15" x14ac:dyDescent="0.2">
      <c r="A708" s="18"/>
      <c r="B708" s="18"/>
      <c r="C708" s="18"/>
      <c r="D708" s="18"/>
      <c r="E708" s="18"/>
      <c r="F708" s="18"/>
      <c r="G708" s="3"/>
      <c r="H708" s="3"/>
      <c r="I708" s="39"/>
      <c r="K708" s="22"/>
      <c r="L708" s="9"/>
      <c r="M708" s="9"/>
      <c r="N708" s="9"/>
      <c r="O708" s="9"/>
    </row>
    <row r="709" spans="1:15" x14ac:dyDescent="0.2">
      <c r="A709" s="18"/>
      <c r="B709" s="18"/>
      <c r="C709" s="18"/>
      <c r="D709" s="18"/>
      <c r="E709" s="18"/>
      <c r="F709" s="18"/>
      <c r="G709" s="3"/>
      <c r="H709" s="3"/>
      <c r="I709" s="39"/>
      <c r="K709" s="22"/>
      <c r="L709" s="9"/>
      <c r="M709" s="9"/>
      <c r="N709" s="9"/>
      <c r="O709" s="9"/>
    </row>
    <row r="710" spans="1:15" x14ac:dyDescent="0.2">
      <c r="A710" s="18"/>
      <c r="B710" s="18"/>
      <c r="C710" s="18"/>
      <c r="D710" s="18"/>
      <c r="E710" s="18"/>
      <c r="F710" s="18"/>
      <c r="G710" s="3"/>
      <c r="H710" s="3"/>
      <c r="I710" s="39"/>
      <c r="K710" s="22"/>
      <c r="L710" s="9"/>
      <c r="M710" s="9"/>
      <c r="N710" s="9"/>
      <c r="O710" s="9"/>
    </row>
    <row r="711" spans="1:15" x14ac:dyDescent="0.2">
      <c r="A711" s="18"/>
      <c r="B711" s="18"/>
      <c r="C711" s="18"/>
      <c r="D711" s="18"/>
      <c r="E711" s="18"/>
      <c r="F711" s="18"/>
      <c r="G711" s="3"/>
      <c r="H711" s="3"/>
      <c r="I711" s="39"/>
      <c r="K711" s="22"/>
      <c r="L711" s="9"/>
      <c r="M711" s="9"/>
      <c r="N711" s="9"/>
      <c r="O711" s="9"/>
    </row>
    <row r="712" spans="1:15" x14ac:dyDescent="0.2">
      <c r="A712" s="18"/>
      <c r="B712" s="18"/>
      <c r="C712" s="18"/>
      <c r="D712" s="18"/>
      <c r="E712" s="18"/>
      <c r="F712" s="18"/>
      <c r="G712" s="3"/>
      <c r="H712" s="3"/>
      <c r="I712" s="39"/>
      <c r="K712" s="22"/>
      <c r="L712" s="9"/>
      <c r="M712" s="9"/>
      <c r="N712" s="9"/>
      <c r="O712" s="9"/>
    </row>
    <row r="713" spans="1:15" x14ac:dyDescent="0.2">
      <c r="A713" s="18"/>
      <c r="B713" s="18"/>
      <c r="C713" s="18"/>
      <c r="D713" s="18"/>
      <c r="E713" s="18"/>
      <c r="F713" s="18"/>
      <c r="G713" s="3"/>
      <c r="H713" s="3"/>
      <c r="I713" s="39"/>
      <c r="K713" s="22"/>
      <c r="L713" s="9"/>
      <c r="M713" s="9"/>
      <c r="N713" s="9"/>
      <c r="O713" s="9"/>
    </row>
    <row r="714" spans="1:15" x14ac:dyDescent="0.2">
      <c r="A714" s="18"/>
      <c r="B714" s="18"/>
      <c r="C714" s="18"/>
      <c r="D714" s="18"/>
      <c r="E714" s="18"/>
      <c r="F714" s="18"/>
      <c r="G714" s="3"/>
      <c r="H714" s="3"/>
      <c r="I714" s="39"/>
      <c r="K714" s="22"/>
      <c r="L714" s="9"/>
      <c r="M714" s="9"/>
      <c r="N714" s="9"/>
      <c r="O714" s="9"/>
    </row>
    <row r="715" spans="1:15" x14ac:dyDescent="0.2">
      <c r="A715" s="18"/>
      <c r="B715" s="18"/>
      <c r="C715" s="18"/>
      <c r="D715" s="18"/>
      <c r="E715" s="18"/>
      <c r="F715" s="18"/>
      <c r="G715" s="3"/>
      <c r="H715" s="3"/>
      <c r="I715" s="39"/>
      <c r="K715" s="22"/>
      <c r="L715" s="9"/>
      <c r="M715" s="9"/>
      <c r="N715" s="9"/>
      <c r="O715" s="9"/>
    </row>
    <row r="716" spans="1:15" x14ac:dyDescent="0.2">
      <c r="A716" s="18"/>
      <c r="B716" s="18"/>
      <c r="C716" s="18"/>
      <c r="D716" s="18"/>
      <c r="E716" s="18"/>
      <c r="F716" s="18"/>
      <c r="G716" s="3"/>
      <c r="H716" s="3"/>
      <c r="I716" s="39"/>
      <c r="K716" s="22"/>
      <c r="L716" s="9"/>
      <c r="M716" s="9"/>
      <c r="N716" s="9"/>
      <c r="O716" s="9"/>
    </row>
    <row r="717" spans="1:15" x14ac:dyDescent="0.2">
      <c r="A717" s="18"/>
      <c r="B717" s="18"/>
      <c r="C717" s="18"/>
      <c r="D717" s="18"/>
      <c r="E717" s="18"/>
      <c r="F717" s="18"/>
      <c r="G717" s="3"/>
      <c r="H717" s="3"/>
      <c r="I717" s="39"/>
      <c r="K717" s="22"/>
      <c r="L717" s="9"/>
      <c r="M717" s="9"/>
      <c r="N717" s="9"/>
      <c r="O717" s="9"/>
    </row>
    <row r="718" spans="1:15" x14ac:dyDescent="0.2">
      <c r="A718" s="18"/>
      <c r="B718" s="18"/>
      <c r="C718" s="18"/>
      <c r="D718" s="18"/>
      <c r="E718" s="18"/>
      <c r="F718" s="18"/>
      <c r="G718" s="3"/>
      <c r="H718" s="3"/>
      <c r="I718" s="39"/>
      <c r="K718" s="22"/>
      <c r="L718" s="9"/>
      <c r="M718" s="9"/>
      <c r="N718" s="9"/>
      <c r="O718" s="9"/>
    </row>
    <row r="719" spans="1:15" x14ac:dyDescent="0.2">
      <c r="A719" s="18"/>
      <c r="B719" s="18"/>
      <c r="C719" s="18"/>
      <c r="D719" s="18"/>
      <c r="E719" s="18"/>
      <c r="F719" s="18"/>
      <c r="G719" s="3"/>
      <c r="H719" s="3"/>
      <c r="I719" s="39"/>
      <c r="K719" s="22"/>
      <c r="L719" s="9"/>
      <c r="M719" s="9"/>
      <c r="N719" s="9"/>
      <c r="O719" s="9"/>
    </row>
    <row r="720" spans="1:15" x14ac:dyDescent="0.2">
      <c r="A720" s="18"/>
      <c r="B720" s="18"/>
      <c r="C720" s="18"/>
      <c r="D720" s="18"/>
      <c r="E720" s="18"/>
      <c r="F720" s="18"/>
      <c r="G720" s="3"/>
      <c r="H720" s="3"/>
      <c r="I720" s="39"/>
      <c r="K720" s="22"/>
      <c r="L720" s="9"/>
      <c r="M720" s="9"/>
      <c r="N720" s="9"/>
      <c r="O720" s="9"/>
    </row>
    <row r="721" spans="1:15" x14ac:dyDescent="0.2">
      <c r="A721" s="18"/>
      <c r="B721" s="18"/>
      <c r="C721" s="18"/>
      <c r="D721" s="18"/>
      <c r="E721" s="18"/>
      <c r="F721" s="18"/>
      <c r="G721" s="3"/>
      <c r="H721" s="3"/>
      <c r="I721" s="39"/>
      <c r="K721" s="22"/>
      <c r="L721" s="9"/>
      <c r="M721" s="9"/>
      <c r="N721" s="9"/>
      <c r="O721" s="9"/>
    </row>
    <row r="722" spans="1:15" x14ac:dyDescent="0.2">
      <c r="A722" s="18"/>
      <c r="B722" s="18"/>
      <c r="C722" s="18"/>
      <c r="D722" s="18"/>
      <c r="E722" s="18"/>
      <c r="F722" s="18"/>
      <c r="G722" s="3"/>
      <c r="H722" s="3"/>
      <c r="I722" s="39"/>
      <c r="K722" s="22"/>
      <c r="L722" s="9"/>
      <c r="M722" s="9"/>
      <c r="N722" s="9"/>
      <c r="O722" s="9"/>
    </row>
    <row r="723" spans="1:15" x14ac:dyDescent="0.2">
      <c r="A723" s="18"/>
      <c r="B723" s="18"/>
      <c r="C723" s="18"/>
      <c r="D723" s="18"/>
      <c r="E723" s="18"/>
      <c r="F723" s="18"/>
      <c r="G723" s="3"/>
      <c r="H723" s="3"/>
      <c r="I723" s="39"/>
      <c r="K723" s="22"/>
      <c r="L723" s="9"/>
      <c r="M723" s="9"/>
      <c r="N723" s="9"/>
      <c r="O723" s="9"/>
    </row>
    <row r="724" spans="1:15" x14ac:dyDescent="0.2">
      <c r="A724" s="18"/>
      <c r="B724" s="18"/>
      <c r="C724" s="18"/>
      <c r="D724" s="18"/>
      <c r="E724" s="18"/>
      <c r="F724" s="18"/>
      <c r="G724" s="3"/>
      <c r="H724" s="3"/>
      <c r="I724" s="39"/>
      <c r="K724" s="22"/>
      <c r="L724" s="9"/>
      <c r="M724" s="9"/>
      <c r="N724" s="9"/>
      <c r="O724" s="9"/>
    </row>
    <row r="725" spans="1:15" x14ac:dyDescent="0.2">
      <c r="A725" s="18"/>
      <c r="B725" s="18"/>
      <c r="C725" s="18"/>
      <c r="D725" s="18"/>
      <c r="E725" s="18"/>
      <c r="F725" s="18"/>
      <c r="G725" s="3"/>
      <c r="H725" s="3"/>
      <c r="I725" s="39"/>
      <c r="K725" s="22"/>
      <c r="L725" s="9"/>
      <c r="M725" s="9"/>
      <c r="N725" s="9"/>
      <c r="O725" s="9"/>
    </row>
    <row r="726" spans="1:15" x14ac:dyDescent="0.2">
      <c r="A726" s="18"/>
      <c r="B726" s="18"/>
      <c r="C726" s="18"/>
      <c r="D726" s="18"/>
      <c r="E726" s="18"/>
      <c r="F726" s="18"/>
      <c r="G726" s="3"/>
      <c r="H726" s="3"/>
      <c r="I726" s="39"/>
      <c r="K726" s="22"/>
      <c r="L726" s="9"/>
      <c r="M726" s="9"/>
      <c r="N726" s="9"/>
      <c r="O726" s="9"/>
    </row>
    <row r="727" spans="1:15" x14ac:dyDescent="0.2">
      <c r="A727" s="18"/>
      <c r="B727" s="18"/>
      <c r="C727" s="18"/>
      <c r="D727" s="18"/>
      <c r="E727" s="18"/>
      <c r="F727" s="18"/>
      <c r="G727" s="3"/>
      <c r="H727" s="3"/>
      <c r="I727" s="39"/>
      <c r="K727" s="22"/>
      <c r="L727" s="9"/>
      <c r="M727" s="9"/>
      <c r="N727" s="9"/>
      <c r="O727" s="9"/>
    </row>
    <row r="728" spans="1:15" x14ac:dyDescent="0.2">
      <c r="A728" s="18"/>
      <c r="B728" s="18"/>
      <c r="C728" s="18"/>
      <c r="D728" s="18"/>
      <c r="E728" s="18"/>
      <c r="F728" s="18"/>
      <c r="G728" s="3"/>
      <c r="H728" s="3"/>
      <c r="I728" s="39"/>
      <c r="K728" s="22"/>
      <c r="L728" s="9"/>
      <c r="M728" s="9"/>
      <c r="N728" s="9"/>
      <c r="O728" s="9"/>
    </row>
    <row r="729" spans="1:15" x14ac:dyDescent="0.2">
      <c r="A729" s="18"/>
      <c r="B729" s="18"/>
      <c r="C729" s="18"/>
      <c r="D729" s="18"/>
      <c r="E729" s="18"/>
      <c r="F729" s="18"/>
      <c r="G729" s="3"/>
      <c r="H729" s="3"/>
      <c r="I729" s="39"/>
      <c r="K729" s="22"/>
      <c r="L729" s="9"/>
      <c r="M729" s="9"/>
      <c r="N729" s="9"/>
      <c r="O729" s="9"/>
    </row>
    <row r="730" spans="1:15" x14ac:dyDescent="0.2">
      <c r="A730" s="18"/>
      <c r="B730" s="18"/>
      <c r="C730" s="18"/>
      <c r="D730" s="18"/>
      <c r="E730" s="18"/>
      <c r="F730" s="18"/>
      <c r="G730" s="3"/>
      <c r="H730" s="3"/>
      <c r="I730" s="39"/>
      <c r="K730" s="22"/>
      <c r="L730" s="9"/>
      <c r="M730" s="9"/>
      <c r="N730" s="9"/>
      <c r="O730" s="9"/>
    </row>
    <row r="731" spans="1:15" x14ac:dyDescent="0.2">
      <c r="A731" s="18"/>
      <c r="B731" s="18"/>
      <c r="C731" s="18"/>
      <c r="D731" s="18"/>
      <c r="E731" s="18"/>
      <c r="F731" s="18"/>
      <c r="G731" s="3"/>
      <c r="H731" s="3"/>
      <c r="I731" s="39"/>
      <c r="K731" s="22"/>
      <c r="L731" s="9"/>
      <c r="M731" s="9"/>
      <c r="N731" s="9"/>
      <c r="O731" s="9"/>
    </row>
    <row r="732" spans="1:15" x14ac:dyDescent="0.2">
      <c r="A732" s="18"/>
      <c r="B732" s="18"/>
      <c r="C732" s="18"/>
      <c r="D732" s="18"/>
      <c r="E732" s="18"/>
      <c r="F732" s="18"/>
      <c r="G732" s="3"/>
      <c r="H732" s="3"/>
      <c r="I732" s="39"/>
      <c r="K732" s="22"/>
      <c r="L732" s="9"/>
      <c r="M732" s="9"/>
      <c r="N732" s="9"/>
      <c r="O732" s="9"/>
    </row>
    <row r="733" spans="1:15" x14ac:dyDescent="0.2">
      <c r="A733" s="18"/>
      <c r="B733" s="18"/>
      <c r="C733" s="18"/>
      <c r="D733" s="18"/>
      <c r="E733" s="18"/>
      <c r="F733" s="18"/>
      <c r="G733" s="3"/>
      <c r="H733" s="3"/>
      <c r="I733" s="39"/>
      <c r="K733" s="22"/>
      <c r="L733" s="9"/>
      <c r="M733" s="9"/>
      <c r="N733" s="9"/>
      <c r="O733" s="9"/>
    </row>
    <row r="734" spans="1:15" x14ac:dyDescent="0.2">
      <c r="A734" s="18"/>
      <c r="B734" s="18"/>
      <c r="C734" s="18"/>
      <c r="D734" s="18"/>
      <c r="E734" s="18"/>
      <c r="F734" s="18"/>
      <c r="G734" s="3"/>
      <c r="H734" s="3"/>
      <c r="I734" s="39"/>
      <c r="K734" s="22"/>
      <c r="L734" s="9"/>
      <c r="M734" s="9"/>
      <c r="N734" s="9"/>
      <c r="O734" s="9"/>
    </row>
    <row r="735" spans="1:15" x14ac:dyDescent="0.2">
      <c r="A735" s="18"/>
      <c r="B735" s="18"/>
      <c r="C735" s="18"/>
      <c r="D735" s="18"/>
      <c r="E735" s="18"/>
      <c r="F735" s="18"/>
      <c r="G735" s="3"/>
      <c r="H735" s="3"/>
      <c r="I735" s="39"/>
      <c r="K735" s="22"/>
      <c r="L735" s="9"/>
      <c r="M735" s="9"/>
      <c r="N735" s="9"/>
      <c r="O735" s="9"/>
    </row>
    <row r="736" spans="1:15" x14ac:dyDescent="0.2">
      <c r="A736" s="18"/>
      <c r="B736" s="18"/>
      <c r="C736" s="18"/>
      <c r="D736" s="18"/>
      <c r="E736" s="18"/>
      <c r="F736" s="18"/>
      <c r="G736" s="3"/>
      <c r="H736" s="3"/>
      <c r="I736" s="39"/>
      <c r="K736" s="22"/>
      <c r="L736" s="9"/>
      <c r="M736" s="9"/>
      <c r="N736" s="9"/>
      <c r="O736" s="9"/>
    </row>
    <row r="737" spans="1:15" x14ac:dyDescent="0.2">
      <c r="A737" s="18"/>
      <c r="B737" s="18"/>
      <c r="C737" s="18"/>
      <c r="D737" s="18"/>
      <c r="E737" s="18"/>
      <c r="F737" s="18"/>
      <c r="G737" s="3"/>
      <c r="H737" s="3"/>
      <c r="I737" s="39"/>
      <c r="K737" s="22"/>
      <c r="L737" s="9"/>
      <c r="M737" s="9"/>
      <c r="N737" s="9"/>
      <c r="O737" s="9"/>
    </row>
    <row r="738" spans="1:15" x14ac:dyDescent="0.2">
      <c r="A738" s="18"/>
      <c r="B738" s="18"/>
      <c r="C738" s="18"/>
      <c r="D738" s="18"/>
      <c r="E738" s="18"/>
      <c r="F738" s="18"/>
      <c r="G738" s="3"/>
      <c r="H738" s="3"/>
      <c r="I738" s="39"/>
      <c r="K738" s="22"/>
      <c r="L738" s="9"/>
      <c r="M738" s="9"/>
      <c r="N738" s="9"/>
      <c r="O738" s="9"/>
    </row>
    <row r="739" spans="1:15" x14ac:dyDescent="0.2">
      <c r="A739" s="18"/>
      <c r="B739" s="18"/>
      <c r="C739" s="18"/>
      <c r="D739" s="18"/>
      <c r="E739" s="18"/>
      <c r="F739" s="18"/>
      <c r="G739" s="3"/>
      <c r="H739" s="3"/>
      <c r="I739" s="39"/>
      <c r="K739" s="22"/>
      <c r="L739" s="9"/>
      <c r="M739" s="9"/>
      <c r="N739" s="9"/>
      <c r="O739" s="9"/>
    </row>
    <row r="740" spans="1:15" x14ac:dyDescent="0.2">
      <c r="A740" s="18"/>
      <c r="B740" s="18"/>
      <c r="C740" s="18"/>
      <c r="D740" s="18"/>
      <c r="E740" s="18"/>
      <c r="F740" s="18"/>
      <c r="G740" s="3"/>
      <c r="H740" s="3"/>
      <c r="I740" s="39"/>
      <c r="K740" s="22"/>
      <c r="L740" s="9"/>
      <c r="M740" s="9"/>
      <c r="N740" s="9"/>
      <c r="O740" s="9"/>
    </row>
    <row r="741" spans="1:15" x14ac:dyDescent="0.2">
      <c r="A741" s="18"/>
      <c r="B741" s="18"/>
      <c r="C741" s="18"/>
      <c r="D741" s="18"/>
      <c r="E741" s="18"/>
      <c r="F741" s="18"/>
      <c r="G741" s="3"/>
      <c r="H741" s="3"/>
      <c r="I741" s="39"/>
      <c r="K741" s="22"/>
      <c r="L741" s="9"/>
      <c r="M741" s="9"/>
      <c r="N741" s="9"/>
      <c r="O741" s="9"/>
    </row>
    <row r="742" spans="1:15" x14ac:dyDescent="0.2">
      <c r="A742" s="18"/>
      <c r="B742" s="18"/>
      <c r="C742" s="18"/>
      <c r="D742" s="18"/>
      <c r="E742" s="18"/>
      <c r="F742" s="18"/>
      <c r="G742" s="3"/>
      <c r="H742" s="3"/>
      <c r="I742" s="39"/>
      <c r="K742" s="22"/>
      <c r="L742" s="9"/>
      <c r="M742" s="9"/>
      <c r="N742" s="9"/>
      <c r="O742" s="9"/>
    </row>
    <row r="743" spans="1:15" x14ac:dyDescent="0.2">
      <c r="A743" s="18"/>
      <c r="B743" s="18"/>
      <c r="C743" s="18"/>
      <c r="D743" s="18"/>
      <c r="E743" s="18"/>
      <c r="F743" s="18"/>
      <c r="G743" s="3"/>
      <c r="H743" s="3"/>
      <c r="I743" s="39"/>
      <c r="K743" s="22"/>
      <c r="L743" s="9"/>
      <c r="M743" s="9"/>
      <c r="N743" s="9"/>
      <c r="O743" s="9"/>
    </row>
    <row r="744" spans="1:15" x14ac:dyDescent="0.2">
      <c r="A744" s="18"/>
      <c r="B744" s="18"/>
      <c r="C744" s="18"/>
      <c r="D744" s="18"/>
      <c r="E744" s="18"/>
      <c r="F744" s="18"/>
      <c r="G744" s="3"/>
      <c r="H744" s="3"/>
      <c r="I744" s="39"/>
      <c r="K744" s="22"/>
      <c r="L744" s="9"/>
      <c r="M744" s="9"/>
      <c r="N744" s="9"/>
      <c r="O744" s="9"/>
    </row>
    <row r="745" spans="1:15" x14ac:dyDescent="0.2">
      <c r="A745" s="18"/>
      <c r="B745" s="18"/>
      <c r="C745" s="18"/>
      <c r="D745" s="18"/>
      <c r="E745" s="18"/>
      <c r="F745" s="18"/>
      <c r="G745" s="3"/>
      <c r="H745" s="3"/>
      <c r="I745" s="39"/>
      <c r="K745" s="22"/>
      <c r="L745" s="9"/>
      <c r="M745" s="9"/>
      <c r="N745" s="9"/>
      <c r="O745" s="9"/>
    </row>
    <row r="746" spans="1:15" x14ac:dyDescent="0.2">
      <c r="A746" s="18"/>
      <c r="B746" s="18"/>
      <c r="C746" s="18"/>
      <c r="D746" s="18"/>
      <c r="E746" s="18"/>
      <c r="F746" s="18"/>
      <c r="G746" s="3"/>
      <c r="H746" s="3"/>
      <c r="I746" s="39"/>
      <c r="K746" s="22"/>
      <c r="L746" s="9"/>
      <c r="M746" s="9"/>
      <c r="N746" s="9"/>
      <c r="O746" s="9"/>
    </row>
    <row r="747" spans="1:15" x14ac:dyDescent="0.2">
      <c r="A747" s="18"/>
      <c r="B747" s="18"/>
      <c r="C747" s="18"/>
      <c r="D747" s="18"/>
      <c r="E747" s="18"/>
      <c r="F747" s="18"/>
      <c r="G747" s="3"/>
      <c r="H747" s="3"/>
      <c r="I747" s="39"/>
      <c r="K747" s="22"/>
      <c r="L747" s="9"/>
      <c r="M747" s="9"/>
      <c r="N747" s="9"/>
      <c r="O747" s="9"/>
    </row>
    <row r="748" spans="1:15" x14ac:dyDescent="0.2">
      <c r="A748" s="18"/>
      <c r="B748" s="18"/>
      <c r="C748" s="18"/>
      <c r="D748" s="18"/>
      <c r="E748" s="18"/>
      <c r="F748" s="18"/>
      <c r="G748" s="3"/>
      <c r="H748" s="3"/>
      <c r="I748" s="39"/>
      <c r="K748" s="22"/>
      <c r="L748" s="9"/>
      <c r="M748" s="9"/>
      <c r="N748" s="9"/>
      <c r="O748" s="9"/>
    </row>
    <row r="749" spans="1:15" x14ac:dyDescent="0.2">
      <c r="A749" s="18"/>
      <c r="B749" s="18"/>
      <c r="C749" s="18"/>
      <c r="D749" s="18"/>
      <c r="E749" s="18"/>
      <c r="F749" s="18"/>
      <c r="G749" s="3"/>
      <c r="H749" s="3"/>
      <c r="I749" s="39"/>
      <c r="K749" s="22"/>
      <c r="L749" s="9"/>
      <c r="M749" s="9"/>
      <c r="N749" s="9"/>
      <c r="O749" s="9"/>
    </row>
    <row r="750" spans="1:15" x14ac:dyDescent="0.2">
      <c r="A750" s="18"/>
      <c r="B750" s="18"/>
      <c r="C750" s="18"/>
      <c r="D750" s="18"/>
      <c r="E750" s="18"/>
      <c r="F750" s="18"/>
      <c r="G750" s="3"/>
      <c r="H750" s="3"/>
      <c r="I750" s="39"/>
      <c r="K750" s="22"/>
      <c r="L750" s="9"/>
      <c r="M750" s="9"/>
      <c r="N750" s="9"/>
      <c r="O750" s="9"/>
    </row>
    <row r="751" spans="1:15" x14ac:dyDescent="0.2">
      <c r="A751" s="18"/>
      <c r="B751" s="18"/>
      <c r="C751" s="18"/>
      <c r="D751" s="18"/>
      <c r="E751" s="18"/>
      <c r="F751" s="18"/>
      <c r="G751" s="3"/>
      <c r="H751" s="3"/>
      <c r="I751" s="39"/>
      <c r="K751" s="22"/>
      <c r="L751" s="9"/>
      <c r="M751" s="9"/>
      <c r="N751" s="9"/>
      <c r="O751" s="9"/>
    </row>
    <row r="752" spans="1:15" x14ac:dyDescent="0.2">
      <c r="A752" s="18"/>
      <c r="B752" s="18"/>
      <c r="C752" s="18"/>
      <c r="D752" s="18"/>
      <c r="E752" s="18"/>
      <c r="F752" s="18"/>
      <c r="G752" s="3"/>
      <c r="H752" s="3"/>
      <c r="I752" s="39"/>
      <c r="K752" s="22"/>
      <c r="L752" s="9"/>
      <c r="M752" s="9"/>
      <c r="N752" s="9"/>
      <c r="O752" s="9"/>
    </row>
    <row r="753" spans="1:15" x14ac:dyDescent="0.2">
      <c r="A753" s="18"/>
      <c r="B753" s="18"/>
      <c r="C753" s="18"/>
      <c r="D753" s="18"/>
      <c r="E753" s="18"/>
      <c r="F753" s="18"/>
      <c r="G753" s="3"/>
      <c r="H753" s="3"/>
      <c r="I753" s="39"/>
      <c r="K753" s="22"/>
      <c r="L753" s="9"/>
      <c r="M753" s="9"/>
      <c r="N753" s="9"/>
      <c r="O753" s="9"/>
    </row>
    <row r="754" spans="1:15" x14ac:dyDescent="0.2">
      <c r="A754" s="18"/>
      <c r="B754" s="18"/>
      <c r="C754" s="18"/>
      <c r="D754" s="18"/>
      <c r="E754" s="18"/>
      <c r="F754" s="18"/>
      <c r="G754" s="3"/>
      <c r="H754" s="3"/>
      <c r="I754" s="39"/>
      <c r="K754" s="22"/>
      <c r="L754" s="9"/>
      <c r="M754" s="9"/>
      <c r="N754" s="9"/>
      <c r="O754" s="9"/>
    </row>
    <row r="755" spans="1:15" x14ac:dyDescent="0.2">
      <c r="A755" s="18"/>
      <c r="B755" s="18"/>
      <c r="C755" s="18"/>
      <c r="D755" s="18"/>
      <c r="E755" s="18"/>
      <c r="F755" s="18"/>
      <c r="G755" s="3"/>
      <c r="H755" s="3"/>
      <c r="I755" s="39"/>
      <c r="K755" s="22"/>
      <c r="L755" s="9"/>
      <c r="M755" s="9"/>
      <c r="N755" s="9"/>
      <c r="O755" s="9"/>
    </row>
    <row r="756" spans="1:15" x14ac:dyDescent="0.2">
      <c r="A756" s="18"/>
      <c r="B756" s="18"/>
      <c r="C756" s="18"/>
      <c r="D756" s="18"/>
      <c r="E756" s="18"/>
      <c r="F756" s="18"/>
      <c r="G756" s="3"/>
      <c r="H756" s="3"/>
      <c r="I756" s="39"/>
      <c r="K756" s="22"/>
      <c r="L756" s="9"/>
      <c r="M756" s="9"/>
      <c r="N756" s="9"/>
      <c r="O756" s="9"/>
    </row>
    <row r="757" spans="1:15" x14ac:dyDescent="0.2">
      <c r="A757" s="18"/>
      <c r="B757" s="18"/>
      <c r="C757" s="18"/>
      <c r="D757" s="18"/>
      <c r="E757" s="18"/>
      <c r="F757" s="18"/>
      <c r="G757" s="3"/>
      <c r="H757" s="3"/>
      <c r="I757" s="39"/>
      <c r="K757" s="22"/>
      <c r="L757" s="9"/>
      <c r="M757" s="9"/>
      <c r="N757" s="9"/>
      <c r="O757" s="9"/>
    </row>
    <row r="758" spans="1:15" x14ac:dyDescent="0.2">
      <c r="A758" s="18"/>
      <c r="B758" s="18"/>
      <c r="C758" s="18"/>
      <c r="D758" s="18"/>
      <c r="E758" s="18"/>
      <c r="F758" s="18"/>
      <c r="G758" s="3"/>
      <c r="H758" s="3"/>
      <c r="I758" s="39"/>
      <c r="K758" s="22"/>
      <c r="L758" s="9"/>
      <c r="M758" s="9"/>
      <c r="N758" s="9"/>
      <c r="O758" s="9"/>
    </row>
    <row r="759" spans="1:15" x14ac:dyDescent="0.2">
      <c r="A759" s="18"/>
      <c r="B759" s="18"/>
      <c r="C759" s="18"/>
      <c r="D759" s="18"/>
      <c r="E759" s="18"/>
      <c r="F759" s="18"/>
      <c r="G759" s="3"/>
      <c r="H759" s="3"/>
      <c r="I759" s="39"/>
      <c r="K759" s="22"/>
      <c r="L759" s="9"/>
      <c r="M759" s="9"/>
      <c r="N759" s="9"/>
      <c r="O759" s="9"/>
    </row>
    <row r="760" spans="1:15" x14ac:dyDescent="0.2">
      <c r="A760" s="18"/>
      <c r="B760" s="18"/>
      <c r="C760" s="18"/>
      <c r="D760" s="18"/>
      <c r="E760" s="18"/>
      <c r="F760" s="18"/>
      <c r="G760" s="3"/>
      <c r="H760" s="3"/>
      <c r="I760" s="39"/>
      <c r="K760" s="22"/>
      <c r="L760" s="9"/>
      <c r="M760" s="9"/>
      <c r="N760" s="9"/>
      <c r="O760" s="9"/>
    </row>
    <row r="761" spans="1:15" x14ac:dyDescent="0.2">
      <c r="A761" s="18"/>
      <c r="B761" s="18"/>
      <c r="C761" s="18"/>
      <c r="D761" s="18"/>
      <c r="E761" s="18"/>
      <c r="F761" s="18"/>
      <c r="G761" s="3"/>
      <c r="H761" s="3"/>
      <c r="I761" s="39"/>
      <c r="K761" s="22"/>
      <c r="L761" s="9"/>
      <c r="M761" s="9"/>
      <c r="N761" s="9"/>
      <c r="O761" s="9"/>
    </row>
    <row r="762" spans="1:15" x14ac:dyDescent="0.2">
      <c r="A762" s="18"/>
      <c r="B762" s="18"/>
      <c r="C762" s="18"/>
      <c r="D762" s="18"/>
      <c r="E762" s="18"/>
      <c r="F762" s="18"/>
      <c r="G762" s="3"/>
      <c r="H762" s="3"/>
      <c r="I762" s="39"/>
      <c r="K762" s="22"/>
      <c r="L762" s="9"/>
      <c r="M762" s="9"/>
      <c r="N762" s="9"/>
      <c r="O762" s="9"/>
    </row>
    <row r="763" spans="1:15" x14ac:dyDescent="0.2">
      <c r="A763" s="18"/>
      <c r="B763" s="18"/>
      <c r="C763" s="18"/>
      <c r="D763" s="18"/>
      <c r="E763" s="18"/>
      <c r="F763" s="18"/>
      <c r="G763" s="3"/>
      <c r="H763" s="3"/>
      <c r="I763" s="39"/>
      <c r="K763" s="22"/>
      <c r="L763" s="9"/>
      <c r="M763" s="9"/>
      <c r="N763" s="9"/>
      <c r="O763" s="9"/>
    </row>
    <row r="764" spans="1:15" x14ac:dyDescent="0.2">
      <c r="A764" s="18"/>
      <c r="B764" s="18"/>
      <c r="C764" s="18"/>
      <c r="D764" s="18"/>
      <c r="E764" s="18"/>
      <c r="F764" s="18"/>
      <c r="G764" s="3"/>
      <c r="H764" s="3"/>
      <c r="I764" s="39"/>
      <c r="K764" s="22"/>
      <c r="L764" s="9"/>
      <c r="M764" s="9"/>
      <c r="N764" s="9"/>
      <c r="O764" s="9"/>
    </row>
    <row r="765" spans="1:15" x14ac:dyDescent="0.2">
      <c r="A765" s="18"/>
      <c r="B765" s="18"/>
      <c r="C765" s="18"/>
      <c r="D765" s="18"/>
      <c r="E765" s="18"/>
      <c r="F765" s="18"/>
      <c r="G765" s="3"/>
      <c r="H765" s="3"/>
      <c r="I765" s="39"/>
      <c r="K765" s="22"/>
      <c r="L765" s="9"/>
      <c r="M765" s="9"/>
      <c r="N765" s="9"/>
      <c r="O765" s="9"/>
    </row>
    <row r="766" spans="1:15" x14ac:dyDescent="0.2">
      <c r="A766" s="18"/>
      <c r="B766" s="18"/>
      <c r="C766" s="18"/>
      <c r="D766" s="18"/>
      <c r="E766" s="18"/>
      <c r="F766" s="18"/>
      <c r="G766" s="3"/>
      <c r="H766" s="3"/>
      <c r="I766" s="39"/>
      <c r="K766" s="22"/>
      <c r="L766" s="9"/>
      <c r="M766" s="9"/>
      <c r="N766" s="9"/>
      <c r="O766" s="9"/>
    </row>
    <row r="767" spans="1:15" x14ac:dyDescent="0.2">
      <c r="A767" s="18"/>
      <c r="B767" s="18"/>
      <c r="C767" s="18"/>
      <c r="D767" s="18"/>
      <c r="E767" s="18"/>
      <c r="F767" s="18"/>
      <c r="G767" s="3"/>
      <c r="H767" s="3"/>
      <c r="I767" s="39"/>
      <c r="K767" s="22"/>
      <c r="L767" s="9"/>
      <c r="M767" s="9"/>
      <c r="N767" s="9"/>
      <c r="O767" s="9"/>
    </row>
    <row r="768" spans="1:15" x14ac:dyDescent="0.2">
      <c r="A768" s="18"/>
      <c r="B768" s="18"/>
      <c r="C768" s="18"/>
      <c r="D768" s="18"/>
      <c r="E768" s="18"/>
      <c r="F768" s="18"/>
      <c r="G768" s="3"/>
      <c r="H768" s="3"/>
      <c r="I768" s="39"/>
      <c r="K768" s="22"/>
      <c r="L768" s="9"/>
      <c r="M768" s="9"/>
      <c r="N768" s="9"/>
      <c r="O768" s="9"/>
    </row>
    <row r="769" spans="1:15" x14ac:dyDescent="0.2">
      <c r="A769" s="18"/>
      <c r="B769" s="18"/>
      <c r="C769" s="18"/>
      <c r="D769" s="18"/>
      <c r="E769" s="18"/>
      <c r="F769" s="18"/>
      <c r="G769" s="3"/>
      <c r="H769" s="3"/>
      <c r="I769" s="39"/>
      <c r="K769" s="22"/>
      <c r="L769" s="9"/>
      <c r="M769" s="9"/>
      <c r="N769" s="9"/>
      <c r="O769" s="9"/>
    </row>
    <row r="770" spans="1:15" x14ac:dyDescent="0.2">
      <c r="A770" s="18"/>
      <c r="B770" s="18"/>
      <c r="C770" s="18"/>
      <c r="D770" s="18"/>
      <c r="E770" s="18"/>
      <c r="F770" s="18"/>
      <c r="G770" s="3"/>
      <c r="H770" s="3"/>
      <c r="I770" s="39"/>
      <c r="K770" s="22"/>
      <c r="L770" s="9"/>
      <c r="M770" s="9"/>
      <c r="N770" s="9"/>
      <c r="O770" s="9"/>
    </row>
    <row r="771" spans="1:15" x14ac:dyDescent="0.2">
      <c r="A771" s="18"/>
      <c r="B771" s="18"/>
      <c r="C771" s="18"/>
      <c r="D771" s="18"/>
      <c r="E771" s="18"/>
      <c r="F771" s="18"/>
      <c r="G771" s="3"/>
      <c r="H771" s="3"/>
      <c r="I771" s="39"/>
      <c r="K771" s="22"/>
      <c r="L771" s="9"/>
      <c r="M771" s="9"/>
      <c r="N771" s="9"/>
      <c r="O771" s="9"/>
    </row>
    <row r="772" spans="1:15" x14ac:dyDescent="0.2">
      <c r="A772" s="18"/>
      <c r="B772" s="18"/>
      <c r="C772" s="18"/>
      <c r="D772" s="18"/>
      <c r="E772" s="18"/>
      <c r="F772" s="18"/>
      <c r="G772" s="3"/>
      <c r="H772" s="3"/>
      <c r="I772" s="39"/>
      <c r="K772" s="22"/>
      <c r="L772" s="9"/>
      <c r="M772" s="9"/>
      <c r="N772" s="9"/>
      <c r="O772" s="9"/>
    </row>
    <row r="773" spans="1:15" x14ac:dyDescent="0.2">
      <c r="A773" s="18"/>
      <c r="B773" s="18"/>
      <c r="C773" s="18"/>
      <c r="D773" s="18"/>
      <c r="E773" s="18"/>
      <c r="F773" s="18"/>
      <c r="G773" s="3"/>
      <c r="H773" s="3"/>
      <c r="I773" s="39"/>
      <c r="K773" s="22"/>
      <c r="L773" s="9"/>
      <c r="M773" s="9"/>
      <c r="N773" s="9"/>
      <c r="O773" s="9"/>
    </row>
    <row r="774" spans="1:15" x14ac:dyDescent="0.2">
      <c r="A774" s="18"/>
      <c r="B774" s="18"/>
      <c r="C774" s="18"/>
      <c r="D774" s="18"/>
      <c r="E774" s="18"/>
      <c r="F774" s="18"/>
      <c r="G774" s="3"/>
      <c r="H774" s="3"/>
      <c r="I774" s="39"/>
      <c r="K774" s="22"/>
      <c r="L774" s="9"/>
      <c r="M774" s="9"/>
      <c r="N774" s="9"/>
      <c r="O774" s="9"/>
    </row>
    <row r="775" spans="1:15" x14ac:dyDescent="0.2">
      <c r="A775" s="18"/>
      <c r="B775" s="18"/>
      <c r="C775" s="18"/>
      <c r="D775" s="18"/>
      <c r="E775" s="18"/>
      <c r="F775" s="18"/>
      <c r="G775" s="3"/>
      <c r="H775" s="3"/>
      <c r="I775" s="39"/>
      <c r="K775" s="22"/>
      <c r="L775" s="9"/>
      <c r="M775" s="9"/>
      <c r="N775" s="9"/>
      <c r="O775" s="9"/>
    </row>
    <row r="776" spans="1:15" x14ac:dyDescent="0.2">
      <c r="A776" s="18"/>
      <c r="B776" s="18"/>
      <c r="C776" s="18"/>
      <c r="D776" s="18"/>
      <c r="E776" s="18"/>
      <c r="F776" s="18"/>
      <c r="G776" s="3"/>
      <c r="H776" s="3"/>
      <c r="I776" s="39"/>
      <c r="K776" s="22"/>
      <c r="L776" s="9"/>
      <c r="M776" s="9"/>
      <c r="N776" s="9"/>
      <c r="O776" s="9"/>
    </row>
    <row r="777" spans="1:15" x14ac:dyDescent="0.2">
      <c r="A777" s="18"/>
      <c r="B777" s="18"/>
      <c r="C777" s="18"/>
      <c r="D777" s="18"/>
      <c r="E777" s="18"/>
      <c r="F777" s="18"/>
      <c r="G777" s="3"/>
      <c r="H777" s="3"/>
      <c r="I777" s="39"/>
      <c r="K777" s="22"/>
      <c r="L777" s="9"/>
      <c r="M777" s="9"/>
      <c r="N777" s="9"/>
      <c r="O777" s="9"/>
    </row>
    <row r="778" spans="1:15" x14ac:dyDescent="0.2">
      <c r="A778" s="18"/>
      <c r="B778" s="18"/>
      <c r="C778" s="18"/>
      <c r="D778" s="18"/>
      <c r="E778" s="18"/>
      <c r="F778" s="18"/>
      <c r="G778" s="3"/>
      <c r="H778" s="3"/>
      <c r="I778" s="39"/>
      <c r="K778" s="22"/>
      <c r="L778" s="9"/>
      <c r="M778" s="9"/>
      <c r="N778" s="9"/>
      <c r="O778" s="9"/>
    </row>
    <row r="779" spans="1:15" x14ac:dyDescent="0.2">
      <c r="A779" s="18"/>
      <c r="B779" s="18"/>
      <c r="C779" s="18"/>
      <c r="D779" s="18"/>
      <c r="E779" s="18"/>
      <c r="F779" s="18"/>
      <c r="G779" s="3"/>
      <c r="H779" s="3"/>
      <c r="I779" s="39"/>
      <c r="K779" s="22"/>
      <c r="L779" s="9"/>
      <c r="M779" s="9"/>
      <c r="N779" s="9"/>
      <c r="O779" s="9"/>
    </row>
    <row r="780" spans="1:15" x14ac:dyDescent="0.2">
      <c r="A780" s="18"/>
      <c r="B780" s="18"/>
      <c r="C780" s="18"/>
      <c r="D780" s="18"/>
      <c r="E780" s="18"/>
      <c r="F780" s="18"/>
      <c r="G780" s="3"/>
      <c r="H780" s="3"/>
      <c r="I780" s="39"/>
      <c r="K780" s="22"/>
      <c r="L780" s="9"/>
      <c r="M780" s="9"/>
      <c r="N780" s="9"/>
      <c r="O780" s="9"/>
    </row>
    <row r="781" spans="1:15" x14ac:dyDescent="0.2">
      <c r="A781" s="18"/>
      <c r="B781" s="18"/>
      <c r="C781" s="18"/>
      <c r="D781" s="18"/>
      <c r="E781" s="18"/>
      <c r="F781" s="18"/>
      <c r="G781" s="3"/>
      <c r="H781" s="3"/>
      <c r="I781" s="39"/>
      <c r="K781" s="22"/>
      <c r="L781" s="9"/>
      <c r="M781" s="9"/>
      <c r="N781" s="9"/>
      <c r="O781" s="9"/>
    </row>
    <row r="782" spans="1:15" x14ac:dyDescent="0.2">
      <c r="A782" s="18"/>
      <c r="B782" s="18"/>
      <c r="C782" s="18"/>
      <c r="D782" s="18"/>
      <c r="E782" s="18"/>
      <c r="F782" s="18"/>
      <c r="G782" s="3"/>
      <c r="H782" s="3"/>
      <c r="I782" s="39"/>
      <c r="K782" s="22"/>
      <c r="L782" s="9"/>
      <c r="M782" s="9"/>
      <c r="N782" s="9"/>
      <c r="O782" s="9"/>
    </row>
    <row r="783" spans="1:15" x14ac:dyDescent="0.2">
      <c r="A783" s="18"/>
      <c r="B783" s="18"/>
      <c r="C783" s="18"/>
      <c r="D783" s="18"/>
      <c r="E783" s="18"/>
      <c r="F783" s="18"/>
      <c r="G783" s="3"/>
      <c r="H783" s="3"/>
      <c r="I783" s="39"/>
      <c r="K783" s="22"/>
      <c r="L783" s="9"/>
      <c r="M783" s="9"/>
      <c r="N783" s="9"/>
      <c r="O783" s="9"/>
    </row>
    <row r="784" spans="1:15" x14ac:dyDescent="0.2">
      <c r="A784" s="18"/>
      <c r="B784" s="18"/>
      <c r="C784" s="18"/>
      <c r="D784" s="18"/>
      <c r="E784" s="18"/>
      <c r="F784" s="18"/>
      <c r="G784" s="3"/>
      <c r="H784" s="3"/>
      <c r="I784" s="39"/>
      <c r="K784" s="22"/>
      <c r="L784" s="9"/>
      <c r="M784" s="9"/>
      <c r="N784" s="9"/>
      <c r="O784" s="9"/>
    </row>
    <row r="785" spans="1:15" x14ac:dyDescent="0.2">
      <c r="A785" s="18"/>
      <c r="B785" s="18"/>
      <c r="C785" s="18"/>
      <c r="D785" s="18"/>
      <c r="E785" s="18"/>
      <c r="F785" s="18"/>
      <c r="G785" s="3"/>
      <c r="H785" s="3"/>
      <c r="I785" s="39"/>
      <c r="K785" s="22"/>
      <c r="L785" s="9"/>
      <c r="M785" s="9"/>
      <c r="N785" s="9"/>
      <c r="O785" s="9"/>
    </row>
    <row r="786" spans="1:15" x14ac:dyDescent="0.2">
      <c r="A786" s="18"/>
      <c r="B786" s="18"/>
      <c r="C786" s="18"/>
      <c r="D786" s="18"/>
      <c r="E786" s="18"/>
      <c r="F786" s="18"/>
      <c r="G786" s="3"/>
      <c r="H786" s="3"/>
      <c r="I786" s="39"/>
      <c r="K786" s="22"/>
      <c r="L786" s="9"/>
      <c r="M786" s="9"/>
      <c r="N786" s="9"/>
      <c r="O786" s="9"/>
    </row>
    <row r="787" spans="1:15" x14ac:dyDescent="0.2">
      <c r="A787" s="18"/>
      <c r="B787" s="18"/>
      <c r="C787" s="18"/>
      <c r="D787" s="18"/>
      <c r="E787" s="18"/>
      <c r="F787" s="18"/>
      <c r="G787" s="3"/>
      <c r="H787" s="3"/>
      <c r="I787" s="39"/>
      <c r="K787" s="22"/>
      <c r="L787" s="9"/>
      <c r="M787" s="9"/>
      <c r="N787" s="9"/>
      <c r="O787" s="9"/>
    </row>
    <row r="788" spans="1:15" x14ac:dyDescent="0.2">
      <c r="A788" s="18"/>
      <c r="B788" s="18"/>
      <c r="C788" s="18"/>
      <c r="D788" s="18"/>
      <c r="E788" s="18"/>
      <c r="F788" s="18"/>
      <c r="G788" s="3"/>
      <c r="H788" s="3"/>
      <c r="I788" s="39"/>
      <c r="K788" s="22"/>
      <c r="L788" s="9"/>
      <c r="M788" s="9"/>
      <c r="N788" s="9"/>
      <c r="O788" s="9"/>
    </row>
    <row r="789" spans="1:15" x14ac:dyDescent="0.2">
      <c r="A789" s="18"/>
      <c r="B789" s="18"/>
      <c r="C789" s="18"/>
      <c r="D789" s="18"/>
      <c r="E789" s="18"/>
      <c r="F789" s="18"/>
      <c r="G789" s="3"/>
      <c r="H789" s="3"/>
      <c r="I789" s="39"/>
      <c r="K789" s="22"/>
      <c r="L789" s="9"/>
      <c r="M789" s="9"/>
      <c r="N789" s="9"/>
      <c r="O789" s="9"/>
    </row>
    <row r="790" spans="1:15" x14ac:dyDescent="0.2">
      <c r="A790" s="18"/>
      <c r="B790" s="18"/>
      <c r="C790" s="18"/>
      <c r="D790" s="18"/>
      <c r="E790" s="18"/>
      <c r="F790" s="18"/>
      <c r="G790" s="3"/>
      <c r="H790" s="3"/>
      <c r="I790" s="39"/>
      <c r="K790" s="22"/>
      <c r="L790" s="9"/>
      <c r="M790" s="9"/>
      <c r="N790" s="9"/>
      <c r="O790" s="9"/>
    </row>
    <row r="791" spans="1:15" x14ac:dyDescent="0.2">
      <c r="A791" s="18"/>
      <c r="B791" s="18"/>
      <c r="C791" s="18"/>
      <c r="D791" s="18"/>
      <c r="E791" s="18"/>
      <c r="F791" s="18"/>
      <c r="G791" s="3"/>
      <c r="H791" s="3"/>
      <c r="I791" s="39"/>
      <c r="K791" s="22"/>
      <c r="L791" s="9"/>
      <c r="M791" s="9"/>
      <c r="N791" s="9"/>
      <c r="O791" s="9"/>
    </row>
    <row r="792" spans="1:15" x14ac:dyDescent="0.2">
      <c r="A792" s="18"/>
      <c r="B792" s="18"/>
      <c r="C792" s="18"/>
      <c r="D792" s="18"/>
      <c r="E792" s="18"/>
      <c r="F792" s="18"/>
      <c r="G792" s="3"/>
      <c r="H792" s="3"/>
      <c r="I792" s="39"/>
      <c r="K792" s="22"/>
      <c r="L792" s="9"/>
      <c r="M792" s="9"/>
      <c r="N792" s="9"/>
      <c r="O792" s="9"/>
    </row>
    <row r="793" spans="1:15" x14ac:dyDescent="0.2">
      <c r="A793" s="18"/>
      <c r="B793" s="18"/>
      <c r="C793" s="18"/>
      <c r="D793" s="18"/>
      <c r="E793" s="18"/>
      <c r="F793" s="18"/>
      <c r="G793" s="3"/>
      <c r="H793" s="3"/>
      <c r="I793" s="39"/>
      <c r="K793" s="22"/>
      <c r="L793" s="9"/>
      <c r="M793" s="9"/>
      <c r="N793" s="9"/>
      <c r="O793" s="9"/>
    </row>
    <row r="794" spans="1:15" x14ac:dyDescent="0.2">
      <c r="A794" s="18"/>
      <c r="B794" s="18"/>
      <c r="C794" s="18"/>
      <c r="D794" s="18"/>
      <c r="E794" s="18"/>
      <c r="F794" s="18"/>
      <c r="G794" s="3"/>
      <c r="H794" s="3"/>
      <c r="I794" s="39"/>
      <c r="K794" s="22"/>
      <c r="L794" s="9"/>
      <c r="M794" s="9"/>
      <c r="N794" s="9"/>
      <c r="O794" s="9"/>
    </row>
    <row r="795" spans="1:15" x14ac:dyDescent="0.2">
      <c r="A795" s="18"/>
      <c r="B795" s="18"/>
      <c r="C795" s="18"/>
      <c r="D795" s="18"/>
      <c r="E795" s="18"/>
      <c r="F795" s="18"/>
      <c r="G795" s="3"/>
      <c r="H795" s="3"/>
      <c r="I795" s="39"/>
      <c r="K795" s="22"/>
      <c r="L795" s="9"/>
      <c r="M795" s="9"/>
      <c r="N795" s="9"/>
      <c r="O795" s="9"/>
    </row>
    <row r="796" spans="1:15" x14ac:dyDescent="0.2">
      <c r="A796" s="18"/>
      <c r="B796" s="18"/>
      <c r="C796" s="18"/>
      <c r="D796" s="18"/>
      <c r="E796" s="18"/>
      <c r="F796" s="18"/>
      <c r="G796" s="3"/>
      <c r="H796" s="3"/>
      <c r="I796" s="39"/>
      <c r="K796" s="22"/>
      <c r="L796" s="9"/>
      <c r="M796" s="9"/>
      <c r="N796" s="9"/>
      <c r="O796" s="9"/>
    </row>
    <row r="797" spans="1:15" x14ac:dyDescent="0.2">
      <c r="A797" s="18"/>
      <c r="B797" s="18"/>
      <c r="C797" s="18"/>
      <c r="D797" s="18"/>
      <c r="E797" s="18"/>
      <c r="F797" s="18"/>
      <c r="G797" s="3"/>
      <c r="H797" s="3"/>
      <c r="I797" s="39"/>
      <c r="K797" s="22"/>
      <c r="L797" s="9"/>
      <c r="M797" s="9"/>
      <c r="N797" s="9"/>
      <c r="O797" s="9"/>
    </row>
    <row r="798" spans="1:15" x14ac:dyDescent="0.2">
      <c r="A798" s="18"/>
      <c r="B798" s="18"/>
      <c r="C798" s="18"/>
      <c r="D798" s="18"/>
      <c r="E798" s="18"/>
      <c r="F798" s="18"/>
      <c r="G798" s="3"/>
      <c r="H798" s="3"/>
      <c r="I798" s="39"/>
      <c r="K798" s="22"/>
      <c r="L798" s="9"/>
      <c r="M798" s="9"/>
      <c r="N798" s="9"/>
      <c r="O798" s="9"/>
    </row>
    <row r="799" spans="1:15" x14ac:dyDescent="0.2">
      <c r="A799" s="18"/>
      <c r="B799" s="18"/>
      <c r="C799" s="18"/>
      <c r="D799" s="18"/>
      <c r="E799" s="18"/>
      <c r="F799" s="18"/>
      <c r="G799" s="3"/>
      <c r="H799" s="3"/>
      <c r="I799" s="39"/>
      <c r="K799" s="22"/>
      <c r="L799" s="9"/>
      <c r="M799" s="9"/>
      <c r="N799" s="9"/>
      <c r="O799" s="9"/>
    </row>
    <row r="800" spans="1:15" x14ac:dyDescent="0.2">
      <c r="A800" s="18"/>
      <c r="B800" s="18"/>
      <c r="C800" s="18"/>
      <c r="D800" s="18"/>
      <c r="E800" s="18"/>
      <c r="F800" s="18"/>
      <c r="G800" s="3"/>
      <c r="H800" s="3"/>
      <c r="I800" s="39"/>
      <c r="K800" s="22"/>
      <c r="L800" s="9"/>
      <c r="M800" s="9"/>
      <c r="N800" s="9"/>
      <c r="O800" s="9"/>
    </row>
    <row r="801" spans="1:15" x14ac:dyDescent="0.2">
      <c r="A801" s="18"/>
      <c r="B801" s="18"/>
      <c r="C801" s="18"/>
      <c r="D801" s="18"/>
      <c r="E801" s="18"/>
      <c r="F801" s="18"/>
      <c r="G801" s="3"/>
      <c r="H801" s="3"/>
      <c r="I801" s="39"/>
      <c r="K801" s="22"/>
      <c r="L801" s="9"/>
      <c r="M801" s="9"/>
      <c r="N801" s="9"/>
      <c r="O801" s="9"/>
    </row>
    <row r="802" spans="1:15" x14ac:dyDescent="0.2">
      <c r="A802" s="18"/>
      <c r="B802" s="18"/>
      <c r="C802" s="18"/>
      <c r="D802" s="18"/>
      <c r="E802" s="18"/>
      <c r="F802" s="18"/>
      <c r="G802" s="3"/>
      <c r="H802" s="3"/>
      <c r="I802" s="39"/>
      <c r="K802" s="22"/>
      <c r="L802" s="9"/>
      <c r="M802" s="9"/>
      <c r="N802" s="9"/>
      <c r="O802" s="9"/>
    </row>
    <row r="803" spans="1:15" x14ac:dyDescent="0.2">
      <c r="A803" s="18"/>
      <c r="B803" s="18"/>
      <c r="C803" s="18"/>
      <c r="D803" s="18"/>
      <c r="E803" s="18"/>
      <c r="F803" s="18"/>
      <c r="G803" s="3"/>
      <c r="H803" s="3"/>
      <c r="I803" s="39"/>
      <c r="K803" s="22"/>
      <c r="L803" s="9"/>
      <c r="M803" s="9"/>
      <c r="N803" s="9"/>
      <c r="O803" s="9"/>
    </row>
    <row r="804" spans="1:15" x14ac:dyDescent="0.2">
      <c r="A804" s="18"/>
      <c r="B804" s="18"/>
      <c r="C804" s="18"/>
      <c r="D804" s="18"/>
      <c r="E804" s="18"/>
      <c r="F804" s="18"/>
      <c r="G804" s="3"/>
      <c r="H804" s="3"/>
      <c r="I804" s="39"/>
      <c r="K804" s="22"/>
      <c r="L804" s="9"/>
      <c r="M804" s="9"/>
      <c r="N804" s="9"/>
      <c r="O804" s="9"/>
    </row>
    <row r="805" spans="1:15" x14ac:dyDescent="0.2">
      <c r="A805" s="18"/>
      <c r="B805" s="18"/>
      <c r="C805" s="18"/>
      <c r="D805" s="18"/>
      <c r="E805" s="18"/>
      <c r="F805" s="18"/>
      <c r="G805" s="3"/>
      <c r="H805" s="3"/>
      <c r="I805" s="39"/>
      <c r="K805" s="22"/>
      <c r="L805" s="9"/>
      <c r="M805" s="9"/>
      <c r="N805" s="9"/>
      <c r="O805" s="9"/>
    </row>
    <row r="806" spans="1:15" x14ac:dyDescent="0.2">
      <c r="A806" s="18"/>
      <c r="B806" s="18"/>
      <c r="C806" s="18"/>
      <c r="D806" s="18"/>
      <c r="E806" s="18"/>
      <c r="F806" s="18"/>
      <c r="G806" s="3"/>
      <c r="H806" s="3"/>
      <c r="I806" s="39"/>
      <c r="K806" s="22"/>
      <c r="L806" s="9"/>
      <c r="M806" s="9"/>
      <c r="N806" s="9"/>
      <c r="O806" s="9"/>
    </row>
    <row r="807" spans="1:15" x14ac:dyDescent="0.2">
      <c r="A807" s="18"/>
      <c r="B807" s="18"/>
      <c r="C807" s="18"/>
      <c r="D807" s="18"/>
      <c r="E807" s="18"/>
      <c r="F807" s="18"/>
      <c r="G807" s="3"/>
      <c r="H807" s="3"/>
      <c r="I807" s="39"/>
      <c r="K807" s="22"/>
      <c r="L807" s="9"/>
      <c r="M807" s="9"/>
      <c r="N807" s="9"/>
      <c r="O807" s="9"/>
    </row>
    <row r="808" spans="1:15" x14ac:dyDescent="0.2">
      <c r="A808" s="18"/>
      <c r="B808" s="18"/>
      <c r="C808" s="18"/>
      <c r="D808" s="18"/>
      <c r="E808" s="18"/>
      <c r="F808" s="18"/>
      <c r="G808" s="3"/>
      <c r="H808" s="3"/>
      <c r="I808" s="39"/>
      <c r="K808" s="22"/>
      <c r="L808" s="9"/>
      <c r="M808" s="9"/>
      <c r="N808" s="9"/>
      <c r="O808" s="9"/>
    </row>
    <row r="809" spans="1:15" x14ac:dyDescent="0.2">
      <c r="A809" s="18"/>
      <c r="B809" s="18"/>
      <c r="C809" s="18"/>
      <c r="D809" s="18"/>
      <c r="E809" s="18"/>
      <c r="F809" s="18"/>
      <c r="G809" s="3"/>
      <c r="H809" s="3"/>
      <c r="I809" s="39"/>
      <c r="K809" s="22"/>
      <c r="L809" s="9"/>
      <c r="M809" s="9"/>
      <c r="N809" s="9"/>
      <c r="O809" s="9"/>
    </row>
    <row r="810" spans="1:15" x14ac:dyDescent="0.2">
      <c r="A810" s="18"/>
      <c r="B810" s="18"/>
      <c r="C810" s="18"/>
      <c r="D810" s="18"/>
      <c r="E810" s="18"/>
      <c r="F810" s="18"/>
      <c r="G810" s="3"/>
      <c r="H810" s="3"/>
      <c r="I810" s="39"/>
      <c r="K810" s="22"/>
      <c r="L810" s="9"/>
      <c r="M810" s="9"/>
      <c r="N810" s="9"/>
      <c r="O810" s="9"/>
    </row>
    <row r="811" spans="1:15" x14ac:dyDescent="0.2">
      <c r="A811" s="18"/>
      <c r="B811" s="18"/>
      <c r="C811" s="18"/>
      <c r="D811" s="18"/>
      <c r="E811" s="18"/>
      <c r="F811" s="18"/>
      <c r="G811" s="3"/>
      <c r="H811" s="3"/>
      <c r="I811" s="39"/>
      <c r="K811" s="22"/>
      <c r="L811" s="9"/>
      <c r="M811" s="9"/>
      <c r="N811" s="9"/>
      <c r="O811" s="9"/>
    </row>
    <row r="812" spans="1:15" x14ac:dyDescent="0.2">
      <c r="A812" s="18"/>
      <c r="B812" s="18"/>
      <c r="C812" s="18"/>
      <c r="D812" s="18"/>
      <c r="E812" s="18"/>
      <c r="F812" s="18"/>
      <c r="G812" s="3"/>
      <c r="H812" s="3"/>
      <c r="I812" s="39"/>
      <c r="K812" s="22"/>
      <c r="L812" s="9"/>
      <c r="M812" s="9"/>
      <c r="N812" s="9"/>
      <c r="O812" s="9"/>
    </row>
    <row r="813" spans="1:15" x14ac:dyDescent="0.2">
      <c r="A813" s="18"/>
      <c r="B813" s="18"/>
      <c r="C813" s="18"/>
      <c r="D813" s="18"/>
      <c r="E813" s="18"/>
      <c r="F813" s="18"/>
      <c r="G813" s="3"/>
      <c r="H813" s="3"/>
      <c r="I813" s="39"/>
      <c r="K813" s="22"/>
      <c r="L813" s="9"/>
      <c r="M813" s="9"/>
      <c r="N813" s="9"/>
      <c r="O813" s="9"/>
    </row>
    <row r="814" spans="1:15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22"/>
      <c r="L814" s="9"/>
      <c r="M814" s="9"/>
      <c r="N814" s="9"/>
      <c r="O814" s="9"/>
    </row>
    <row r="815" spans="1:15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22"/>
      <c r="L815" s="9"/>
      <c r="M815" s="9"/>
      <c r="N815" s="9"/>
      <c r="O815" s="9"/>
    </row>
    <row r="816" spans="1:15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22"/>
      <c r="L816" s="9"/>
      <c r="M816" s="9"/>
      <c r="N816" s="9"/>
      <c r="O816" s="9"/>
    </row>
    <row r="817" spans="1:15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22"/>
      <c r="L817" s="9"/>
      <c r="M817" s="9"/>
      <c r="N817" s="9"/>
      <c r="O817" s="9"/>
    </row>
    <row r="818" spans="1:15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22"/>
      <c r="L818" s="9"/>
      <c r="M818" s="9"/>
      <c r="N818" s="9"/>
      <c r="O818" s="9"/>
    </row>
    <row r="819" spans="1:15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22"/>
      <c r="L819" s="9"/>
      <c r="M819" s="9"/>
      <c r="N819" s="9"/>
      <c r="O819" s="9"/>
    </row>
    <row r="820" spans="1:15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22"/>
      <c r="L820" s="9"/>
      <c r="M820" s="9"/>
      <c r="N820" s="9"/>
      <c r="O820" s="9"/>
    </row>
    <row r="821" spans="1:15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22"/>
      <c r="L821" s="9"/>
      <c r="M821" s="9"/>
      <c r="N821" s="9"/>
      <c r="O821" s="9"/>
    </row>
    <row r="822" spans="1:15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22"/>
      <c r="L822" s="9"/>
      <c r="M822" s="9"/>
      <c r="N822" s="9"/>
      <c r="O822" s="9"/>
    </row>
    <row r="823" spans="1:15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22"/>
      <c r="L823" s="9"/>
      <c r="M823" s="9"/>
      <c r="N823" s="9"/>
      <c r="O823" s="9"/>
    </row>
    <row r="824" spans="1:15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22"/>
      <c r="L824" s="9"/>
      <c r="M824" s="9"/>
      <c r="N824" s="9"/>
      <c r="O824" s="9"/>
    </row>
    <row r="825" spans="1:15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22"/>
      <c r="L825" s="9"/>
      <c r="M825" s="9"/>
      <c r="N825" s="9"/>
      <c r="O825" s="9"/>
    </row>
    <row r="826" spans="1:15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22"/>
      <c r="L826" s="9"/>
      <c r="M826" s="9"/>
      <c r="N826" s="9"/>
      <c r="O826" s="9"/>
    </row>
    <row r="827" spans="1:15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22"/>
      <c r="L827" s="9"/>
      <c r="M827" s="9"/>
      <c r="N827" s="9"/>
      <c r="O827" s="9"/>
    </row>
    <row r="828" spans="1:15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22"/>
      <c r="L828" s="9"/>
      <c r="M828" s="9"/>
      <c r="N828" s="9"/>
      <c r="O828" s="9"/>
    </row>
    <row r="829" spans="1:15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22"/>
      <c r="L829" s="9"/>
      <c r="M829" s="9"/>
      <c r="N829" s="9"/>
      <c r="O829" s="9"/>
    </row>
    <row r="830" spans="1:15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22"/>
      <c r="L830" s="9"/>
      <c r="M830" s="9"/>
      <c r="N830" s="9"/>
      <c r="O830" s="9"/>
    </row>
    <row r="831" spans="1:15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22"/>
      <c r="L831" s="9"/>
      <c r="M831" s="9"/>
      <c r="N831" s="9"/>
      <c r="O831" s="9"/>
    </row>
    <row r="832" spans="1:15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22"/>
      <c r="L832" s="9"/>
      <c r="M832" s="9"/>
      <c r="N832" s="9"/>
      <c r="O832" s="9"/>
    </row>
    <row r="833" spans="1:15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22"/>
      <c r="L833" s="9"/>
      <c r="M833" s="9"/>
      <c r="N833" s="9"/>
      <c r="O833" s="9"/>
    </row>
    <row r="834" spans="1:15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22"/>
      <c r="L834" s="9"/>
      <c r="M834" s="9"/>
      <c r="N834" s="9"/>
      <c r="O834" s="9"/>
    </row>
    <row r="835" spans="1:15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22"/>
      <c r="L835" s="9"/>
      <c r="M835" s="9"/>
      <c r="N835" s="9"/>
      <c r="O835" s="9"/>
    </row>
    <row r="836" spans="1:15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22"/>
      <c r="L836" s="9"/>
      <c r="M836" s="9"/>
      <c r="N836" s="9"/>
      <c r="O836" s="9"/>
    </row>
    <row r="837" spans="1:15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22"/>
      <c r="L837" s="9"/>
      <c r="M837" s="9"/>
      <c r="N837" s="9"/>
      <c r="O837" s="9"/>
    </row>
    <row r="838" spans="1:15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22"/>
      <c r="L838" s="9"/>
      <c r="M838" s="9"/>
      <c r="N838" s="9"/>
      <c r="O838" s="9"/>
    </row>
    <row r="839" spans="1:15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22"/>
      <c r="L839" s="9"/>
      <c r="M839" s="9"/>
      <c r="N839" s="9"/>
      <c r="O839" s="9"/>
    </row>
    <row r="840" spans="1:15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22"/>
      <c r="L840" s="9"/>
      <c r="M840" s="9"/>
      <c r="N840" s="9"/>
      <c r="O840" s="9"/>
    </row>
    <row r="841" spans="1:15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22"/>
      <c r="L841" s="9"/>
      <c r="M841" s="9"/>
      <c r="N841" s="9"/>
      <c r="O841" s="9"/>
    </row>
    <row r="842" spans="1:15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22"/>
      <c r="L842" s="9"/>
      <c r="M842" s="9"/>
      <c r="N842" s="9"/>
      <c r="O842" s="9"/>
    </row>
    <row r="843" spans="1:15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22"/>
      <c r="L843" s="9"/>
      <c r="M843" s="9"/>
      <c r="N843" s="9"/>
      <c r="O843" s="9"/>
    </row>
    <row r="844" spans="1:15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22"/>
      <c r="L844" s="9"/>
      <c r="M844" s="9"/>
      <c r="N844" s="9"/>
      <c r="O844" s="9"/>
    </row>
    <row r="845" spans="1:15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22"/>
      <c r="L845" s="9"/>
      <c r="M845" s="9"/>
      <c r="N845" s="9"/>
      <c r="O845" s="9"/>
    </row>
    <row r="846" spans="1:15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22"/>
      <c r="L846" s="9"/>
      <c r="M846" s="9"/>
      <c r="N846" s="9"/>
      <c r="O846" s="9"/>
    </row>
    <row r="847" spans="1:15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22"/>
      <c r="L847" s="9"/>
      <c r="M847" s="9"/>
      <c r="N847" s="9"/>
      <c r="O847" s="9"/>
    </row>
    <row r="848" spans="1:15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22"/>
      <c r="L848" s="9"/>
      <c r="M848" s="9"/>
      <c r="N848" s="9"/>
      <c r="O848" s="9"/>
    </row>
    <row r="849" spans="1:15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22"/>
      <c r="L849" s="9"/>
      <c r="M849" s="9"/>
      <c r="N849" s="9"/>
      <c r="O849" s="9"/>
    </row>
    <row r="850" spans="1:15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22"/>
      <c r="L850" s="9"/>
      <c r="M850" s="9"/>
      <c r="N850" s="9"/>
      <c r="O850" s="9"/>
    </row>
    <row r="851" spans="1:15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22"/>
      <c r="L851" s="9"/>
      <c r="M851" s="9"/>
      <c r="N851" s="9"/>
      <c r="O851" s="9"/>
    </row>
    <row r="852" spans="1:15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22"/>
      <c r="L852" s="9"/>
      <c r="M852" s="9"/>
      <c r="N852" s="9"/>
      <c r="O852" s="9"/>
    </row>
    <row r="853" spans="1:15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22"/>
      <c r="L853" s="9"/>
      <c r="M853" s="9"/>
      <c r="N853" s="9"/>
      <c r="O853" s="9"/>
    </row>
    <row r="854" spans="1:15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22"/>
      <c r="L854" s="9"/>
      <c r="M854" s="9"/>
      <c r="N854" s="9"/>
      <c r="O854" s="9"/>
    </row>
    <row r="855" spans="1:15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22"/>
      <c r="L855" s="9"/>
      <c r="M855" s="9"/>
      <c r="N855" s="9"/>
      <c r="O855" s="9"/>
    </row>
    <row r="856" spans="1:15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22"/>
      <c r="L856" s="9"/>
      <c r="M856" s="9"/>
      <c r="N856" s="9"/>
      <c r="O856" s="9"/>
    </row>
    <row r="857" spans="1:15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22"/>
      <c r="L857" s="9"/>
      <c r="M857" s="9"/>
      <c r="N857" s="9"/>
      <c r="O857" s="9"/>
    </row>
    <row r="858" spans="1:15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22"/>
      <c r="L858" s="9"/>
      <c r="M858" s="9"/>
      <c r="N858" s="9"/>
      <c r="O858" s="9"/>
    </row>
    <row r="859" spans="1:15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22"/>
      <c r="L859" s="9"/>
      <c r="M859" s="9"/>
      <c r="N859" s="9"/>
      <c r="O859" s="9"/>
    </row>
    <row r="860" spans="1:15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22"/>
      <c r="L860" s="9"/>
      <c r="M860" s="9"/>
      <c r="N860" s="9"/>
      <c r="O860" s="9"/>
    </row>
    <row r="861" spans="1:15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22"/>
      <c r="L861" s="9"/>
      <c r="M861" s="9"/>
      <c r="N861" s="9"/>
      <c r="O861" s="9"/>
    </row>
    <row r="862" spans="1:15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22"/>
      <c r="L862" s="9"/>
      <c r="M862" s="9"/>
      <c r="N862" s="9"/>
      <c r="O862" s="9"/>
    </row>
    <row r="863" spans="1:15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22"/>
      <c r="L863" s="9"/>
      <c r="M863" s="9"/>
      <c r="N863" s="9"/>
      <c r="O863" s="9"/>
    </row>
    <row r="864" spans="1:15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22"/>
      <c r="L864" s="9"/>
      <c r="M864" s="9"/>
      <c r="N864" s="9"/>
      <c r="O864" s="9"/>
    </row>
    <row r="865" spans="1:15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22"/>
      <c r="L865" s="9"/>
      <c r="M865" s="9"/>
      <c r="N865" s="9"/>
      <c r="O865" s="9"/>
    </row>
    <row r="866" spans="1:15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22"/>
      <c r="L866" s="9"/>
      <c r="M866" s="9"/>
      <c r="N866" s="9"/>
      <c r="O866" s="9"/>
    </row>
    <row r="867" spans="1:15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22"/>
      <c r="L867" s="9"/>
      <c r="M867" s="9"/>
      <c r="N867" s="9"/>
      <c r="O867" s="9"/>
    </row>
    <row r="868" spans="1:15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22"/>
      <c r="L868" s="9"/>
      <c r="M868" s="9"/>
      <c r="N868" s="9"/>
      <c r="O868" s="9"/>
    </row>
    <row r="869" spans="1:15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22"/>
      <c r="L869" s="9"/>
      <c r="M869" s="9"/>
      <c r="N869" s="9"/>
      <c r="O869" s="9"/>
    </row>
    <row r="870" spans="1:15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22"/>
      <c r="L870" s="9"/>
      <c r="M870" s="9"/>
      <c r="N870" s="9"/>
      <c r="O870" s="9"/>
    </row>
    <row r="871" spans="1:15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22"/>
      <c r="L871" s="9"/>
      <c r="M871" s="9"/>
      <c r="N871" s="9"/>
      <c r="O871" s="9"/>
    </row>
    <row r="872" spans="1:15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22"/>
      <c r="L872" s="9"/>
      <c r="M872" s="9"/>
      <c r="N872" s="9"/>
      <c r="O872" s="9"/>
    </row>
    <row r="873" spans="1:15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22"/>
      <c r="L873" s="9"/>
      <c r="M873" s="9"/>
      <c r="N873" s="9"/>
      <c r="O873" s="9"/>
    </row>
    <row r="874" spans="1:15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22"/>
      <c r="L874" s="9"/>
      <c r="M874" s="9"/>
      <c r="N874" s="9"/>
      <c r="O874" s="9"/>
    </row>
    <row r="875" spans="1:15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22"/>
      <c r="L875" s="9"/>
      <c r="M875" s="9"/>
      <c r="N875" s="9"/>
      <c r="O875" s="9"/>
    </row>
    <row r="876" spans="1:15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22"/>
      <c r="L876" s="9"/>
      <c r="M876" s="9"/>
      <c r="N876" s="9"/>
      <c r="O876" s="9"/>
    </row>
    <row r="877" spans="1:15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22"/>
      <c r="L877" s="9"/>
      <c r="M877" s="9"/>
      <c r="N877" s="9"/>
      <c r="O877" s="9"/>
    </row>
    <row r="878" spans="1:15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22"/>
      <c r="L878" s="9"/>
      <c r="M878" s="9"/>
      <c r="N878" s="9"/>
      <c r="O878" s="9"/>
    </row>
    <row r="879" spans="1:15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22"/>
      <c r="L879" s="9"/>
      <c r="M879" s="9"/>
      <c r="N879" s="9"/>
      <c r="O879" s="9"/>
    </row>
    <row r="880" spans="1:15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22"/>
      <c r="L880" s="9"/>
      <c r="M880" s="9"/>
      <c r="N880" s="9"/>
      <c r="O880" s="9"/>
    </row>
    <row r="881" spans="1:15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22"/>
      <c r="L881" s="9"/>
      <c r="M881" s="9"/>
      <c r="N881" s="9"/>
      <c r="O881" s="9"/>
    </row>
    <row r="882" spans="1:15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22"/>
      <c r="L882" s="9"/>
      <c r="M882" s="9"/>
      <c r="N882" s="9"/>
      <c r="O882" s="9"/>
    </row>
    <row r="883" spans="1:15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22"/>
      <c r="L883" s="9"/>
      <c r="M883" s="9"/>
      <c r="N883" s="9"/>
      <c r="O883" s="9"/>
    </row>
    <row r="884" spans="1:15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22"/>
      <c r="L884" s="9"/>
      <c r="M884" s="9"/>
      <c r="N884" s="9"/>
      <c r="O884" s="9"/>
    </row>
    <row r="885" spans="1:15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22"/>
      <c r="L885" s="9"/>
      <c r="M885" s="9"/>
      <c r="N885" s="9"/>
      <c r="O885" s="9"/>
    </row>
    <row r="886" spans="1:15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22"/>
      <c r="L886" s="9"/>
      <c r="M886" s="9"/>
      <c r="N886" s="9"/>
      <c r="O886" s="9"/>
    </row>
    <row r="887" spans="1:15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22"/>
      <c r="L887" s="9"/>
      <c r="M887" s="9"/>
      <c r="N887" s="9"/>
      <c r="O887" s="9"/>
    </row>
    <row r="888" spans="1:15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22"/>
      <c r="L888" s="9"/>
      <c r="M888" s="9"/>
      <c r="N888" s="9"/>
      <c r="O888" s="9"/>
    </row>
    <row r="889" spans="1:15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22"/>
      <c r="L889" s="9"/>
      <c r="M889" s="9"/>
      <c r="N889" s="9"/>
      <c r="O889" s="9"/>
    </row>
    <row r="890" spans="1:15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22"/>
      <c r="L890" s="9"/>
      <c r="M890" s="9"/>
      <c r="N890" s="9"/>
      <c r="O890" s="9"/>
    </row>
    <row r="891" spans="1:15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22"/>
      <c r="L891" s="9"/>
      <c r="M891" s="9"/>
      <c r="N891" s="9"/>
      <c r="O891" s="9"/>
    </row>
    <row r="892" spans="1:15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22"/>
      <c r="L892" s="9"/>
      <c r="M892" s="9"/>
      <c r="N892" s="9"/>
      <c r="O892" s="9"/>
    </row>
    <row r="893" spans="1:15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22"/>
      <c r="L893" s="9"/>
      <c r="M893" s="9"/>
      <c r="N893" s="9"/>
      <c r="O893" s="9"/>
    </row>
    <row r="894" spans="1:15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22"/>
      <c r="L894" s="9"/>
      <c r="M894" s="9"/>
      <c r="N894" s="9"/>
      <c r="O894" s="9"/>
    </row>
    <row r="895" spans="1:15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22"/>
      <c r="L895" s="9"/>
      <c r="M895" s="9"/>
      <c r="N895" s="9"/>
      <c r="O895" s="9"/>
    </row>
    <row r="896" spans="1:15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22"/>
      <c r="L896" s="9"/>
      <c r="M896" s="9"/>
      <c r="N896" s="9"/>
      <c r="O896" s="9"/>
    </row>
    <row r="897" spans="1:15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22"/>
      <c r="L897" s="9"/>
      <c r="M897" s="9"/>
      <c r="N897" s="9"/>
      <c r="O897" s="9"/>
    </row>
    <row r="898" spans="1:15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22"/>
      <c r="L898" s="9"/>
      <c r="M898" s="9"/>
      <c r="N898" s="9"/>
      <c r="O898" s="9"/>
    </row>
    <row r="899" spans="1:15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22"/>
      <c r="L899" s="9"/>
      <c r="M899" s="9"/>
      <c r="N899" s="9"/>
      <c r="O899" s="9"/>
    </row>
    <row r="900" spans="1:15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22"/>
      <c r="L900" s="9"/>
      <c r="M900" s="9"/>
      <c r="N900" s="9"/>
      <c r="O900" s="9"/>
    </row>
    <row r="901" spans="1:15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22"/>
      <c r="L901" s="9"/>
      <c r="M901" s="9"/>
      <c r="N901" s="9"/>
      <c r="O901" s="9"/>
    </row>
    <row r="902" spans="1:15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22"/>
      <c r="L902" s="9"/>
      <c r="M902" s="9"/>
      <c r="N902" s="9"/>
      <c r="O902" s="9"/>
    </row>
    <row r="903" spans="1:15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22"/>
      <c r="L903" s="9"/>
      <c r="M903" s="9"/>
      <c r="N903" s="9"/>
      <c r="O903" s="9"/>
    </row>
    <row r="904" spans="1:15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22"/>
      <c r="L904" s="9"/>
      <c r="M904" s="9"/>
      <c r="N904" s="9"/>
      <c r="O904" s="9"/>
    </row>
    <row r="905" spans="1:15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22"/>
      <c r="L905" s="9"/>
      <c r="M905" s="9"/>
      <c r="N905" s="9"/>
      <c r="O905" s="9"/>
    </row>
    <row r="906" spans="1:15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22"/>
      <c r="L906" s="9"/>
      <c r="M906" s="9"/>
      <c r="N906" s="9"/>
      <c r="O906" s="9"/>
    </row>
    <row r="907" spans="1:15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22"/>
      <c r="L907" s="9"/>
      <c r="M907" s="9"/>
      <c r="N907" s="9"/>
      <c r="O907" s="9"/>
    </row>
    <row r="908" spans="1:15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22"/>
      <c r="L908" s="9"/>
      <c r="M908" s="9"/>
      <c r="N908" s="9"/>
      <c r="O908" s="9"/>
    </row>
    <row r="909" spans="1:15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22"/>
      <c r="L909" s="9"/>
      <c r="M909" s="9"/>
      <c r="N909" s="9"/>
      <c r="O909" s="9"/>
    </row>
    <row r="910" spans="1:15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22"/>
      <c r="L910" s="9"/>
      <c r="M910" s="9"/>
      <c r="N910" s="9"/>
      <c r="O910" s="9"/>
    </row>
    <row r="911" spans="1:15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22"/>
      <c r="L911" s="9"/>
      <c r="M911" s="9"/>
      <c r="N911" s="9"/>
      <c r="O911" s="9"/>
    </row>
    <row r="912" spans="1:15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22"/>
      <c r="L912" s="9"/>
      <c r="M912" s="9"/>
      <c r="N912" s="9"/>
      <c r="O912" s="9"/>
    </row>
    <row r="913" spans="1:15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22"/>
      <c r="L913" s="9"/>
      <c r="M913" s="9"/>
      <c r="N913" s="9"/>
      <c r="O913" s="9"/>
    </row>
    <row r="914" spans="1:15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22"/>
      <c r="L914" s="9"/>
      <c r="M914" s="9"/>
      <c r="N914" s="9"/>
      <c r="O914" s="9"/>
    </row>
    <row r="915" spans="1:15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22"/>
      <c r="L915" s="9"/>
      <c r="M915" s="9"/>
      <c r="N915" s="9"/>
      <c r="O915" s="9"/>
    </row>
    <row r="916" spans="1:15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22"/>
      <c r="L916" s="9"/>
      <c r="M916" s="9"/>
      <c r="N916" s="9"/>
      <c r="O916" s="9"/>
    </row>
    <row r="917" spans="1:15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22"/>
      <c r="L917" s="9"/>
      <c r="M917" s="9"/>
      <c r="N917" s="9"/>
      <c r="O917" s="9"/>
    </row>
    <row r="918" spans="1:15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22"/>
      <c r="L918" s="9"/>
      <c r="M918" s="9"/>
      <c r="N918" s="9"/>
      <c r="O918" s="9"/>
    </row>
    <row r="919" spans="1:15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22"/>
      <c r="L919" s="9"/>
      <c r="M919" s="9"/>
      <c r="N919" s="9"/>
      <c r="O919" s="9"/>
    </row>
    <row r="920" spans="1:15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22"/>
      <c r="L920" s="9"/>
      <c r="M920" s="9"/>
      <c r="N920" s="9"/>
      <c r="O920" s="9"/>
    </row>
    <row r="921" spans="1:15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22"/>
      <c r="L921" s="9"/>
      <c r="M921" s="9"/>
      <c r="N921" s="9"/>
      <c r="O921" s="9"/>
    </row>
    <row r="922" spans="1:15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22"/>
      <c r="L922" s="9"/>
      <c r="M922" s="9"/>
      <c r="N922" s="9"/>
      <c r="O922" s="9"/>
    </row>
    <row r="923" spans="1:15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22"/>
      <c r="L923" s="9"/>
      <c r="M923" s="9"/>
      <c r="N923" s="9"/>
      <c r="O923" s="9"/>
    </row>
    <row r="924" spans="1:15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22"/>
      <c r="L924" s="9"/>
      <c r="M924" s="9"/>
      <c r="N924" s="9"/>
      <c r="O924" s="9"/>
    </row>
    <row r="925" spans="1:15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22"/>
      <c r="L925" s="9"/>
      <c r="M925" s="9"/>
      <c r="N925" s="9"/>
      <c r="O925" s="9"/>
    </row>
    <row r="926" spans="1:15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22"/>
      <c r="L926" s="9"/>
      <c r="M926" s="9"/>
      <c r="N926" s="9"/>
      <c r="O926" s="9"/>
    </row>
    <row r="927" spans="1:15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22"/>
      <c r="L927" s="9"/>
      <c r="M927" s="9"/>
      <c r="N927" s="9"/>
      <c r="O927" s="9"/>
    </row>
    <row r="928" spans="1:15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22"/>
      <c r="L928" s="9"/>
      <c r="M928" s="9"/>
      <c r="N928" s="9"/>
      <c r="O928" s="9"/>
    </row>
    <row r="929" spans="1:15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22"/>
      <c r="L929" s="9"/>
      <c r="M929" s="9"/>
      <c r="N929" s="9"/>
      <c r="O929" s="9"/>
    </row>
    <row r="930" spans="1:15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22"/>
      <c r="L930" s="9"/>
      <c r="M930" s="9"/>
      <c r="N930" s="9"/>
      <c r="O930" s="9"/>
    </row>
    <row r="931" spans="1:15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22"/>
      <c r="L931" s="9"/>
      <c r="M931" s="9"/>
      <c r="N931" s="9"/>
      <c r="O931" s="9"/>
    </row>
    <row r="932" spans="1:15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22"/>
      <c r="L932" s="9"/>
      <c r="M932" s="9"/>
      <c r="N932" s="9"/>
      <c r="O932" s="9"/>
    </row>
    <row r="933" spans="1:15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22"/>
      <c r="L933" s="9"/>
      <c r="M933" s="9"/>
      <c r="N933" s="9"/>
      <c r="O933" s="9"/>
    </row>
    <row r="934" spans="1:15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22"/>
      <c r="L934" s="9"/>
      <c r="M934" s="9"/>
      <c r="N934" s="9"/>
      <c r="O934" s="9"/>
    </row>
    <row r="935" spans="1:15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22"/>
      <c r="L935" s="9"/>
      <c r="M935" s="9"/>
      <c r="N935" s="9"/>
      <c r="O935" s="9"/>
    </row>
    <row r="936" spans="1:15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22"/>
      <c r="L936" s="9"/>
      <c r="M936" s="9"/>
      <c r="N936" s="9"/>
      <c r="O936" s="9"/>
    </row>
    <row r="937" spans="1:15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22"/>
      <c r="L937" s="9"/>
      <c r="M937" s="9"/>
      <c r="N937" s="9"/>
      <c r="O937" s="9"/>
    </row>
    <row r="938" spans="1:15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22"/>
      <c r="L938" s="9"/>
      <c r="M938" s="9"/>
      <c r="N938" s="9"/>
      <c r="O938" s="9"/>
    </row>
    <row r="939" spans="1:15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22"/>
      <c r="L939" s="9"/>
      <c r="M939" s="9"/>
      <c r="N939" s="9"/>
      <c r="O939" s="9"/>
    </row>
    <row r="940" spans="1:15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22"/>
      <c r="L940" s="9"/>
      <c r="M940" s="9"/>
      <c r="N940" s="9"/>
      <c r="O940" s="9"/>
    </row>
    <row r="941" spans="1:15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22"/>
      <c r="L941" s="9"/>
      <c r="M941" s="9"/>
      <c r="N941" s="9"/>
      <c r="O941" s="9"/>
    </row>
    <row r="942" spans="1:15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22"/>
      <c r="L942" s="9"/>
      <c r="M942" s="9"/>
      <c r="N942" s="9"/>
      <c r="O942" s="9"/>
    </row>
    <row r="943" spans="1:15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22"/>
      <c r="L943" s="9"/>
      <c r="M943" s="9"/>
      <c r="N943" s="9"/>
      <c r="O943" s="9"/>
    </row>
    <row r="944" spans="1:15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22"/>
      <c r="L944" s="9"/>
      <c r="M944" s="9"/>
      <c r="N944" s="9"/>
      <c r="O944" s="9"/>
    </row>
    <row r="945" spans="1:15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22"/>
      <c r="L945" s="9"/>
      <c r="M945" s="9"/>
      <c r="N945" s="9"/>
      <c r="O945" s="9"/>
    </row>
    <row r="946" spans="1:15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22"/>
      <c r="L946" s="9"/>
      <c r="M946" s="9"/>
      <c r="N946" s="9"/>
      <c r="O946" s="9"/>
    </row>
    <row r="947" spans="1:15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22"/>
      <c r="L947" s="9"/>
      <c r="M947" s="9"/>
      <c r="N947" s="9"/>
      <c r="O947" s="9"/>
    </row>
    <row r="948" spans="1:15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22"/>
      <c r="L948" s="9"/>
      <c r="M948" s="9"/>
      <c r="N948" s="9"/>
      <c r="O948" s="9"/>
    </row>
    <row r="949" spans="1:15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22"/>
      <c r="L949" s="9"/>
      <c r="M949" s="9"/>
      <c r="N949" s="9"/>
      <c r="O949" s="9"/>
    </row>
    <row r="950" spans="1:15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22"/>
      <c r="L950" s="9"/>
      <c r="M950" s="9"/>
      <c r="N950" s="9"/>
      <c r="O950" s="9"/>
    </row>
    <row r="951" spans="1:15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22"/>
      <c r="L951" s="9"/>
      <c r="M951" s="9"/>
      <c r="N951" s="9"/>
      <c r="O951" s="9"/>
    </row>
    <row r="952" spans="1:15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22"/>
      <c r="L952" s="9"/>
      <c r="M952" s="9"/>
      <c r="N952" s="9"/>
      <c r="O952" s="9"/>
    </row>
    <row r="953" spans="1:15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22"/>
      <c r="L953" s="9"/>
      <c r="M953" s="9"/>
      <c r="N953" s="9"/>
      <c r="O953" s="9"/>
    </row>
    <row r="954" spans="1:15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22"/>
      <c r="L954" s="9"/>
      <c r="M954" s="9"/>
      <c r="N954" s="9"/>
      <c r="O954" s="9"/>
    </row>
    <row r="955" spans="1:15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22"/>
      <c r="L955" s="9"/>
      <c r="M955" s="9"/>
      <c r="N955" s="9"/>
      <c r="O955" s="9"/>
    </row>
    <row r="956" spans="1:15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22"/>
      <c r="L956" s="9"/>
      <c r="M956" s="9"/>
      <c r="N956" s="9"/>
      <c r="O956" s="9"/>
    </row>
    <row r="957" spans="1:15" x14ac:dyDescent="0.2">
      <c r="A957" s="18"/>
      <c r="B957" s="18"/>
      <c r="C957" s="18"/>
      <c r="D957" s="18"/>
      <c r="E957" s="18"/>
      <c r="F957" s="18"/>
      <c r="G957" s="3"/>
      <c r="H957" s="3"/>
      <c r="I957" s="39"/>
      <c r="K957" s="22"/>
      <c r="L957" s="9"/>
      <c r="M957" s="9"/>
      <c r="N957" s="9"/>
      <c r="O957" s="9"/>
    </row>
    <row r="958" spans="1:15" x14ac:dyDescent="0.2">
      <c r="A958" s="18"/>
      <c r="B958" s="18"/>
      <c r="C958" s="18"/>
      <c r="D958" s="18"/>
      <c r="E958" s="18"/>
      <c r="F958" s="18"/>
      <c r="G958" s="3"/>
      <c r="H958" s="3"/>
      <c r="I958" s="39"/>
      <c r="K958" s="22"/>
      <c r="L958" s="9"/>
      <c r="M958" s="9"/>
      <c r="N958" s="9"/>
      <c r="O958" s="9"/>
    </row>
    <row r="959" spans="1:15" x14ac:dyDescent="0.2">
      <c r="A959" s="18"/>
      <c r="B959" s="18"/>
      <c r="C959" s="18"/>
      <c r="D959" s="18"/>
      <c r="E959" s="18"/>
      <c r="F959" s="18"/>
      <c r="G959" s="3"/>
      <c r="H959" s="3"/>
      <c r="I959" s="39"/>
      <c r="K959" s="22"/>
      <c r="L959" s="9"/>
      <c r="M959" s="9"/>
      <c r="N959" s="9"/>
      <c r="O959" s="9"/>
    </row>
    <row r="960" spans="1:15" x14ac:dyDescent="0.2">
      <c r="A960" s="18"/>
      <c r="B960" s="18"/>
      <c r="C960" s="18"/>
      <c r="D960" s="18"/>
      <c r="E960" s="18"/>
      <c r="F960" s="18"/>
      <c r="G960" s="3"/>
      <c r="H960" s="3"/>
      <c r="I960" s="39"/>
      <c r="K960" s="22"/>
      <c r="L960" s="9"/>
      <c r="M960" s="9"/>
      <c r="N960" s="9"/>
      <c r="O960" s="9"/>
    </row>
    <row r="961" spans="1:15" x14ac:dyDescent="0.2">
      <c r="A961" s="18"/>
      <c r="B961" s="18"/>
      <c r="C961" s="18"/>
      <c r="D961" s="18"/>
      <c r="E961" s="18"/>
      <c r="F961" s="18"/>
      <c r="G961" s="3"/>
      <c r="H961" s="3"/>
      <c r="I961" s="39"/>
      <c r="K961" s="22"/>
      <c r="L961" s="9"/>
      <c r="M961" s="9"/>
      <c r="N961" s="9"/>
      <c r="O961" s="9"/>
    </row>
    <row r="962" spans="1:15" x14ac:dyDescent="0.2">
      <c r="A962" s="18"/>
      <c r="B962" s="18"/>
      <c r="C962" s="18"/>
      <c r="D962" s="18"/>
      <c r="E962" s="18"/>
      <c r="F962" s="18"/>
      <c r="G962" s="3"/>
      <c r="H962" s="3"/>
      <c r="I962" s="39"/>
      <c r="K962" s="22"/>
      <c r="L962" s="9"/>
      <c r="M962" s="9"/>
      <c r="N962" s="9"/>
      <c r="O962" s="9"/>
    </row>
    <row r="963" spans="1:15" x14ac:dyDescent="0.2">
      <c r="A963" s="18"/>
      <c r="B963" s="18"/>
      <c r="C963" s="18"/>
      <c r="D963" s="18"/>
      <c r="E963" s="18"/>
      <c r="F963" s="18"/>
      <c r="G963" s="3"/>
      <c r="H963" s="3"/>
      <c r="I963" s="39"/>
      <c r="K963" s="22"/>
      <c r="L963" s="9"/>
      <c r="M963" s="9"/>
      <c r="N963" s="9"/>
      <c r="O963" s="9"/>
    </row>
    <row r="964" spans="1:15" x14ac:dyDescent="0.2">
      <c r="A964" s="18"/>
      <c r="B964" s="18"/>
      <c r="C964" s="18"/>
      <c r="D964" s="18"/>
      <c r="E964" s="18"/>
      <c r="F964" s="18"/>
      <c r="G964" s="3"/>
      <c r="H964" s="3"/>
      <c r="I964" s="39"/>
      <c r="K964" s="22"/>
      <c r="L964" s="9"/>
      <c r="M964" s="9"/>
      <c r="N964" s="9"/>
      <c r="O964" s="9"/>
    </row>
    <row r="965" spans="1:15" x14ac:dyDescent="0.2">
      <c r="A965" s="18"/>
      <c r="B965" s="18"/>
      <c r="C965" s="18"/>
      <c r="D965" s="18"/>
      <c r="E965" s="18"/>
      <c r="F965" s="18"/>
      <c r="G965" s="3"/>
      <c r="H965" s="3"/>
      <c r="I965" s="39"/>
      <c r="K965" s="22"/>
      <c r="L965" s="9"/>
      <c r="M965" s="9"/>
      <c r="N965" s="9"/>
      <c r="O965" s="9"/>
    </row>
    <row r="966" spans="1:15" x14ac:dyDescent="0.2">
      <c r="A966" s="18"/>
      <c r="B966" s="18"/>
      <c r="C966" s="18"/>
      <c r="D966" s="18"/>
      <c r="E966" s="18"/>
      <c r="F966" s="18"/>
      <c r="G966" s="3"/>
      <c r="H966" s="3"/>
      <c r="I966" s="39"/>
      <c r="K966" s="22"/>
      <c r="L966" s="9"/>
      <c r="M966" s="9"/>
      <c r="N966" s="9"/>
      <c r="O966" s="9"/>
    </row>
    <row r="967" spans="1:15" x14ac:dyDescent="0.2">
      <c r="A967" s="18"/>
      <c r="B967" s="18"/>
      <c r="C967" s="18"/>
      <c r="D967" s="18"/>
      <c r="E967" s="18"/>
      <c r="F967" s="18"/>
      <c r="G967" s="3"/>
      <c r="H967" s="3"/>
      <c r="I967" s="39"/>
      <c r="K967" s="22"/>
      <c r="L967" s="9"/>
      <c r="M967" s="9"/>
      <c r="N967" s="9"/>
      <c r="O967" s="9"/>
    </row>
    <row r="968" spans="1:15" x14ac:dyDescent="0.2">
      <c r="A968" s="18"/>
      <c r="B968" s="18"/>
      <c r="C968" s="18"/>
      <c r="D968" s="18"/>
      <c r="E968" s="18"/>
      <c r="F968" s="18"/>
      <c r="G968" s="3"/>
      <c r="H968" s="3"/>
      <c r="I968" s="39"/>
      <c r="K968" s="22"/>
      <c r="L968" s="9"/>
      <c r="M968" s="9"/>
      <c r="N968" s="9"/>
      <c r="O968" s="9"/>
    </row>
    <row r="969" spans="1:15" x14ac:dyDescent="0.2">
      <c r="A969" s="18"/>
      <c r="B969" s="18"/>
      <c r="C969" s="18"/>
      <c r="D969" s="18"/>
      <c r="E969" s="18"/>
      <c r="F969" s="18"/>
      <c r="G969" s="3"/>
      <c r="H969" s="3"/>
      <c r="I969" s="39"/>
      <c r="K969" s="22"/>
      <c r="L969" s="9"/>
      <c r="M969" s="9"/>
      <c r="N969" s="9"/>
      <c r="O969" s="9"/>
    </row>
    <row r="970" spans="1:15" x14ac:dyDescent="0.2">
      <c r="A970" s="18"/>
      <c r="B970" s="18"/>
      <c r="C970" s="18"/>
      <c r="D970" s="18"/>
      <c r="E970" s="18"/>
      <c r="F970" s="18"/>
      <c r="G970" s="3"/>
      <c r="H970" s="3"/>
      <c r="I970" s="39"/>
      <c r="K970" s="22"/>
      <c r="L970" s="9"/>
      <c r="M970" s="9"/>
      <c r="N970" s="9"/>
      <c r="O970" s="9"/>
    </row>
    <row r="971" spans="1:15" x14ac:dyDescent="0.2">
      <c r="A971" s="18"/>
      <c r="B971" s="18"/>
      <c r="C971" s="18"/>
      <c r="D971" s="18"/>
      <c r="E971" s="18"/>
      <c r="F971" s="18"/>
      <c r="G971" s="3"/>
      <c r="H971" s="3"/>
      <c r="I971" s="39"/>
      <c r="K971" s="22"/>
      <c r="L971" s="9"/>
      <c r="M971" s="9"/>
      <c r="N971" s="9"/>
      <c r="O971" s="9"/>
    </row>
    <row r="972" spans="1:15" x14ac:dyDescent="0.2">
      <c r="A972" s="18"/>
      <c r="B972" s="18"/>
      <c r="C972" s="18"/>
      <c r="D972" s="18"/>
      <c r="E972" s="18"/>
      <c r="F972" s="18"/>
      <c r="G972" s="3"/>
      <c r="H972" s="3"/>
      <c r="I972" s="39"/>
      <c r="K972" s="22"/>
      <c r="L972" s="9"/>
      <c r="M972" s="9"/>
      <c r="N972" s="9"/>
      <c r="O972" s="9"/>
    </row>
    <row r="973" spans="1:15" x14ac:dyDescent="0.2">
      <c r="A973" s="18"/>
      <c r="B973" s="18"/>
      <c r="C973" s="18"/>
      <c r="D973" s="18"/>
      <c r="E973" s="18"/>
      <c r="F973" s="18"/>
      <c r="G973" s="3"/>
      <c r="H973" s="3"/>
      <c r="I973" s="39"/>
      <c r="K973" s="22"/>
      <c r="L973" s="9"/>
      <c r="M973" s="9"/>
      <c r="N973" s="9"/>
      <c r="O973" s="9"/>
    </row>
    <row r="974" spans="1:15" x14ac:dyDescent="0.2">
      <c r="A974" s="18"/>
      <c r="B974" s="18"/>
      <c r="C974" s="18"/>
      <c r="D974" s="18"/>
      <c r="E974" s="18"/>
      <c r="F974" s="18"/>
      <c r="G974" s="3"/>
      <c r="H974" s="3"/>
      <c r="I974" s="39"/>
      <c r="K974" s="22"/>
      <c r="L974" s="9"/>
      <c r="M974" s="9"/>
      <c r="N974" s="9"/>
      <c r="O974" s="9"/>
    </row>
    <row r="975" spans="1:15" x14ac:dyDescent="0.2">
      <c r="A975" s="18"/>
      <c r="B975" s="18"/>
      <c r="C975" s="18"/>
      <c r="D975" s="18"/>
      <c r="E975" s="18"/>
      <c r="F975" s="18"/>
      <c r="G975" s="3"/>
      <c r="H975" s="3"/>
      <c r="I975" s="39"/>
      <c r="K975" s="22"/>
      <c r="L975" s="9"/>
      <c r="M975" s="9"/>
      <c r="N975" s="9"/>
      <c r="O975" s="9"/>
    </row>
    <row r="976" spans="1:15" x14ac:dyDescent="0.2">
      <c r="A976" s="18"/>
      <c r="B976" s="18"/>
      <c r="C976" s="18"/>
      <c r="D976" s="18"/>
      <c r="E976" s="18"/>
      <c r="F976" s="18"/>
      <c r="G976" s="3"/>
      <c r="H976" s="3"/>
      <c r="I976" s="39"/>
      <c r="K976" s="22"/>
      <c r="L976" s="9"/>
      <c r="M976" s="9"/>
      <c r="N976" s="9"/>
      <c r="O976" s="9"/>
    </row>
    <row r="977" spans="1:15" x14ac:dyDescent="0.2">
      <c r="A977" s="18"/>
      <c r="B977" s="18"/>
      <c r="C977" s="18"/>
      <c r="D977" s="18"/>
      <c r="E977" s="18"/>
      <c r="F977" s="18"/>
      <c r="G977" s="3"/>
      <c r="H977" s="3"/>
      <c r="I977" s="39"/>
      <c r="K977" s="22"/>
      <c r="L977" s="9"/>
      <c r="M977" s="9"/>
      <c r="N977" s="9"/>
      <c r="O977" s="9"/>
    </row>
    <row r="978" spans="1:15" x14ac:dyDescent="0.2">
      <c r="A978" s="18"/>
      <c r="B978" s="18"/>
      <c r="C978" s="18"/>
      <c r="D978" s="18"/>
      <c r="E978" s="18"/>
      <c r="F978" s="18"/>
      <c r="G978" s="3"/>
      <c r="H978" s="3"/>
      <c r="I978" s="39"/>
      <c r="K978" s="22"/>
      <c r="L978" s="9"/>
      <c r="M978" s="9"/>
      <c r="N978" s="9"/>
      <c r="O978" s="9"/>
    </row>
    <row r="979" spans="1:15" x14ac:dyDescent="0.2">
      <c r="A979" s="18"/>
      <c r="B979" s="18"/>
      <c r="C979" s="18"/>
      <c r="D979" s="18"/>
      <c r="E979" s="18"/>
      <c r="F979" s="18"/>
      <c r="G979" s="3"/>
      <c r="H979" s="3"/>
      <c r="I979" s="39"/>
      <c r="K979" s="22"/>
      <c r="L979" s="9"/>
      <c r="M979" s="9"/>
      <c r="N979" s="9"/>
      <c r="O979" s="9"/>
    </row>
    <row r="980" spans="1:15" x14ac:dyDescent="0.2">
      <c r="A980" s="18"/>
      <c r="B980" s="18"/>
      <c r="C980" s="18"/>
      <c r="D980" s="18"/>
      <c r="E980" s="18"/>
      <c r="F980" s="18"/>
      <c r="G980" s="3"/>
      <c r="H980" s="3"/>
      <c r="I980" s="39"/>
      <c r="K980" s="22"/>
      <c r="L980" s="9"/>
      <c r="M980" s="9"/>
      <c r="N980" s="9"/>
      <c r="O980" s="9"/>
    </row>
    <row r="981" spans="1:15" x14ac:dyDescent="0.2">
      <c r="A981" s="18"/>
      <c r="B981" s="18"/>
      <c r="C981" s="18"/>
      <c r="D981" s="18"/>
      <c r="E981" s="18"/>
      <c r="F981" s="18"/>
      <c r="G981" s="3"/>
      <c r="H981" s="3"/>
      <c r="I981" s="39"/>
      <c r="K981" s="22"/>
      <c r="L981" s="9"/>
      <c r="M981" s="9"/>
      <c r="N981" s="9"/>
      <c r="O981" s="9"/>
    </row>
    <row r="982" spans="1:15" x14ac:dyDescent="0.2">
      <c r="A982" s="18"/>
      <c r="B982" s="18"/>
      <c r="C982" s="18"/>
      <c r="D982" s="18"/>
      <c r="E982" s="18"/>
      <c r="F982" s="18"/>
      <c r="G982" s="3"/>
      <c r="H982" s="3"/>
      <c r="I982" s="39"/>
      <c r="K982" s="22"/>
      <c r="L982" s="9"/>
      <c r="M982" s="9"/>
      <c r="N982" s="9"/>
      <c r="O982" s="9"/>
    </row>
    <row r="983" spans="1:15" x14ac:dyDescent="0.2">
      <c r="A983" s="18"/>
      <c r="B983" s="18"/>
      <c r="C983" s="18"/>
      <c r="D983" s="18"/>
      <c r="E983" s="18"/>
      <c r="F983" s="18"/>
      <c r="G983" s="3"/>
      <c r="H983" s="3"/>
      <c r="I983" s="39"/>
      <c r="K983" s="22"/>
      <c r="L983" s="9"/>
      <c r="M983" s="9"/>
      <c r="N983" s="9"/>
      <c r="O983" s="9"/>
    </row>
    <row r="984" spans="1:15" x14ac:dyDescent="0.2">
      <c r="A984" s="18"/>
      <c r="B984" s="18"/>
      <c r="C984" s="18"/>
      <c r="D984" s="18"/>
      <c r="E984" s="18"/>
      <c r="F984" s="18"/>
      <c r="G984" s="3"/>
      <c r="H984" s="3"/>
      <c r="I984" s="39"/>
      <c r="K984" s="22"/>
      <c r="L984" s="9"/>
      <c r="M984" s="9"/>
      <c r="N984" s="9"/>
      <c r="O984" s="9"/>
    </row>
    <row r="985" spans="1:15" x14ac:dyDescent="0.2">
      <c r="A985" s="18"/>
      <c r="B985" s="18"/>
      <c r="C985" s="18"/>
      <c r="D985" s="18"/>
      <c r="E985" s="18"/>
      <c r="F985" s="18"/>
      <c r="G985" s="3"/>
      <c r="H985" s="3"/>
      <c r="I985" s="39"/>
      <c r="K985" s="22"/>
      <c r="L985" s="9"/>
      <c r="M985" s="9"/>
      <c r="N985" s="9"/>
      <c r="O985" s="9"/>
    </row>
    <row r="986" spans="1:15" x14ac:dyDescent="0.2">
      <c r="A986" s="18"/>
      <c r="B986" s="18"/>
      <c r="C986" s="18"/>
      <c r="D986" s="18"/>
      <c r="E986" s="18"/>
      <c r="F986" s="18"/>
      <c r="G986" s="3"/>
      <c r="H986" s="3"/>
      <c r="I986" s="39"/>
      <c r="K986" s="22"/>
      <c r="L986" s="9"/>
      <c r="M986" s="9"/>
      <c r="N986" s="9"/>
      <c r="O986" s="9"/>
    </row>
    <row r="987" spans="1:15" x14ac:dyDescent="0.2">
      <c r="A987" s="18"/>
      <c r="B987" s="18"/>
      <c r="C987" s="18"/>
      <c r="D987" s="18"/>
      <c r="E987" s="18"/>
      <c r="F987" s="18"/>
      <c r="G987" s="3"/>
      <c r="H987" s="3"/>
      <c r="I987" s="39"/>
      <c r="K987" s="22"/>
      <c r="L987" s="9"/>
      <c r="M987" s="9"/>
      <c r="N987" s="9"/>
      <c r="O987" s="9"/>
    </row>
    <row r="988" spans="1:15" x14ac:dyDescent="0.2">
      <c r="A988" s="18"/>
      <c r="B988" s="18"/>
      <c r="C988" s="18"/>
      <c r="D988" s="18"/>
      <c r="E988" s="18"/>
      <c r="F988" s="18"/>
      <c r="G988" s="3"/>
      <c r="H988" s="3"/>
      <c r="I988" s="39"/>
      <c r="K988" s="22"/>
      <c r="L988" s="9"/>
      <c r="M988" s="9"/>
      <c r="N988" s="9"/>
      <c r="O988" s="9"/>
    </row>
    <row r="989" spans="1:15" x14ac:dyDescent="0.2">
      <c r="A989" s="18"/>
      <c r="B989" s="18"/>
      <c r="C989" s="18"/>
      <c r="D989" s="18"/>
      <c r="E989" s="18"/>
      <c r="F989" s="18"/>
      <c r="G989" s="3"/>
      <c r="H989" s="3"/>
      <c r="I989" s="39"/>
      <c r="K989" s="22"/>
      <c r="L989" s="9"/>
      <c r="M989" s="9"/>
      <c r="N989" s="9"/>
      <c r="O989" s="9"/>
    </row>
    <row r="990" spans="1:15" x14ac:dyDescent="0.2">
      <c r="A990" s="18"/>
      <c r="B990" s="18"/>
      <c r="C990" s="18"/>
      <c r="D990" s="18"/>
      <c r="E990" s="18"/>
      <c r="F990" s="18"/>
      <c r="G990" s="3"/>
      <c r="H990" s="3"/>
      <c r="I990" s="39"/>
      <c r="K990" s="22"/>
      <c r="L990" s="9"/>
      <c r="M990" s="9"/>
      <c r="N990" s="9"/>
      <c r="O990" s="9"/>
    </row>
    <row r="991" spans="1:15" x14ac:dyDescent="0.2">
      <c r="A991" s="18"/>
      <c r="B991" s="18"/>
      <c r="C991" s="18"/>
      <c r="D991" s="18"/>
      <c r="E991" s="18"/>
      <c r="F991" s="18"/>
      <c r="G991" s="3"/>
      <c r="H991" s="3"/>
      <c r="I991" s="39"/>
      <c r="K991" s="22"/>
      <c r="L991" s="9"/>
      <c r="M991" s="9"/>
      <c r="N991" s="9"/>
      <c r="O991" s="9"/>
    </row>
    <row r="992" spans="1:15" x14ac:dyDescent="0.2">
      <c r="A992" s="18"/>
      <c r="B992" s="18"/>
      <c r="C992" s="18"/>
      <c r="D992" s="18"/>
      <c r="E992" s="18"/>
      <c r="F992" s="18"/>
      <c r="G992" s="3"/>
      <c r="H992" s="3"/>
      <c r="I992" s="39"/>
      <c r="K992" s="22"/>
      <c r="L992" s="9"/>
      <c r="M992" s="9"/>
      <c r="N992" s="9"/>
      <c r="O992" s="9"/>
    </row>
    <row r="993" spans="1:15" x14ac:dyDescent="0.2">
      <c r="A993" s="18"/>
      <c r="B993" s="18"/>
      <c r="C993" s="18"/>
      <c r="D993" s="18"/>
      <c r="E993" s="18"/>
      <c r="F993" s="18"/>
      <c r="G993" s="3"/>
      <c r="H993" s="3"/>
      <c r="I993" s="39"/>
      <c r="K993" s="22"/>
      <c r="L993" s="9"/>
      <c r="M993" s="9"/>
      <c r="N993" s="9"/>
      <c r="O993" s="9"/>
    </row>
    <row r="994" spans="1:15" x14ac:dyDescent="0.2">
      <c r="A994" s="18"/>
      <c r="B994" s="18"/>
      <c r="C994" s="18"/>
      <c r="D994" s="18"/>
      <c r="E994" s="18"/>
      <c r="F994" s="18"/>
      <c r="G994" s="3"/>
      <c r="H994" s="3"/>
      <c r="I994" s="39"/>
      <c r="K994" s="22"/>
      <c r="L994" s="9"/>
      <c r="M994" s="9"/>
      <c r="N994" s="9"/>
      <c r="O994" s="9"/>
    </row>
    <row r="995" spans="1:15" x14ac:dyDescent="0.2">
      <c r="A995" s="18"/>
      <c r="B995" s="18"/>
      <c r="C995" s="18"/>
      <c r="D995" s="18"/>
      <c r="E995" s="18"/>
      <c r="F995" s="18"/>
      <c r="G995" s="3"/>
      <c r="H995" s="3"/>
      <c r="I995" s="39"/>
      <c r="K995" s="22"/>
      <c r="L995" s="9"/>
      <c r="M995" s="9"/>
      <c r="N995" s="9"/>
      <c r="O995" s="9"/>
    </row>
    <row r="996" spans="1:15" x14ac:dyDescent="0.2">
      <c r="A996" s="18"/>
      <c r="B996" s="18"/>
      <c r="C996" s="18"/>
      <c r="D996" s="18"/>
      <c r="E996" s="18"/>
      <c r="F996" s="18"/>
      <c r="G996" s="3"/>
      <c r="H996" s="3"/>
      <c r="I996" s="39"/>
      <c r="K996" s="22"/>
      <c r="L996" s="9"/>
      <c r="M996" s="9"/>
      <c r="N996" s="9"/>
      <c r="O996" s="9"/>
    </row>
    <row r="997" spans="1:15" x14ac:dyDescent="0.2">
      <c r="A997" s="18"/>
      <c r="B997" s="18"/>
      <c r="C997" s="18"/>
      <c r="D997" s="18"/>
      <c r="E997" s="18"/>
      <c r="F997" s="18"/>
      <c r="G997" s="3"/>
      <c r="H997" s="3"/>
      <c r="I997" s="39"/>
      <c r="K997" s="22"/>
      <c r="L997" s="9"/>
      <c r="M997" s="9"/>
      <c r="N997" s="9"/>
      <c r="O997" s="9"/>
    </row>
    <row r="998" spans="1:15" x14ac:dyDescent="0.2">
      <c r="A998" s="18"/>
      <c r="B998" s="18"/>
      <c r="C998" s="18"/>
      <c r="D998" s="18"/>
      <c r="E998" s="18"/>
      <c r="F998" s="18"/>
      <c r="G998" s="3"/>
      <c r="H998" s="3"/>
      <c r="I998" s="39"/>
      <c r="K998" s="22"/>
      <c r="L998" s="9"/>
      <c r="M998" s="9"/>
      <c r="N998" s="9"/>
      <c r="O998" s="9"/>
    </row>
    <row r="999" spans="1:15" x14ac:dyDescent="0.2">
      <c r="A999" s="18"/>
      <c r="B999" s="18"/>
      <c r="C999" s="18"/>
      <c r="D999" s="18"/>
      <c r="E999" s="18"/>
      <c r="F999" s="18"/>
      <c r="G999" s="3"/>
      <c r="H999" s="3"/>
      <c r="I999" s="39"/>
      <c r="K999" s="22"/>
      <c r="L999" s="9"/>
      <c r="M999" s="9"/>
      <c r="N999" s="9"/>
      <c r="O999" s="9"/>
    </row>
    <row r="1000" spans="1:15" x14ac:dyDescent="0.2">
      <c r="A1000" s="18"/>
      <c r="B1000" s="18"/>
      <c r="C1000" s="18"/>
      <c r="D1000" s="18"/>
      <c r="E1000" s="18"/>
      <c r="F1000" s="18"/>
      <c r="G1000" s="3"/>
      <c r="H1000" s="3"/>
      <c r="I1000" s="39"/>
      <c r="K1000" s="22"/>
      <c r="L1000" s="9"/>
      <c r="M1000" s="9"/>
      <c r="N1000" s="9"/>
      <c r="O1000" s="9"/>
    </row>
    <row r="1001" spans="1:15" x14ac:dyDescent="0.2">
      <c r="A1001" s="18"/>
      <c r="B1001" s="18"/>
      <c r="C1001" s="18"/>
      <c r="D1001" s="18"/>
      <c r="E1001" s="18"/>
      <c r="F1001" s="18"/>
      <c r="G1001" s="3"/>
      <c r="H1001" s="3"/>
      <c r="I1001" s="39"/>
      <c r="K1001" s="22"/>
      <c r="L1001" s="9"/>
      <c r="M1001" s="9"/>
      <c r="N1001" s="9"/>
      <c r="O1001" s="9"/>
    </row>
    <row r="1002" spans="1:15" x14ac:dyDescent="0.2">
      <c r="A1002" s="18"/>
      <c r="B1002" s="18"/>
      <c r="C1002" s="18"/>
      <c r="D1002" s="18"/>
      <c r="E1002" s="18"/>
      <c r="F1002" s="18"/>
      <c r="G1002" s="3"/>
      <c r="H1002" s="3"/>
      <c r="I1002" s="39"/>
      <c r="K1002" s="22"/>
      <c r="L1002" s="9"/>
      <c r="M1002" s="9"/>
      <c r="N1002" s="9"/>
      <c r="O1002" s="9"/>
    </row>
    <row r="1003" spans="1:15" x14ac:dyDescent="0.2">
      <c r="A1003" s="18"/>
      <c r="B1003" s="18"/>
      <c r="C1003" s="18"/>
      <c r="D1003" s="18"/>
      <c r="E1003" s="18"/>
      <c r="F1003" s="18"/>
      <c r="G1003" s="3"/>
      <c r="H1003" s="3"/>
      <c r="I1003" s="39"/>
      <c r="K1003" s="22"/>
      <c r="L1003" s="9"/>
      <c r="M1003" s="9"/>
      <c r="N1003" s="9"/>
      <c r="O1003" s="9"/>
    </row>
    <row r="1004" spans="1:15" x14ac:dyDescent="0.2">
      <c r="A1004" s="18"/>
      <c r="B1004" s="18"/>
      <c r="C1004" s="18"/>
      <c r="D1004" s="18"/>
      <c r="E1004" s="18"/>
      <c r="F1004" s="18"/>
      <c r="G1004" s="3"/>
      <c r="H1004" s="3"/>
      <c r="I1004" s="39"/>
      <c r="K1004" s="22"/>
      <c r="L1004" s="9"/>
      <c r="M1004" s="9"/>
      <c r="N1004" s="9"/>
      <c r="O1004" s="9"/>
    </row>
    <row r="1005" spans="1:15" x14ac:dyDescent="0.2">
      <c r="A1005" s="18"/>
      <c r="B1005" s="18"/>
      <c r="C1005" s="18"/>
      <c r="D1005" s="18"/>
      <c r="E1005" s="18"/>
      <c r="F1005" s="18"/>
      <c r="G1005" s="3"/>
      <c r="H1005" s="3"/>
      <c r="I1005" s="39"/>
      <c r="K1005" s="22"/>
      <c r="L1005" s="9"/>
      <c r="M1005" s="9"/>
      <c r="N1005" s="9"/>
      <c r="O1005" s="9"/>
    </row>
    <row r="1006" spans="1:15" x14ac:dyDescent="0.2">
      <c r="A1006" s="18"/>
      <c r="B1006" s="18"/>
      <c r="C1006" s="18"/>
      <c r="D1006" s="18"/>
      <c r="E1006" s="18"/>
      <c r="F1006" s="18"/>
      <c r="G1006" s="3"/>
      <c r="H1006" s="3"/>
      <c r="I1006" s="39"/>
      <c r="K1006" s="22"/>
      <c r="L1006" s="9"/>
      <c r="M1006" s="9"/>
      <c r="N1006" s="9"/>
      <c r="O1006" s="9"/>
    </row>
    <row r="1007" spans="1:15" x14ac:dyDescent="0.2">
      <c r="A1007" s="18"/>
      <c r="B1007" s="18"/>
      <c r="C1007" s="18"/>
      <c r="D1007" s="18"/>
      <c r="E1007" s="18"/>
      <c r="F1007" s="18"/>
      <c r="G1007" s="3"/>
      <c r="H1007" s="3"/>
      <c r="I1007" s="39"/>
      <c r="K1007" s="22"/>
      <c r="L1007" s="9"/>
      <c r="M1007" s="9"/>
      <c r="N1007" s="9"/>
      <c r="O1007" s="9"/>
    </row>
    <row r="1008" spans="1:15" x14ac:dyDescent="0.2">
      <c r="A1008" s="18"/>
      <c r="B1008" s="18"/>
      <c r="C1008" s="18"/>
      <c r="D1008" s="18"/>
      <c r="E1008" s="18"/>
      <c r="F1008" s="18"/>
      <c r="G1008" s="3"/>
      <c r="H1008" s="3"/>
      <c r="I1008" s="39"/>
      <c r="K1008" s="22"/>
      <c r="L1008" s="9"/>
      <c r="M1008" s="9"/>
      <c r="N1008" s="9"/>
      <c r="O1008" s="9"/>
    </row>
    <row r="1009" spans="1:15" x14ac:dyDescent="0.2">
      <c r="A1009" s="18"/>
      <c r="B1009" s="18"/>
      <c r="C1009" s="18"/>
      <c r="D1009" s="18"/>
      <c r="E1009" s="18"/>
      <c r="F1009" s="18"/>
      <c r="G1009" s="3"/>
      <c r="H1009" s="3"/>
      <c r="I1009" s="39"/>
      <c r="K1009" s="22"/>
      <c r="L1009" s="9"/>
      <c r="M1009" s="9"/>
      <c r="N1009" s="9"/>
      <c r="O1009" s="9"/>
    </row>
    <row r="1010" spans="1:15" x14ac:dyDescent="0.2">
      <c r="A1010" s="18"/>
      <c r="B1010" s="18"/>
      <c r="C1010" s="18"/>
      <c r="D1010" s="18"/>
      <c r="E1010" s="18"/>
      <c r="F1010" s="18"/>
      <c r="G1010" s="3"/>
      <c r="H1010" s="3"/>
      <c r="I1010" s="39"/>
      <c r="K1010" s="22"/>
      <c r="L1010" s="9"/>
      <c r="M1010" s="9"/>
      <c r="N1010" s="9"/>
      <c r="O1010" s="9"/>
    </row>
    <row r="1011" spans="1:15" x14ac:dyDescent="0.2">
      <c r="A1011" s="18"/>
      <c r="B1011" s="18"/>
      <c r="C1011" s="18"/>
      <c r="D1011" s="18"/>
      <c r="E1011" s="18"/>
      <c r="F1011" s="18"/>
      <c r="G1011" s="3"/>
      <c r="H1011" s="3"/>
      <c r="I1011" s="39"/>
      <c r="K1011" s="22"/>
      <c r="L1011" s="9"/>
      <c r="M1011" s="9"/>
      <c r="N1011" s="9"/>
      <c r="O1011" s="9"/>
    </row>
    <row r="1012" spans="1:15" x14ac:dyDescent="0.2">
      <c r="A1012" s="18"/>
      <c r="B1012" s="18"/>
      <c r="C1012" s="18"/>
      <c r="D1012" s="18"/>
      <c r="E1012" s="18"/>
      <c r="F1012" s="18"/>
      <c r="G1012" s="3"/>
      <c r="H1012" s="3"/>
      <c r="I1012" s="39"/>
      <c r="K1012" s="22"/>
      <c r="L1012" s="9"/>
      <c r="M1012" s="9"/>
      <c r="N1012" s="9"/>
      <c r="O1012" s="9"/>
    </row>
    <row r="1013" spans="1:15" x14ac:dyDescent="0.2">
      <c r="A1013" s="18"/>
      <c r="B1013" s="18"/>
      <c r="C1013" s="18"/>
      <c r="D1013" s="18"/>
      <c r="E1013" s="18"/>
      <c r="F1013" s="18"/>
      <c r="G1013" s="3"/>
      <c r="H1013" s="3"/>
      <c r="I1013" s="39"/>
      <c r="K1013" s="22"/>
      <c r="L1013" s="9"/>
      <c r="M1013" s="9"/>
      <c r="N1013" s="9"/>
      <c r="O1013" s="9"/>
    </row>
    <row r="1014" spans="1:15" x14ac:dyDescent="0.2">
      <c r="A1014" s="18"/>
      <c r="B1014" s="18"/>
      <c r="C1014" s="18"/>
      <c r="D1014" s="18"/>
      <c r="E1014" s="18"/>
      <c r="F1014" s="18"/>
      <c r="G1014" s="3"/>
      <c r="H1014" s="3"/>
      <c r="I1014" s="39"/>
      <c r="K1014" s="22"/>
      <c r="L1014" s="9"/>
      <c r="M1014" s="9"/>
      <c r="N1014" s="9"/>
      <c r="O1014" s="9"/>
    </row>
    <row r="1015" spans="1:15" x14ac:dyDescent="0.2">
      <c r="A1015" s="18"/>
      <c r="B1015" s="18"/>
      <c r="C1015" s="18"/>
      <c r="D1015" s="18"/>
      <c r="E1015" s="18"/>
      <c r="F1015" s="18"/>
      <c r="G1015" s="3"/>
      <c r="H1015" s="3"/>
      <c r="I1015" s="39"/>
      <c r="K1015" s="22"/>
      <c r="L1015" s="9"/>
      <c r="M1015" s="9"/>
      <c r="N1015" s="9"/>
      <c r="O1015" s="9"/>
    </row>
    <row r="1016" spans="1:15" x14ac:dyDescent="0.2">
      <c r="A1016" s="18"/>
      <c r="B1016" s="18"/>
      <c r="C1016" s="18"/>
      <c r="D1016" s="18"/>
      <c r="E1016" s="18"/>
      <c r="F1016" s="18"/>
      <c r="G1016" s="3"/>
      <c r="H1016" s="3"/>
      <c r="I1016" s="39"/>
      <c r="K1016" s="22"/>
      <c r="L1016" s="9"/>
      <c r="M1016" s="9"/>
      <c r="N1016" s="9"/>
      <c r="O1016" s="9"/>
    </row>
    <row r="1017" spans="1:15" x14ac:dyDescent="0.2">
      <c r="A1017" s="18"/>
      <c r="B1017" s="18"/>
      <c r="C1017" s="18"/>
      <c r="D1017" s="18"/>
      <c r="E1017" s="18"/>
      <c r="F1017" s="18"/>
      <c r="G1017" s="3"/>
      <c r="H1017" s="3"/>
      <c r="I1017" s="39"/>
      <c r="K1017" s="22"/>
      <c r="L1017" s="9"/>
      <c r="M1017" s="9"/>
      <c r="N1017" s="9"/>
      <c r="O1017" s="9"/>
    </row>
    <row r="1018" spans="1:15" x14ac:dyDescent="0.2">
      <c r="A1018" s="18"/>
      <c r="B1018" s="18"/>
      <c r="C1018" s="18"/>
      <c r="D1018" s="18"/>
      <c r="E1018" s="18"/>
      <c r="F1018" s="18"/>
      <c r="G1018" s="3"/>
      <c r="H1018" s="3"/>
      <c r="I1018" s="39"/>
      <c r="K1018" s="22"/>
      <c r="L1018" s="9"/>
      <c r="M1018" s="9"/>
      <c r="N1018" s="9"/>
      <c r="O1018" s="9"/>
    </row>
    <row r="1019" spans="1:15" x14ac:dyDescent="0.2">
      <c r="A1019" s="18"/>
      <c r="B1019" s="18"/>
      <c r="C1019" s="18"/>
      <c r="D1019" s="18"/>
      <c r="E1019" s="18"/>
      <c r="F1019" s="18"/>
      <c r="G1019" s="3"/>
      <c r="H1019" s="3"/>
      <c r="I1019" s="39"/>
      <c r="K1019" s="22"/>
      <c r="L1019" s="9"/>
      <c r="M1019" s="9"/>
      <c r="N1019" s="9"/>
      <c r="O1019" s="9"/>
    </row>
    <row r="1020" spans="1:15" x14ac:dyDescent="0.2">
      <c r="A1020" s="18"/>
      <c r="B1020" s="18"/>
      <c r="C1020" s="18"/>
      <c r="D1020" s="18"/>
      <c r="E1020" s="18"/>
      <c r="F1020" s="18"/>
      <c r="G1020" s="3"/>
      <c r="H1020" s="3"/>
      <c r="I1020" s="39"/>
      <c r="K1020" s="22"/>
      <c r="L1020" s="9"/>
      <c r="M1020" s="9"/>
      <c r="N1020" s="9"/>
      <c r="O1020" s="9"/>
    </row>
    <row r="1021" spans="1:15" x14ac:dyDescent="0.2">
      <c r="A1021" s="18"/>
      <c r="B1021" s="18"/>
      <c r="C1021" s="18"/>
      <c r="D1021" s="18"/>
      <c r="E1021" s="18"/>
      <c r="F1021" s="18"/>
      <c r="G1021" s="3"/>
      <c r="H1021" s="3"/>
      <c r="I1021" s="39"/>
      <c r="K1021" s="22"/>
      <c r="L1021" s="9"/>
      <c r="M1021" s="9"/>
      <c r="N1021" s="9"/>
      <c r="O1021" s="9"/>
    </row>
    <row r="1022" spans="1:15" x14ac:dyDescent="0.2">
      <c r="A1022" s="18"/>
      <c r="B1022" s="18"/>
      <c r="C1022" s="18"/>
      <c r="D1022" s="18"/>
      <c r="E1022" s="18"/>
      <c r="F1022" s="18"/>
      <c r="G1022" s="3"/>
      <c r="H1022" s="3"/>
      <c r="I1022" s="39"/>
      <c r="K1022" s="22"/>
      <c r="L1022" s="9"/>
      <c r="M1022" s="9"/>
      <c r="N1022" s="9"/>
      <c r="O1022" s="9"/>
    </row>
    <row r="1023" spans="1:15" x14ac:dyDescent="0.2">
      <c r="A1023" s="18"/>
      <c r="B1023" s="18"/>
      <c r="C1023" s="18"/>
      <c r="D1023" s="18"/>
      <c r="E1023" s="18"/>
      <c r="F1023" s="18"/>
      <c r="G1023" s="3"/>
      <c r="H1023" s="3"/>
      <c r="I1023" s="39"/>
      <c r="K1023" s="22"/>
      <c r="L1023" s="9"/>
      <c r="M1023" s="9"/>
      <c r="N1023" s="9"/>
      <c r="O1023" s="9"/>
    </row>
    <row r="1024" spans="1:15" x14ac:dyDescent="0.2">
      <c r="A1024" s="18"/>
      <c r="B1024" s="18"/>
      <c r="C1024" s="18"/>
      <c r="D1024" s="18"/>
      <c r="E1024" s="18"/>
      <c r="F1024" s="18"/>
      <c r="G1024" s="3"/>
      <c r="H1024" s="3"/>
      <c r="I1024" s="39"/>
      <c r="K1024" s="22"/>
      <c r="L1024" s="9"/>
      <c r="M1024" s="9"/>
      <c r="N1024" s="9"/>
      <c r="O1024" s="9"/>
    </row>
    <row r="1025" spans="1:15" x14ac:dyDescent="0.2">
      <c r="A1025" s="18"/>
      <c r="B1025" s="18"/>
      <c r="C1025" s="18"/>
      <c r="D1025" s="18"/>
      <c r="E1025" s="18"/>
      <c r="F1025" s="18"/>
      <c r="G1025" s="3"/>
      <c r="H1025" s="3"/>
      <c r="I1025" s="39"/>
      <c r="K1025" s="22"/>
      <c r="L1025" s="9"/>
      <c r="M1025" s="9"/>
      <c r="N1025" s="9"/>
      <c r="O1025" s="9"/>
    </row>
    <row r="1026" spans="1:15" x14ac:dyDescent="0.2">
      <c r="A1026" s="18"/>
      <c r="B1026" s="18"/>
      <c r="C1026" s="18"/>
      <c r="D1026" s="18"/>
      <c r="E1026" s="18"/>
      <c r="F1026" s="18"/>
      <c r="G1026" s="3"/>
      <c r="H1026" s="3"/>
      <c r="I1026" s="39"/>
      <c r="K1026" s="22"/>
      <c r="L1026" s="9"/>
      <c r="M1026" s="9"/>
      <c r="N1026" s="9"/>
      <c r="O1026" s="9"/>
    </row>
    <row r="1027" spans="1:15" x14ac:dyDescent="0.2">
      <c r="A1027" s="18"/>
      <c r="B1027" s="18"/>
      <c r="C1027" s="18"/>
      <c r="D1027" s="18"/>
      <c r="E1027" s="18"/>
      <c r="F1027" s="18"/>
      <c r="G1027" s="3"/>
      <c r="H1027" s="3"/>
      <c r="I1027" s="39"/>
      <c r="K1027" s="22"/>
      <c r="L1027" s="9"/>
      <c r="M1027" s="9"/>
      <c r="N1027" s="9"/>
      <c r="O1027" s="9"/>
    </row>
    <row r="1028" spans="1:15" x14ac:dyDescent="0.2">
      <c r="A1028" s="18"/>
      <c r="B1028" s="18"/>
      <c r="C1028" s="18"/>
      <c r="D1028" s="18"/>
      <c r="E1028" s="18"/>
      <c r="F1028" s="18"/>
      <c r="G1028" s="3"/>
      <c r="H1028" s="3"/>
      <c r="I1028" s="39"/>
      <c r="K1028" s="22"/>
      <c r="L1028" s="9"/>
      <c r="M1028" s="9"/>
      <c r="N1028" s="9"/>
      <c r="O1028" s="9"/>
    </row>
    <row r="1029" spans="1:15" x14ac:dyDescent="0.2">
      <c r="A1029" s="18"/>
      <c r="B1029" s="18"/>
      <c r="C1029" s="18"/>
      <c r="D1029" s="18"/>
      <c r="E1029" s="18"/>
      <c r="F1029" s="18"/>
      <c r="G1029" s="3"/>
      <c r="H1029" s="3"/>
      <c r="I1029" s="39"/>
      <c r="K1029" s="22"/>
      <c r="L1029" s="9"/>
      <c r="M1029" s="9"/>
      <c r="N1029" s="9"/>
      <c r="O1029" s="9"/>
    </row>
    <row r="1030" spans="1:15" x14ac:dyDescent="0.2">
      <c r="A1030" s="18"/>
      <c r="B1030" s="18"/>
      <c r="C1030" s="18"/>
      <c r="D1030" s="18"/>
      <c r="E1030" s="18"/>
      <c r="F1030" s="18"/>
      <c r="G1030" s="3"/>
      <c r="H1030" s="3"/>
      <c r="I1030" s="39"/>
      <c r="K1030" s="22"/>
      <c r="L1030" s="9"/>
      <c r="M1030" s="9"/>
      <c r="N1030" s="9"/>
      <c r="O1030" s="9"/>
    </row>
    <row r="1031" spans="1:15" x14ac:dyDescent="0.2">
      <c r="A1031" s="18"/>
      <c r="B1031" s="18"/>
      <c r="C1031" s="18"/>
      <c r="D1031" s="18"/>
      <c r="E1031" s="18"/>
      <c r="F1031" s="18"/>
      <c r="G1031" s="3"/>
      <c r="H1031" s="3"/>
      <c r="I1031" s="39"/>
      <c r="K1031" s="22"/>
      <c r="L1031" s="9"/>
      <c r="M1031" s="9"/>
      <c r="N1031" s="9"/>
      <c r="O1031" s="9"/>
    </row>
    <row r="1032" spans="1:15" x14ac:dyDescent="0.2">
      <c r="A1032" s="18"/>
      <c r="B1032" s="18"/>
      <c r="C1032" s="18"/>
      <c r="D1032" s="18"/>
      <c r="E1032" s="18"/>
      <c r="F1032" s="18"/>
      <c r="G1032" s="3"/>
      <c r="H1032" s="3"/>
      <c r="I1032" s="39"/>
      <c r="K1032" s="22"/>
      <c r="L1032" s="9"/>
      <c r="M1032" s="9"/>
      <c r="N1032" s="9"/>
      <c r="O1032" s="9"/>
    </row>
    <row r="1033" spans="1:15" x14ac:dyDescent="0.2">
      <c r="A1033" s="18"/>
      <c r="B1033" s="18"/>
      <c r="C1033" s="18"/>
      <c r="D1033" s="18"/>
      <c r="E1033" s="18"/>
      <c r="F1033" s="18"/>
      <c r="G1033" s="3"/>
      <c r="H1033" s="3"/>
      <c r="I1033" s="39"/>
      <c r="K1033" s="22"/>
      <c r="L1033" s="9"/>
      <c r="M1033" s="9"/>
      <c r="N1033" s="9"/>
      <c r="O1033" s="9"/>
    </row>
    <row r="1034" spans="1:15" x14ac:dyDescent="0.2">
      <c r="A1034" s="18"/>
      <c r="B1034" s="18"/>
      <c r="C1034" s="18"/>
      <c r="D1034" s="18"/>
      <c r="E1034" s="18"/>
      <c r="F1034" s="18"/>
      <c r="G1034" s="3"/>
      <c r="H1034" s="3"/>
      <c r="I1034" s="39"/>
      <c r="K1034" s="22"/>
      <c r="L1034" s="9"/>
      <c r="M1034" s="9"/>
      <c r="N1034" s="9"/>
      <c r="O1034" s="9"/>
    </row>
    <row r="1035" spans="1:15" x14ac:dyDescent="0.2">
      <c r="A1035" s="18"/>
      <c r="B1035" s="18"/>
      <c r="C1035" s="18"/>
      <c r="D1035" s="18"/>
      <c r="E1035" s="18"/>
      <c r="F1035" s="18"/>
      <c r="G1035" s="3"/>
      <c r="H1035" s="3"/>
      <c r="I1035" s="39"/>
      <c r="K1035" s="22"/>
      <c r="L1035" s="9"/>
      <c r="M1035" s="9"/>
      <c r="N1035" s="9"/>
      <c r="O1035" s="9"/>
    </row>
    <row r="1036" spans="1:15" x14ac:dyDescent="0.2">
      <c r="A1036" s="18"/>
      <c r="B1036" s="18"/>
      <c r="C1036" s="18"/>
      <c r="D1036" s="18"/>
      <c r="E1036" s="18"/>
      <c r="F1036" s="18"/>
      <c r="G1036" s="3"/>
      <c r="H1036" s="3"/>
      <c r="I1036" s="39"/>
      <c r="K1036" s="22"/>
      <c r="L1036" s="9"/>
      <c r="M1036" s="9"/>
      <c r="N1036" s="9"/>
      <c r="O1036" s="9"/>
    </row>
    <row r="1037" spans="1:15" x14ac:dyDescent="0.2">
      <c r="A1037" s="18"/>
      <c r="B1037" s="18"/>
      <c r="C1037" s="18"/>
      <c r="D1037" s="18"/>
      <c r="E1037" s="18"/>
      <c r="F1037" s="18"/>
      <c r="G1037" s="3"/>
      <c r="H1037" s="3"/>
      <c r="I1037" s="39"/>
      <c r="K1037" s="22"/>
      <c r="L1037" s="9"/>
      <c r="M1037" s="9"/>
      <c r="N1037" s="9"/>
      <c r="O1037" s="9"/>
    </row>
    <row r="1038" spans="1:15" x14ac:dyDescent="0.2">
      <c r="A1038" s="18"/>
      <c r="B1038" s="18"/>
      <c r="C1038" s="18"/>
      <c r="D1038" s="18"/>
      <c r="E1038" s="18"/>
      <c r="F1038" s="18"/>
      <c r="G1038" s="3"/>
      <c r="H1038" s="3"/>
      <c r="I1038" s="39"/>
      <c r="K1038" s="22"/>
      <c r="L1038" s="9"/>
      <c r="M1038" s="9"/>
      <c r="N1038" s="9"/>
      <c r="O1038" s="9"/>
    </row>
    <row r="1039" spans="1:15" x14ac:dyDescent="0.2">
      <c r="A1039" s="18"/>
      <c r="B1039" s="18"/>
      <c r="C1039" s="18"/>
      <c r="D1039" s="18"/>
      <c r="E1039" s="18"/>
      <c r="F1039" s="18"/>
      <c r="G1039" s="3"/>
      <c r="H1039" s="3"/>
      <c r="I1039" s="39"/>
      <c r="K1039" s="22"/>
      <c r="L1039" s="9"/>
      <c r="M1039" s="9"/>
      <c r="N1039" s="9"/>
      <c r="O1039" s="9"/>
    </row>
    <row r="1040" spans="1:15" x14ac:dyDescent="0.2">
      <c r="A1040" s="18"/>
      <c r="B1040" s="18"/>
      <c r="C1040" s="18"/>
      <c r="D1040" s="18"/>
      <c r="E1040" s="18"/>
      <c r="F1040" s="18"/>
      <c r="G1040" s="3"/>
      <c r="H1040" s="3"/>
      <c r="I1040" s="39"/>
      <c r="K1040" s="22"/>
      <c r="L1040" s="9"/>
      <c r="M1040" s="9"/>
      <c r="N1040" s="9"/>
      <c r="O1040" s="9"/>
    </row>
    <row r="1041" spans="1:15" x14ac:dyDescent="0.2">
      <c r="A1041" s="18"/>
      <c r="B1041" s="18"/>
      <c r="C1041" s="18"/>
      <c r="D1041" s="18"/>
      <c r="E1041" s="18"/>
      <c r="F1041" s="18"/>
      <c r="G1041" s="3"/>
      <c r="H1041" s="3"/>
      <c r="I1041" s="39"/>
      <c r="K1041" s="22"/>
      <c r="L1041" s="9"/>
      <c r="M1041" s="9"/>
      <c r="N1041" s="9"/>
      <c r="O1041" s="9"/>
    </row>
    <row r="1042" spans="1:15" x14ac:dyDescent="0.2">
      <c r="A1042" s="18"/>
      <c r="B1042" s="18"/>
      <c r="C1042" s="18"/>
      <c r="D1042" s="18"/>
      <c r="E1042" s="18"/>
      <c r="F1042" s="18"/>
      <c r="G1042" s="3"/>
      <c r="H1042" s="3"/>
      <c r="I1042" s="39"/>
      <c r="K1042" s="22"/>
      <c r="L1042" s="9"/>
      <c r="M1042" s="9"/>
      <c r="N1042" s="9"/>
      <c r="O1042" s="9"/>
    </row>
    <row r="1043" spans="1:15" x14ac:dyDescent="0.2">
      <c r="A1043" s="18"/>
      <c r="B1043" s="18"/>
      <c r="C1043" s="18"/>
      <c r="D1043" s="18"/>
      <c r="E1043" s="18"/>
      <c r="F1043" s="18"/>
      <c r="G1043" s="3"/>
      <c r="H1043" s="3"/>
      <c r="I1043" s="39"/>
      <c r="K1043" s="22"/>
      <c r="L1043" s="9"/>
      <c r="M1043" s="9"/>
      <c r="N1043" s="9"/>
      <c r="O1043" s="9"/>
    </row>
    <row r="1044" spans="1:15" x14ac:dyDescent="0.2">
      <c r="A1044" s="18"/>
      <c r="B1044" s="18"/>
      <c r="C1044" s="18"/>
      <c r="D1044" s="18"/>
      <c r="E1044" s="18"/>
      <c r="F1044" s="18"/>
      <c r="G1044" s="3"/>
      <c r="H1044" s="3"/>
      <c r="I1044" s="39"/>
      <c r="K1044" s="22"/>
      <c r="L1044" s="9"/>
      <c r="M1044" s="9"/>
      <c r="N1044" s="9"/>
      <c r="O1044" s="9"/>
    </row>
    <row r="1045" spans="1:15" x14ac:dyDescent="0.2">
      <c r="A1045" s="18"/>
      <c r="B1045" s="18"/>
      <c r="C1045" s="18"/>
      <c r="D1045" s="18"/>
      <c r="E1045" s="18"/>
      <c r="F1045" s="18"/>
      <c r="G1045" s="3"/>
      <c r="H1045" s="3"/>
      <c r="I1045" s="39"/>
      <c r="K1045" s="22"/>
      <c r="L1045" s="9"/>
      <c r="M1045" s="9"/>
      <c r="N1045" s="9"/>
      <c r="O1045" s="9"/>
    </row>
    <row r="1046" spans="1:15" x14ac:dyDescent="0.2">
      <c r="A1046" s="18"/>
      <c r="B1046" s="18"/>
      <c r="C1046" s="18"/>
      <c r="D1046" s="18"/>
      <c r="E1046" s="18"/>
      <c r="F1046" s="18"/>
      <c r="G1046" s="3"/>
      <c r="H1046" s="3"/>
      <c r="I1046" s="39"/>
      <c r="K1046" s="22"/>
      <c r="L1046" s="9"/>
      <c r="M1046" s="9"/>
      <c r="N1046" s="9"/>
      <c r="O1046" s="9"/>
    </row>
    <row r="1047" spans="1:15" x14ac:dyDescent="0.2">
      <c r="A1047" s="18"/>
      <c r="B1047" s="18"/>
      <c r="C1047" s="18"/>
      <c r="D1047" s="18"/>
      <c r="E1047" s="18"/>
      <c r="F1047" s="18"/>
      <c r="G1047" s="3"/>
      <c r="H1047" s="3"/>
      <c r="I1047" s="39"/>
      <c r="K1047" s="22"/>
      <c r="L1047" s="9"/>
      <c r="M1047" s="9"/>
      <c r="N1047" s="9"/>
      <c r="O1047" s="9"/>
    </row>
    <row r="1048" spans="1:15" x14ac:dyDescent="0.2">
      <c r="A1048" s="18"/>
      <c r="B1048" s="18"/>
      <c r="C1048" s="18"/>
      <c r="D1048" s="18"/>
      <c r="E1048" s="18"/>
      <c r="F1048" s="18"/>
      <c r="G1048" s="3"/>
      <c r="H1048" s="3"/>
      <c r="I1048" s="39"/>
      <c r="K1048" s="22"/>
      <c r="L1048" s="9"/>
      <c r="M1048" s="9"/>
      <c r="N1048" s="9"/>
      <c r="O1048" s="9"/>
    </row>
    <row r="1049" spans="1:15" x14ac:dyDescent="0.2">
      <c r="A1049" s="18"/>
      <c r="B1049" s="18"/>
      <c r="C1049" s="18"/>
      <c r="D1049" s="18"/>
      <c r="E1049" s="18"/>
      <c r="F1049" s="18"/>
      <c r="G1049" s="3"/>
      <c r="H1049" s="3"/>
      <c r="I1049" s="39"/>
      <c r="K1049" s="22"/>
      <c r="L1049" s="9"/>
      <c r="M1049" s="9"/>
      <c r="N1049" s="9"/>
      <c r="O1049" s="9"/>
    </row>
    <row r="1050" spans="1:15" x14ac:dyDescent="0.2">
      <c r="A1050" s="18"/>
      <c r="B1050" s="18"/>
      <c r="C1050" s="18"/>
      <c r="D1050" s="18"/>
      <c r="E1050" s="18"/>
      <c r="F1050" s="18"/>
      <c r="G1050" s="3"/>
      <c r="H1050" s="3"/>
      <c r="I1050" s="39"/>
      <c r="K1050" s="22"/>
      <c r="L1050" s="9"/>
      <c r="M1050" s="9"/>
      <c r="N1050" s="9"/>
      <c r="O1050" s="9"/>
    </row>
    <row r="1051" spans="1:15" x14ac:dyDescent="0.2">
      <c r="A1051" s="18"/>
      <c r="B1051" s="18"/>
      <c r="C1051" s="18"/>
      <c r="D1051" s="18"/>
      <c r="E1051" s="18"/>
      <c r="F1051" s="18"/>
      <c r="G1051" s="3"/>
      <c r="H1051" s="3"/>
      <c r="I1051" s="39"/>
      <c r="K1051" s="22"/>
      <c r="L1051" s="9"/>
      <c r="M1051" s="9"/>
      <c r="N1051" s="9"/>
      <c r="O1051" s="9"/>
    </row>
    <row r="1052" spans="1:15" x14ac:dyDescent="0.2">
      <c r="A1052" s="18"/>
      <c r="B1052" s="18"/>
      <c r="C1052" s="18"/>
      <c r="D1052" s="18"/>
      <c r="E1052" s="18"/>
      <c r="F1052" s="18"/>
      <c r="G1052" s="3"/>
      <c r="H1052" s="3"/>
      <c r="I1052" s="39"/>
      <c r="K1052" s="22"/>
      <c r="L1052" s="9"/>
      <c r="M1052" s="9"/>
      <c r="N1052" s="9"/>
      <c r="O1052" s="9"/>
    </row>
    <row r="1053" spans="1:15" x14ac:dyDescent="0.2">
      <c r="A1053" s="18"/>
      <c r="B1053" s="18"/>
      <c r="C1053" s="18"/>
      <c r="D1053" s="18"/>
      <c r="E1053" s="18"/>
      <c r="F1053" s="18"/>
      <c r="G1053" s="3"/>
      <c r="H1053" s="3"/>
      <c r="I1053" s="39"/>
      <c r="K1053" s="22"/>
      <c r="L1053" s="9"/>
      <c r="M1053" s="9"/>
      <c r="N1053" s="9"/>
      <c r="O1053" s="9"/>
    </row>
    <row r="1054" spans="1:15" x14ac:dyDescent="0.2">
      <c r="A1054" s="18"/>
      <c r="B1054" s="18"/>
      <c r="C1054" s="18"/>
      <c r="D1054" s="18"/>
      <c r="E1054" s="18"/>
      <c r="F1054" s="18"/>
      <c r="G1054" s="3"/>
      <c r="H1054" s="3"/>
      <c r="I1054" s="39"/>
      <c r="K1054" s="22"/>
      <c r="L1054" s="9"/>
      <c r="M1054" s="9"/>
      <c r="N1054" s="9"/>
      <c r="O1054" s="9"/>
    </row>
    <row r="1055" spans="1:15" x14ac:dyDescent="0.2">
      <c r="A1055" s="18"/>
      <c r="B1055" s="18"/>
      <c r="C1055" s="18"/>
      <c r="D1055" s="18"/>
      <c r="E1055" s="18"/>
      <c r="F1055" s="18"/>
      <c r="G1055" s="3"/>
      <c r="H1055" s="3"/>
      <c r="I1055" s="39"/>
      <c r="K1055" s="22"/>
      <c r="L1055" s="9"/>
      <c r="M1055" s="9"/>
      <c r="N1055" s="9"/>
      <c r="O1055" s="9"/>
    </row>
    <row r="1056" spans="1:15" x14ac:dyDescent="0.2">
      <c r="A1056" s="18"/>
      <c r="B1056" s="18"/>
      <c r="C1056" s="18"/>
      <c r="D1056" s="18"/>
      <c r="E1056" s="18"/>
      <c r="F1056" s="18"/>
      <c r="G1056" s="3"/>
      <c r="H1056" s="3"/>
      <c r="I1056" s="39"/>
      <c r="K1056" s="22"/>
      <c r="L1056" s="9"/>
      <c r="M1056" s="9"/>
      <c r="N1056" s="9"/>
      <c r="O1056" s="9"/>
    </row>
    <row r="1057" spans="1:15" x14ac:dyDescent="0.2">
      <c r="A1057" s="18"/>
      <c r="B1057" s="18"/>
      <c r="C1057" s="18"/>
      <c r="D1057" s="18"/>
      <c r="E1057" s="18"/>
      <c r="F1057" s="18"/>
      <c r="G1057" s="3"/>
      <c r="H1057" s="3"/>
      <c r="I1057" s="39"/>
      <c r="K1057" s="22"/>
      <c r="L1057" s="9"/>
      <c r="M1057" s="9"/>
      <c r="N1057" s="9"/>
      <c r="O1057" s="9"/>
    </row>
    <row r="1058" spans="1:15" x14ac:dyDescent="0.2">
      <c r="A1058" s="18"/>
      <c r="B1058" s="18"/>
      <c r="C1058" s="18"/>
      <c r="D1058" s="18"/>
      <c r="E1058" s="18"/>
      <c r="F1058" s="18"/>
      <c r="G1058" s="3"/>
      <c r="H1058" s="3"/>
      <c r="I1058" s="39"/>
      <c r="K1058" s="22"/>
      <c r="L1058" s="9"/>
      <c r="M1058" s="9"/>
      <c r="N1058" s="9"/>
      <c r="O1058" s="9"/>
    </row>
    <row r="1059" spans="1:15" x14ac:dyDescent="0.2">
      <c r="A1059" s="18"/>
      <c r="B1059" s="18"/>
      <c r="C1059" s="18"/>
      <c r="D1059" s="18"/>
      <c r="E1059" s="18"/>
      <c r="F1059" s="18"/>
      <c r="G1059" s="3"/>
      <c r="H1059" s="3"/>
      <c r="I1059" s="39"/>
      <c r="K1059" s="22"/>
      <c r="L1059" s="9"/>
      <c r="M1059" s="9"/>
      <c r="N1059" s="9"/>
      <c r="O1059" s="9"/>
    </row>
    <row r="1060" spans="1:15" x14ac:dyDescent="0.2">
      <c r="A1060" s="18"/>
      <c r="B1060" s="18"/>
      <c r="C1060" s="18"/>
      <c r="D1060" s="18"/>
      <c r="E1060" s="18"/>
      <c r="F1060" s="18"/>
      <c r="G1060" s="3"/>
      <c r="H1060" s="3"/>
      <c r="I1060" s="39"/>
      <c r="K1060" s="22"/>
      <c r="L1060" s="9"/>
      <c r="M1060" s="9"/>
      <c r="N1060" s="9"/>
      <c r="O1060" s="9"/>
    </row>
    <row r="1061" spans="1:15" x14ac:dyDescent="0.2">
      <c r="A1061" s="18"/>
      <c r="B1061" s="18"/>
      <c r="C1061" s="18"/>
      <c r="D1061" s="18"/>
      <c r="E1061" s="18"/>
      <c r="F1061" s="18"/>
      <c r="G1061" s="3"/>
      <c r="H1061" s="3"/>
      <c r="I1061" s="39"/>
      <c r="K1061" s="22"/>
      <c r="L1061" s="9"/>
      <c r="M1061" s="9"/>
      <c r="N1061" s="9"/>
      <c r="O1061" s="9"/>
    </row>
    <row r="1062" spans="1:15" x14ac:dyDescent="0.2">
      <c r="A1062" s="18"/>
      <c r="B1062" s="18"/>
      <c r="C1062" s="18"/>
      <c r="D1062" s="18"/>
      <c r="E1062" s="18"/>
      <c r="F1062" s="18"/>
      <c r="G1062" s="3"/>
      <c r="H1062" s="3"/>
      <c r="I1062" s="39"/>
      <c r="K1062" s="22"/>
      <c r="L1062" s="9"/>
      <c r="M1062" s="9"/>
      <c r="N1062" s="9"/>
      <c r="O1062" s="9"/>
    </row>
    <row r="1063" spans="1:15" x14ac:dyDescent="0.2">
      <c r="A1063" s="18"/>
      <c r="B1063" s="18"/>
      <c r="C1063" s="18"/>
      <c r="D1063" s="18"/>
      <c r="E1063" s="18"/>
      <c r="F1063" s="18"/>
      <c r="G1063" s="3"/>
      <c r="H1063" s="3"/>
      <c r="I1063" s="39"/>
      <c r="K1063" s="22"/>
      <c r="L1063" s="9"/>
      <c r="M1063" s="9"/>
      <c r="N1063" s="9"/>
      <c r="O1063" s="9"/>
    </row>
    <row r="1064" spans="1:15" x14ac:dyDescent="0.2">
      <c r="A1064" s="18"/>
      <c r="B1064" s="18"/>
      <c r="C1064" s="18"/>
      <c r="D1064" s="18"/>
      <c r="E1064" s="18"/>
      <c r="F1064" s="18"/>
      <c r="G1064" s="3"/>
      <c r="H1064" s="3"/>
      <c r="I1064" s="39"/>
      <c r="K1064" s="22"/>
      <c r="L1064" s="9"/>
      <c r="M1064" s="9"/>
      <c r="N1064" s="9"/>
      <c r="O1064" s="9"/>
    </row>
    <row r="1065" spans="1:15" x14ac:dyDescent="0.2">
      <c r="A1065" s="18"/>
      <c r="B1065" s="18"/>
      <c r="C1065" s="18"/>
      <c r="D1065" s="18"/>
      <c r="E1065" s="18"/>
      <c r="F1065" s="18"/>
      <c r="G1065" s="3"/>
      <c r="H1065" s="3"/>
      <c r="I1065" s="39"/>
      <c r="K1065" s="22"/>
      <c r="L1065" s="9"/>
      <c r="M1065" s="9"/>
      <c r="N1065" s="9"/>
      <c r="O1065" s="9"/>
    </row>
    <row r="1066" spans="1:15" x14ac:dyDescent="0.2">
      <c r="A1066" s="18"/>
      <c r="B1066" s="18"/>
      <c r="C1066" s="18"/>
      <c r="D1066" s="18"/>
      <c r="E1066" s="18"/>
      <c r="F1066" s="18"/>
      <c r="G1066" s="3"/>
      <c r="H1066" s="3"/>
      <c r="I1066" s="39"/>
      <c r="K1066" s="22"/>
      <c r="L1066" s="9"/>
      <c r="M1066" s="9"/>
      <c r="N1066" s="9"/>
      <c r="O1066" s="9"/>
    </row>
    <row r="1067" spans="1:15" x14ac:dyDescent="0.2">
      <c r="A1067" s="18"/>
      <c r="B1067" s="18"/>
      <c r="C1067" s="18"/>
      <c r="D1067" s="18"/>
      <c r="E1067" s="18"/>
      <c r="F1067" s="18"/>
      <c r="G1067" s="3"/>
      <c r="H1067" s="3"/>
      <c r="I1067" s="39"/>
      <c r="K1067" s="22"/>
      <c r="L1067" s="9"/>
      <c r="M1067" s="9"/>
      <c r="N1067" s="9"/>
      <c r="O1067" s="9"/>
    </row>
    <row r="1068" spans="1:15" x14ac:dyDescent="0.2">
      <c r="A1068" s="18"/>
      <c r="B1068" s="18"/>
      <c r="C1068" s="18"/>
      <c r="D1068" s="18"/>
      <c r="E1068" s="18"/>
      <c r="F1068" s="18"/>
      <c r="G1068" s="3"/>
      <c r="H1068" s="3"/>
      <c r="I1068" s="39"/>
      <c r="K1068" s="22"/>
      <c r="L1068" s="9"/>
      <c r="M1068" s="9"/>
      <c r="N1068" s="9"/>
      <c r="O1068" s="9"/>
    </row>
    <row r="1069" spans="1:15" x14ac:dyDescent="0.2">
      <c r="A1069" s="18"/>
      <c r="B1069" s="18"/>
      <c r="C1069" s="18"/>
      <c r="D1069" s="18"/>
      <c r="E1069" s="18"/>
      <c r="F1069" s="18"/>
      <c r="G1069" s="3"/>
      <c r="H1069" s="3"/>
      <c r="I1069" s="39"/>
      <c r="K1069" s="22"/>
      <c r="L1069" s="9"/>
      <c r="M1069" s="9"/>
      <c r="N1069" s="9"/>
      <c r="O1069" s="9"/>
    </row>
    <row r="1070" spans="1:15" x14ac:dyDescent="0.2">
      <c r="A1070" s="18"/>
      <c r="B1070" s="18"/>
      <c r="C1070" s="18"/>
      <c r="D1070" s="18"/>
      <c r="E1070" s="18"/>
      <c r="F1070" s="18"/>
      <c r="G1070" s="3"/>
      <c r="H1070" s="3"/>
      <c r="I1070" s="39"/>
      <c r="K1070" s="22"/>
      <c r="L1070" s="9"/>
      <c r="M1070" s="9"/>
      <c r="N1070" s="9"/>
      <c r="O1070" s="9"/>
    </row>
    <row r="1071" spans="1:15" x14ac:dyDescent="0.2">
      <c r="A1071" s="18"/>
      <c r="B1071" s="18"/>
      <c r="C1071" s="18"/>
      <c r="D1071" s="18"/>
      <c r="E1071" s="18"/>
      <c r="F1071" s="18"/>
      <c r="G1071" s="3"/>
      <c r="H1071" s="3"/>
      <c r="I1071" s="39"/>
      <c r="K1071" s="22"/>
      <c r="L1071" s="9"/>
      <c r="M1071" s="9"/>
      <c r="N1071" s="9"/>
      <c r="O1071" s="9"/>
    </row>
    <row r="1072" spans="1:15" x14ac:dyDescent="0.2">
      <c r="A1072" s="18"/>
      <c r="B1072" s="18"/>
      <c r="C1072" s="18"/>
      <c r="D1072" s="18"/>
      <c r="E1072" s="18"/>
      <c r="F1072" s="18"/>
      <c r="G1072" s="3"/>
      <c r="H1072" s="3"/>
      <c r="I1072" s="39"/>
      <c r="K1072" s="22"/>
      <c r="L1072" s="9"/>
      <c r="M1072" s="9"/>
      <c r="N1072" s="9"/>
      <c r="O1072" s="9"/>
    </row>
    <row r="1073" spans="1:15" x14ac:dyDescent="0.2">
      <c r="A1073" s="18"/>
      <c r="B1073" s="18"/>
      <c r="C1073" s="18"/>
      <c r="D1073" s="18"/>
      <c r="E1073" s="18"/>
      <c r="F1073" s="18"/>
      <c r="G1073" s="3"/>
      <c r="H1073" s="3"/>
      <c r="I1073" s="39"/>
      <c r="K1073" s="22"/>
      <c r="L1073" s="9"/>
      <c r="M1073" s="9"/>
      <c r="N1073" s="9"/>
      <c r="O1073" s="9"/>
    </row>
    <row r="1074" spans="1:15" x14ac:dyDescent="0.2">
      <c r="A1074" s="18"/>
      <c r="B1074" s="18"/>
      <c r="C1074" s="18"/>
      <c r="D1074" s="18"/>
      <c r="E1074" s="18"/>
      <c r="F1074" s="18"/>
      <c r="G1074" s="3"/>
      <c r="H1074" s="3"/>
      <c r="I1074" s="39"/>
      <c r="K1074" s="22"/>
      <c r="L1074" s="9"/>
      <c r="M1074" s="9"/>
      <c r="N1074" s="9"/>
      <c r="O1074" s="9"/>
    </row>
    <row r="1075" spans="1:15" x14ac:dyDescent="0.2">
      <c r="A1075" s="18"/>
      <c r="B1075" s="18"/>
      <c r="C1075" s="18"/>
      <c r="D1075" s="18"/>
      <c r="E1075" s="18"/>
      <c r="F1075" s="18"/>
      <c r="G1075" s="3"/>
      <c r="H1075" s="3"/>
      <c r="I1075" s="39"/>
      <c r="K1075" s="22"/>
      <c r="L1075" s="9"/>
      <c r="M1075" s="9"/>
      <c r="N1075" s="9"/>
      <c r="O1075" s="9"/>
    </row>
    <row r="1076" spans="1:15" x14ac:dyDescent="0.2">
      <c r="A1076" s="18"/>
      <c r="B1076" s="18"/>
      <c r="C1076" s="18"/>
      <c r="D1076" s="18"/>
      <c r="E1076" s="18"/>
      <c r="F1076" s="18"/>
      <c r="G1076" s="3"/>
      <c r="H1076" s="3"/>
      <c r="I1076" s="39"/>
      <c r="K1076" s="22"/>
      <c r="L1076" s="9"/>
      <c r="M1076" s="9"/>
      <c r="N1076" s="9"/>
      <c r="O1076" s="9"/>
    </row>
    <row r="1077" spans="1:15" x14ac:dyDescent="0.2">
      <c r="A1077" s="18"/>
      <c r="B1077" s="18"/>
      <c r="C1077" s="18"/>
      <c r="D1077" s="18"/>
      <c r="E1077" s="18"/>
      <c r="F1077" s="18"/>
      <c r="G1077" s="3"/>
      <c r="H1077" s="3"/>
      <c r="I1077" s="39"/>
      <c r="K1077" s="22"/>
      <c r="L1077" s="9"/>
      <c r="M1077" s="9"/>
      <c r="N1077" s="9"/>
      <c r="O1077" s="9"/>
    </row>
    <row r="1078" spans="1:15" x14ac:dyDescent="0.2">
      <c r="A1078" s="18"/>
      <c r="B1078" s="18"/>
      <c r="C1078" s="18"/>
      <c r="D1078" s="18"/>
      <c r="E1078" s="18"/>
      <c r="F1078" s="18"/>
      <c r="G1078" s="3"/>
      <c r="H1078" s="3"/>
      <c r="I1078" s="39"/>
      <c r="K1078" s="22"/>
      <c r="L1078" s="9"/>
      <c r="M1078" s="9"/>
      <c r="N1078" s="9"/>
      <c r="O1078" s="9"/>
    </row>
    <row r="1079" spans="1:15" x14ac:dyDescent="0.2">
      <c r="A1079" s="18"/>
      <c r="B1079" s="18"/>
      <c r="C1079" s="18"/>
      <c r="D1079" s="18"/>
      <c r="E1079" s="18"/>
      <c r="F1079" s="18"/>
      <c r="G1079" s="3"/>
      <c r="H1079" s="3"/>
      <c r="I1079" s="39"/>
      <c r="K1079" s="22"/>
      <c r="L1079" s="9"/>
      <c r="M1079" s="9"/>
      <c r="N1079" s="9"/>
      <c r="O1079" s="9"/>
    </row>
    <row r="1080" spans="1:15" x14ac:dyDescent="0.2">
      <c r="A1080" s="18"/>
      <c r="B1080" s="18"/>
      <c r="C1080" s="18"/>
      <c r="D1080" s="18"/>
      <c r="E1080" s="18"/>
      <c r="F1080" s="18"/>
      <c r="G1080" s="3"/>
      <c r="H1080" s="3"/>
      <c r="I1080" s="39"/>
      <c r="K1080" s="22"/>
      <c r="L1080" s="9"/>
      <c r="M1080" s="9"/>
      <c r="N1080" s="9"/>
      <c r="O1080" s="9"/>
    </row>
    <row r="1081" spans="1:15" x14ac:dyDescent="0.2">
      <c r="A1081" s="18"/>
      <c r="B1081" s="18"/>
      <c r="C1081" s="18"/>
      <c r="D1081" s="18"/>
      <c r="E1081" s="18"/>
      <c r="F1081" s="18"/>
      <c r="G1081" s="3"/>
      <c r="H1081" s="3"/>
      <c r="I1081" s="39"/>
      <c r="K1081" s="22"/>
      <c r="L1081" s="9"/>
      <c r="M1081" s="9"/>
      <c r="N1081" s="9"/>
      <c r="O1081" s="9"/>
    </row>
    <row r="1082" spans="1:15" x14ac:dyDescent="0.2">
      <c r="A1082" s="18"/>
      <c r="B1082" s="18"/>
      <c r="C1082" s="18"/>
      <c r="D1082" s="18"/>
      <c r="E1082" s="18"/>
      <c r="F1082" s="18"/>
      <c r="G1082" s="3"/>
      <c r="H1082" s="3"/>
      <c r="I1082" s="39"/>
      <c r="K1082" s="22"/>
      <c r="L1082" s="9"/>
      <c r="M1082" s="9"/>
      <c r="N1082" s="9"/>
      <c r="O1082" s="9"/>
    </row>
    <row r="1083" spans="1:15" x14ac:dyDescent="0.2">
      <c r="A1083" s="18"/>
      <c r="B1083" s="18"/>
      <c r="C1083" s="18"/>
      <c r="D1083" s="18"/>
      <c r="E1083" s="18"/>
      <c r="F1083" s="18"/>
      <c r="G1083" s="3"/>
      <c r="H1083" s="3"/>
      <c r="I1083" s="39"/>
      <c r="K1083" s="22"/>
      <c r="L1083" s="9"/>
      <c r="M1083" s="9"/>
      <c r="N1083" s="9"/>
      <c r="O1083" s="9"/>
    </row>
    <row r="1084" spans="1:15" x14ac:dyDescent="0.2">
      <c r="A1084" s="18"/>
      <c r="B1084" s="18"/>
      <c r="C1084" s="18"/>
      <c r="D1084" s="18"/>
      <c r="E1084" s="18"/>
      <c r="F1084" s="18"/>
      <c r="G1084" s="3"/>
      <c r="H1084" s="3"/>
      <c r="I1084" s="39"/>
      <c r="K1084" s="22"/>
      <c r="L1084" s="9"/>
      <c r="M1084" s="9"/>
      <c r="N1084" s="9"/>
      <c r="O1084" s="9"/>
    </row>
    <row r="1085" spans="1:15" x14ac:dyDescent="0.2">
      <c r="A1085" s="18"/>
      <c r="B1085" s="18"/>
      <c r="C1085" s="18"/>
      <c r="D1085" s="18"/>
      <c r="E1085" s="18"/>
      <c r="F1085" s="18"/>
      <c r="G1085" s="3"/>
      <c r="H1085" s="3"/>
      <c r="I1085" s="39"/>
      <c r="K1085" s="22"/>
      <c r="L1085" s="9"/>
      <c r="M1085" s="9"/>
      <c r="N1085" s="9"/>
      <c r="O1085" s="9"/>
    </row>
    <row r="1086" spans="1:15" x14ac:dyDescent="0.2">
      <c r="A1086" s="18"/>
      <c r="B1086" s="18"/>
      <c r="C1086" s="18"/>
      <c r="D1086" s="18"/>
      <c r="E1086" s="18"/>
      <c r="F1086" s="18"/>
      <c r="G1086" s="3"/>
      <c r="H1086" s="3"/>
      <c r="I1086" s="39"/>
      <c r="K1086" s="22"/>
      <c r="L1086" s="9"/>
      <c r="M1086" s="9"/>
      <c r="N1086" s="9"/>
      <c r="O1086" s="9"/>
    </row>
    <row r="1087" spans="1:15" x14ac:dyDescent="0.2">
      <c r="A1087" s="18"/>
      <c r="B1087" s="18"/>
      <c r="C1087" s="18"/>
      <c r="D1087" s="18"/>
      <c r="E1087" s="18"/>
      <c r="F1087" s="18"/>
      <c r="G1087" s="3"/>
      <c r="H1087" s="3"/>
      <c r="I1087" s="39"/>
      <c r="K1087" s="22"/>
      <c r="L1087" s="9"/>
      <c r="M1087" s="9"/>
      <c r="N1087" s="9"/>
      <c r="O1087" s="9"/>
    </row>
    <row r="1088" spans="1:15" x14ac:dyDescent="0.2">
      <c r="A1088" s="18"/>
      <c r="B1088" s="18"/>
      <c r="C1088" s="18"/>
      <c r="D1088" s="18"/>
      <c r="E1088" s="18"/>
      <c r="F1088" s="18"/>
      <c r="G1088" s="3"/>
      <c r="H1088" s="3"/>
      <c r="I1088" s="39"/>
      <c r="K1088" s="22"/>
      <c r="L1088" s="9"/>
      <c r="M1088" s="9"/>
      <c r="N1088" s="9"/>
      <c r="O1088" s="9"/>
    </row>
    <row r="1089" spans="1:15" x14ac:dyDescent="0.2">
      <c r="A1089" s="18"/>
      <c r="B1089" s="18"/>
      <c r="C1089" s="18"/>
      <c r="D1089" s="18"/>
      <c r="E1089" s="18"/>
      <c r="F1089" s="18"/>
      <c r="G1089" s="3"/>
      <c r="H1089" s="3"/>
      <c r="I1089" s="39"/>
      <c r="K1089" s="22"/>
      <c r="L1089" s="9"/>
      <c r="M1089" s="9"/>
      <c r="N1089" s="9"/>
      <c r="O1089" s="9"/>
    </row>
    <row r="1090" spans="1:15" x14ac:dyDescent="0.2">
      <c r="A1090" s="18"/>
      <c r="B1090" s="18"/>
      <c r="C1090" s="18"/>
      <c r="D1090" s="18"/>
      <c r="E1090" s="18"/>
      <c r="F1090" s="18"/>
      <c r="G1090" s="3"/>
      <c r="H1090" s="3"/>
      <c r="I1090" s="39"/>
      <c r="K1090" s="22"/>
      <c r="L1090" s="9"/>
      <c r="M1090" s="9"/>
      <c r="N1090" s="9"/>
      <c r="O1090" s="9"/>
    </row>
    <row r="1091" spans="1:15" x14ac:dyDescent="0.2">
      <c r="A1091" s="18"/>
      <c r="B1091" s="18"/>
      <c r="C1091" s="18"/>
      <c r="D1091" s="18"/>
      <c r="E1091" s="18"/>
      <c r="F1091" s="18"/>
      <c r="G1091" s="3"/>
      <c r="H1091" s="3"/>
      <c r="I1091" s="39"/>
      <c r="K1091" s="22"/>
      <c r="L1091" s="9"/>
      <c r="M1091" s="9"/>
      <c r="N1091" s="9"/>
      <c r="O1091" s="9"/>
    </row>
    <row r="1092" spans="1:15" x14ac:dyDescent="0.2">
      <c r="A1092" s="18"/>
      <c r="B1092" s="18"/>
      <c r="C1092" s="18"/>
      <c r="D1092" s="18"/>
      <c r="E1092" s="18"/>
      <c r="F1092" s="18"/>
      <c r="G1092" s="3"/>
      <c r="H1092" s="3"/>
      <c r="I1092" s="39"/>
      <c r="K1092" s="22"/>
      <c r="L1092" s="9"/>
      <c r="M1092" s="9"/>
      <c r="N1092" s="9"/>
      <c r="O1092" s="9"/>
    </row>
    <row r="1093" spans="1:15" x14ac:dyDescent="0.2">
      <c r="A1093" s="18"/>
      <c r="B1093" s="18"/>
      <c r="C1093" s="18"/>
      <c r="D1093" s="18"/>
      <c r="E1093" s="18"/>
      <c r="F1093" s="18"/>
      <c r="G1093" s="3"/>
      <c r="H1093" s="3"/>
      <c r="I1093" s="39"/>
      <c r="K1093" s="22"/>
      <c r="L1093" s="9"/>
      <c r="M1093" s="9"/>
      <c r="N1093" s="9"/>
      <c r="O1093" s="9"/>
    </row>
    <row r="1094" spans="1:15" x14ac:dyDescent="0.2">
      <c r="A1094" s="18"/>
      <c r="B1094" s="18"/>
      <c r="C1094" s="18"/>
      <c r="D1094" s="18"/>
      <c r="E1094" s="18"/>
      <c r="F1094" s="18"/>
      <c r="G1094" s="3"/>
      <c r="H1094" s="3"/>
      <c r="I1094" s="39"/>
      <c r="K1094" s="22"/>
      <c r="L1094" s="9"/>
      <c r="M1094" s="9"/>
      <c r="N1094" s="9"/>
      <c r="O1094" s="9"/>
    </row>
    <row r="1095" spans="1:15" x14ac:dyDescent="0.2">
      <c r="A1095" s="18"/>
      <c r="B1095" s="18"/>
      <c r="C1095" s="18"/>
      <c r="D1095" s="18"/>
      <c r="E1095" s="18"/>
      <c r="F1095" s="18"/>
      <c r="G1095" s="3"/>
      <c r="H1095" s="3"/>
      <c r="I1095" s="39"/>
      <c r="K1095" s="22"/>
      <c r="L1095" s="9"/>
      <c r="M1095" s="9"/>
      <c r="N1095" s="9"/>
      <c r="O1095" s="9"/>
    </row>
    <row r="1096" spans="1:15" x14ac:dyDescent="0.2">
      <c r="A1096" s="18"/>
      <c r="B1096" s="18"/>
      <c r="C1096" s="18"/>
      <c r="D1096" s="18"/>
      <c r="E1096" s="18"/>
      <c r="F1096" s="18"/>
      <c r="G1096" s="3"/>
      <c r="H1096" s="3"/>
      <c r="I1096" s="39"/>
      <c r="K1096" s="22"/>
      <c r="L1096" s="9"/>
      <c r="M1096" s="9"/>
      <c r="N1096" s="9"/>
      <c r="O1096" s="9"/>
    </row>
    <row r="1097" spans="1:15" x14ac:dyDescent="0.2">
      <c r="A1097" s="18"/>
      <c r="B1097" s="18"/>
      <c r="C1097" s="18"/>
      <c r="D1097" s="18"/>
      <c r="E1097" s="18"/>
      <c r="F1097" s="18"/>
      <c r="G1097" s="3"/>
      <c r="H1097" s="3"/>
      <c r="I1097" s="39"/>
      <c r="K1097" s="22"/>
      <c r="L1097" s="9"/>
      <c r="M1097" s="9"/>
      <c r="N1097" s="9"/>
      <c r="O1097" s="9"/>
    </row>
    <row r="1098" spans="1:15" x14ac:dyDescent="0.2">
      <c r="A1098" s="18"/>
      <c r="B1098" s="18"/>
      <c r="C1098" s="18"/>
      <c r="D1098" s="18"/>
      <c r="E1098" s="18"/>
      <c r="F1098" s="18"/>
      <c r="G1098" s="3"/>
      <c r="H1098" s="3"/>
      <c r="I1098" s="39"/>
      <c r="K1098" s="22"/>
      <c r="L1098" s="9"/>
      <c r="M1098" s="9"/>
      <c r="N1098" s="9"/>
      <c r="O1098" s="9"/>
    </row>
    <row r="1099" spans="1:15" x14ac:dyDescent="0.2">
      <c r="A1099" s="18"/>
      <c r="B1099" s="18"/>
      <c r="C1099" s="18"/>
      <c r="D1099" s="18"/>
      <c r="E1099" s="18"/>
      <c r="F1099" s="18"/>
      <c r="G1099" s="3"/>
      <c r="H1099" s="3"/>
      <c r="I1099" s="39"/>
      <c r="K1099" s="22"/>
      <c r="L1099" s="9"/>
      <c r="M1099" s="9"/>
      <c r="N1099" s="9"/>
      <c r="O1099" s="9"/>
    </row>
    <row r="1100" spans="1:15" x14ac:dyDescent="0.2">
      <c r="A1100" s="18"/>
      <c r="B1100" s="18"/>
      <c r="C1100" s="18"/>
      <c r="D1100" s="18"/>
      <c r="E1100" s="18"/>
      <c r="F1100" s="18"/>
      <c r="G1100" s="3"/>
      <c r="H1100" s="3"/>
      <c r="I1100" s="39"/>
      <c r="K1100" s="22"/>
      <c r="L1100" s="9"/>
      <c r="M1100" s="9"/>
      <c r="N1100" s="9"/>
      <c r="O1100" s="9"/>
    </row>
    <row r="1101" spans="1:15" x14ac:dyDescent="0.2">
      <c r="A1101" s="18"/>
      <c r="B1101" s="18"/>
      <c r="C1101" s="18"/>
      <c r="D1101" s="18"/>
      <c r="E1101" s="18"/>
      <c r="F1101" s="18"/>
      <c r="G1101" s="3"/>
      <c r="H1101" s="3"/>
      <c r="I1101" s="39"/>
      <c r="K1101" s="22"/>
      <c r="L1101" s="9"/>
      <c r="M1101" s="9"/>
      <c r="N1101" s="9"/>
      <c r="O1101" s="9"/>
    </row>
    <row r="1102" spans="1:15" x14ac:dyDescent="0.2">
      <c r="A1102" s="18"/>
      <c r="B1102" s="18"/>
      <c r="C1102" s="18"/>
      <c r="D1102" s="18"/>
      <c r="E1102" s="18"/>
      <c r="F1102" s="18"/>
      <c r="G1102" s="3"/>
      <c r="H1102" s="3"/>
      <c r="I1102" s="39"/>
      <c r="K1102" s="22"/>
      <c r="L1102" s="9"/>
      <c r="M1102" s="9"/>
      <c r="N1102" s="9"/>
      <c r="O1102" s="9"/>
    </row>
    <row r="1103" spans="1:15" x14ac:dyDescent="0.2">
      <c r="A1103" s="18"/>
      <c r="B1103" s="18"/>
      <c r="C1103" s="18"/>
      <c r="D1103" s="18"/>
      <c r="E1103" s="18"/>
      <c r="F1103" s="18"/>
      <c r="G1103" s="3"/>
      <c r="H1103" s="3"/>
      <c r="I1103" s="39"/>
      <c r="K1103" s="22"/>
      <c r="L1103" s="9"/>
      <c r="M1103" s="9"/>
      <c r="N1103" s="9"/>
      <c r="O1103" s="9"/>
    </row>
    <row r="1104" spans="1:15" x14ac:dyDescent="0.2">
      <c r="A1104" s="18"/>
      <c r="B1104" s="18"/>
      <c r="C1104" s="18"/>
      <c r="D1104" s="18"/>
      <c r="E1104" s="18"/>
      <c r="F1104" s="18"/>
      <c r="G1104" s="3"/>
      <c r="H1104" s="3"/>
      <c r="I1104" s="39"/>
      <c r="K1104" s="22"/>
      <c r="L1104" s="9"/>
      <c r="M1104" s="9"/>
      <c r="N1104" s="9"/>
      <c r="O1104" s="9"/>
    </row>
    <row r="1105" spans="1:15" x14ac:dyDescent="0.2">
      <c r="A1105" s="18"/>
      <c r="B1105" s="18"/>
      <c r="C1105" s="18"/>
      <c r="D1105" s="18"/>
      <c r="E1105" s="18"/>
      <c r="F1105" s="18"/>
      <c r="G1105" s="3"/>
      <c r="H1105" s="3"/>
      <c r="I1105" s="39"/>
      <c r="K1105" s="22"/>
      <c r="L1105" s="9"/>
      <c r="M1105" s="9"/>
      <c r="N1105" s="9"/>
      <c r="O1105" s="9"/>
    </row>
    <row r="1106" spans="1:15" x14ac:dyDescent="0.2">
      <c r="A1106" s="18"/>
      <c r="B1106" s="18"/>
      <c r="C1106" s="18"/>
      <c r="D1106" s="18"/>
      <c r="E1106" s="18"/>
      <c r="F1106" s="18"/>
      <c r="G1106" s="3"/>
      <c r="H1106" s="3"/>
      <c r="I1106" s="39"/>
      <c r="K1106" s="22"/>
      <c r="L1106" s="9"/>
      <c r="M1106" s="9"/>
      <c r="N1106" s="9"/>
      <c r="O1106" s="9"/>
    </row>
    <row r="1107" spans="1:15" x14ac:dyDescent="0.2">
      <c r="A1107" s="18"/>
      <c r="B1107" s="18"/>
      <c r="C1107" s="18"/>
      <c r="D1107" s="18"/>
      <c r="E1107" s="18"/>
      <c r="F1107" s="18"/>
      <c r="G1107" s="3"/>
      <c r="H1107" s="3"/>
      <c r="I1107" s="39"/>
      <c r="K1107" s="22"/>
      <c r="L1107" s="9"/>
      <c r="M1107" s="9"/>
      <c r="N1107" s="9"/>
      <c r="O1107" s="9"/>
    </row>
    <row r="1108" spans="1:15" x14ac:dyDescent="0.2">
      <c r="A1108" s="18"/>
      <c r="B1108" s="18"/>
      <c r="C1108" s="18"/>
      <c r="D1108" s="18"/>
      <c r="E1108" s="18"/>
      <c r="F1108" s="18"/>
      <c r="G1108" s="3"/>
      <c r="H1108" s="3"/>
      <c r="I1108" s="39"/>
      <c r="K1108" s="22"/>
      <c r="L1108" s="9"/>
      <c r="M1108" s="9"/>
      <c r="N1108" s="9"/>
      <c r="O1108" s="9"/>
    </row>
    <row r="1109" spans="1:15" x14ac:dyDescent="0.2">
      <c r="A1109" s="18"/>
      <c r="B1109" s="18"/>
      <c r="C1109" s="18"/>
      <c r="D1109" s="18"/>
      <c r="E1109" s="18"/>
      <c r="F1109" s="18"/>
      <c r="G1109" s="3"/>
      <c r="H1109" s="3"/>
      <c r="I1109" s="39"/>
      <c r="K1109" s="22"/>
      <c r="L1109" s="9"/>
      <c r="M1109" s="9"/>
      <c r="N1109" s="9"/>
      <c r="O1109" s="9"/>
    </row>
    <row r="1110" spans="1:15" x14ac:dyDescent="0.2">
      <c r="A1110" s="18"/>
      <c r="B1110" s="18"/>
      <c r="C1110" s="18"/>
      <c r="D1110" s="18"/>
      <c r="E1110" s="18"/>
      <c r="F1110" s="18"/>
      <c r="G1110" s="3"/>
      <c r="H1110" s="3"/>
      <c r="I1110" s="39"/>
      <c r="K1110" s="22"/>
      <c r="L1110" s="9"/>
      <c r="M1110" s="9"/>
      <c r="N1110" s="9"/>
      <c r="O1110" s="9"/>
    </row>
    <row r="1111" spans="1:15" x14ac:dyDescent="0.2">
      <c r="A1111" s="18"/>
      <c r="B1111" s="18"/>
      <c r="C1111" s="18"/>
      <c r="D1111" s="18"/>
      <c r="E1111" s="18"/>
      <c r="F1111" s="18"/>
      <c r="G1111" s="3"/>
      <c r="H1111" s="3"/>
      <c r="I1111" s="39"/>
      <c r="K1111" s="22"/>
      <c r="L1111" s="9"/>
      <c r="M1111" s="9"/>
      <c r="N1111" s="9"/>
      <c r="O1111" s="9"/>
    </row>
    <row r="1112" spans="1:15" x14ac:dyDescent="0.2">
      <c r="A1112" s="18"/>
      <c r="B1112" s="18"/>
      <c r="C1112" s="18"/>
      <c r="D1112" s="18"/>
      <c r="E1112" s="18"/>
      <c r="F1112" s="18"/>
      <c r="G1112" s="3"/>
      <c r="H1112" s="3"/>
      <c r="I1112" s="39"/>
      <c r="K1112" s="22"/>
      <c r="L1112" s="9"/>
      <c r="M1112" s="9"/>
      <c r="N1112" s="9"/>
      <c r="O1112" s="9"/>
    </row>
    <row r="1113" spans="1:15" x14ac:dyDescent="0.2">
      <c r="A1113" s="18"/>
      <c r="B1113" s="18"/>
      <c r="C1113" s="18"/>
      <c r="D1113" s="18"/>
      <c r="E1113" s="18"/>
      <c r="F1113" s="18"/>
      <c r="G1113" s="3"/>
      <c r="H1113" s="3"/>
      <c r="I1113" s="39"/>
      <c r="K1113" s="22"/>
      <c r="L1113" s="9"/>
      <c r="M1113" s="9"/>
      <c r="N1113" s="9"/>
      <c r="O1113" s="9"/>
    </row>
    <row r="1114" spans="1:15" x14ac:dyDescent="0.2">
      <c r="A1114" s="18"/>
      <c r="B1114" s="18"/>
      <c r="C1114" s="18"/>
      <c r="D1114" s="18"/>
      <c r="E1114" s="18"/>
      <c r="F1114" s="18"/>
      <c r="G1114" s="3"/>
      <c r="H1114" s="3"/>
      <c r="I1114" s="39"/>
      <c r="K1114" s="22"/>
      <c r="L1114" s="9"/>
      <c r="M1114" s="9"/>
      <c r="N1114" s="9"/>
      <c r="O1114" s="9"/>
    </row>
    <row r="1115" spans="1:15" x14ac:dyDescent="0.2">
      <c r="A1115" s="18"/>
      <c r="B1115" s="18"/>
      <c r="C1115" s="18"/>
      <c r="D1115" s="18"/>
      <c r="E1115" s="18"/>
      <c r="F1115" s="18"/>
      <c r="G1115" s="3"/>
      <c r="H1115" s="3"/>
      <c r="I1115" s="39"/>
      <c r="K1115" s="22"/>
      <c r="L1115" s="9"/>
      <c r="M1115" s="9"/>
      <c r="N1115" s="9"/>
      <c r="O1115" s="9"/>
    </row>
    <row r="1116" spans="1:15" x14ac:dyDescent="0.2">
      <c r="A1116" s="18"/>
      <c r="B1116" s="18"/>
      <c r="C1116" s="18"/>
      <c r="D1116" s="18"/>
      <c r="E1116" s="18"/>
      <c r="F1116" s="18"/>
      <c r="G1116" s="3"/>
      <c r="H1116" s="3"/>
      <c r="I1116" s="39"/>
      <c r="K1116" s="22"/>
      <c r="L1116" s="9"/>
      <c r="M1116" s="9"/>
      <c r="N1116" s="9"/>
      <c r="O1116" s="9"/>
    </row>
    <row r="1117" spans="1:15" x14ac:dyDescent="0.2">
      <c r="A1117" s="18"/>
      <c r="B1117" s="18"/>
      <c r="C1117" s="18"/>
      <c r="D1117" s="18"/>
      <c r="E1117" s="18"/>
      <c r="F1117" s="18"/>
      <c r="G1117" s="3"/>
      <c r="H1117" s="3"/>
      <c r="I1117" s="39"/>
      <c r="K1117" s="22"/>
      <c r="L1117" s="9"/>
      <c r="M1117" s="9"/>
      <c r="N1117" s="9"/>
      <c r="O1117" s="9"/>
    </row>
    <row r="1118" spans="1:15" x14ac:dyDescent="0.2">
      <c r="A1118" s="18"/>
      <c r="B1118" s="18"/>
      <c r="C1118" s="18"/>
      <c r="D1118" s="18"/>
      <c r="E1118" s="18"/>
      <c r="F1118" s="18"/>
      <c r="G1118" s="3"/>
      <c r="H1118" s="3"/>
      <c r="I1118" s="39"/>
      <c r="K1118" s="22"/>
      <c r="L1118" s="9"/>
      <c r="M1118" s="9"/>
      <c r="N1118" s="9"/>
      <c r="O1118" s="9"/>
    </row>
    <row r="1119" spans="1:15" x14ac:dyDescent="0.2">
      <c r="A1119" s="18"/>
      <c r="B1119" s="18"/>
      <c r="C1119" s="18"/>
      <c r="D1119" s="18"/>
      <c r="E1119" s="18"/>
      <c r="F1119" s="18"/>
      <c r="G1119" s="3"/>
      <c r="H1119" s="3"/>
      <c r="I1119" s="39"/>
      <c r="K1119" s="22"/>
      <c r="L1119" s="9"/>
      <c r="M1119" s="9"/>
      <c r="N1119" s="9"/>
      <c r="O1119" s="9"/>
    </row>
    <row r="1120" spans="1:15" x14ac:dyDescent="0.2">
      <c r="A1120" s="18"/>
      <c r="B1120" s="18"/>
      <c r="C1120" s="18"/>
      <c r="D1120" s="18"/>
      <c r="E1120" s="18"/>
      <c r="F1120" s="18"/>
      <c r="G1120" s="3"/>
      <c r="H1120" s="3"/>
      <c r="I1120" s="39"/>
      <c r="K1120" s="22"/>
      <c r="L1120" s="9"/>
      <c r="M1120" s="9"/>
      <c r="N1120" s="9"/>
      <c r="O1120" s="9"/>
    </row>
    <row r="1121" spans="1:15" x14ac:dyDescent="0.2">
      <c r="A1121" s="18"/>
      <c r="B1121" s="18"/>
      <c r="C1121" s="18"/>
      <c r="D1121" s="18"/>
      <c r="E1121" s="18"/>
      <c r="F1121" s="18"/>
      <c r="G1121" s="3"/>
      <c r="H1121" s="3"/>
      <c r="I1121" s="39"/>
      <c r="K1121" s="22"/>
      <c r="L1121" s="9"/>
      <c r="M1121" s="9"/>
      <c r="N1121" s="9"/>
      <c r="O1121" s="9"/>
    </row>
    <row r="1122" spans="1:15" x14ac:dyDescent="0.2">
      <c r="A1122" s="18"/>
      <c r="B1122" s="18"/>
      <c r="C1122" s="18"/>
      <c r="D1122" s="18"/>
      <c r="E1122" s="18"/>
      <c r="F1122" s="18"/>
      <c r="G1122" s="3"/>
      <c r="H1122" s="3"/>
      <c r="I1122" s="39"/>
      <c r="K1122" s="22"/>
      <c r="L1122" s="9"/>
      <c r="M1122" s="9"/>
      <c r="N1122" s="9"/>
      <c r="O1122" s="9"/>
    </row>
    <row r="1123" spans="1:15" x14ac:dyDescent="0.2">
      <c r="A1123" s="18"/>
      <c r="B1123" s="18"/>
      <c r="C1123" s="18"/>
      <c r="D1123" s="18"/>
      <c r="E1123" s="18"/>
      <c r="F1123" s="18"/>
      <c r="G1123" s="3"/>
      <c r="H1123" s="3"/>
      <c r="I1123" s="39"/>
      <c r="K1123" s="22"/>
      <c r="L1123" s="9"/>
      <c r="M1123" s="9"/>
      <c r="N1123" s="9"/>
      <c r="O1123" s="9"/>
    </row>
    <row r="1124" spans="1:15" x14ac:dyDescent="0.2">
      <c r="A1124" s="18"/>
      <c r="B1124" s="18"/>
      <c r="C1124" s="18"/>
      <c r="D1124" s="18"/>
      <c r="E1124" s="18"/>
      <c r="F1124" s="18"/>
      <c r="G1124" s="3"/>
      <c r="H1124" s="3"/>
      <c r="I1124" s="39"/>
      <c r="K1124" s="22"/>
      <c r="L1124" s="9"/>
      <c r="M1124" s="9"/>
      <c r="N1124" s="9"/>
      <c r="O1124" s="9"/>
    </row>
    <row r="1125" spans="1:15" x14ac:dyDescent="0.2">
      <c r="A1125" s="18"/>
      <c r="B1125" s="18"/>
      <c r="C1125" s="18"/>
      <c r="D1125" s="18"/>
      <c r="E1125" s="18"/>
      <c r="F1125" s="18"/>
      <c r="G1125" s="3"/>
      <c r="H1125" s="3"/>
      <c r="I1125" s="39"/>
      <c r="K1125" s="22"/>
      <c r="L1125" s="9"/>
      <c r="M1125" s="9"/>
      <c r="N1125" s="9"/>
      <c r="O1125" s="9"/>
    </row>
    <row r="1126" spans="1:15" x14ac:dyDescent="0.2">
      <c r="A1126" s="18"/>
      <c r="B1126" s="18"/>
      <c r="C1126" s="18"/>
      <c r="D1126" s="18"/>
      <c r="E1126" s="18"/>
      <c r="F1126" s="18"/>
      <c r="G1126" s="3"/>
      <c r="H1126" s="3"/>
      <c r="I1126" s="39"/>
      <c r="K1126" s="22"/>
      <c r="L1126" s="9"/>
      <c r="M1126" s="9"/>
      <c r="N1126" s="9"/>
      <c r="O1126" s="9"/>
    </row>
    <row r="1127" spans="1:15" x14ac:dyDescent="0.2">
      <c r="A1127" s="18"/>
      <c r="B1127" s="18"/>
      <c r="C1127" s="18"/>
      <c r="D1127" s="18"/>
      <c r="E1127" s="18"/>
      <c r="F1127" s="18"/>
      <c r="G1127" s="3"/>
      <c r="H1127" s="3"/>
      <c r="I1127" s="39"/>
      <c r="K1127" s="22"/>
      <c r="L1127" s="9"/>
      <c r="M1127" s="9"/>
      <c r="N1127" s="9"/>
      <c r="O1127" s="9"/>
    </row>
    <row r="1128" spans="1:15" x14ac:dyDescent="0.2">
      <c r="A1128" s="18"/>
      <c r="B1128" s="18"/>
      <c r="C1128" s="18"/>
      <c r="D1128" s="18"/>
      <c r="E1128" s="18"/>
      <c r="F1128" s="18"/>
      <c r="G1128" s="3"/>
      <c r="H1128" s="3"/>
      <c r="I1128" s="39"/>
      <c r="K1128" s="22"/>
      <c r="L1128" s="9"/>
      <c r="M1128" s="9"/>
      <c r="N1128" s="9"/>
      <c r="O1128" s="9"/>
    </row>
    <row r="1129" spans="1:15" x14ac:dyDescent="0.2">
      <c r="A1129" s="18"/>
      <c r="B1129" s="18"/>
      <c r="C1129" s="18"/>
      <c r="D1129" s="18"/>
      <c r="E1129" s="18"/>
      <c r="F1129" s="18"/>
      <c r="G1129" s="3"/>
      <c r="H1129" s="3"/>
      <c r="I1129" s="39"/>
      <c r="K1129" s="22"/>
      <c r="L1129" s="9"/>
      <c r="M1129" s="9"/>
      <c r="N1129" s="9"/>
      <c r="O1129" s="9"/>
    </row>
    <row r="1130" spans="1:15" x14ac:dyDescent="0.2">
      <c r="A1130" s="18"/>
      <c r="B1130" s="18"/>
      <c r="C1130" s="18"/>
      <c r="D1130" s="18"/>
      <c r="E1130" s="18"/>
      <c r="F1130" s="18"/>
      <c r="G1130" s="3"/>
      <c r="H1130" s="3"/>
      <c r="I1130" s="39"/>
      <c r="K1130" s="22"/>
      <c r="L1130" s="9"/>
      <c r="M1130" s="9"/>
      <c r="N1130" s="9"/>
      <c r="O1130" s="9"/>
    </row>
    <row r="1131" spans="1:15" x14ac:dyDescent="0.2">
      <c r="A1131" s="18"/>
      <c r="B1131" s="18"/>
      <c r="C1131" s="18"/>
      <c r="D1131" s="18"/>
      <c r="E1131" s="18"/>
      <c r="F1131" s="18"/>
      <c r="G1131" s="3"/>
      <c r="H1131" s="3"/>
      <c r="I1131" s="39"/>
      <c r="K1131" s="22"/>
      <c r="L1131" s="9"/>
      <c r="M1131" s="9"/>
      <c r="N1131" s="9"/>
      <c r="O1131" s="9"/>
    </row>
    <row r="1132" spans="1:15" x14ac:dyDescent="0.2">
      <c r="A1132" s="18"/>
      <c r="B1132" s="18"/>
      <c r="C1132" s="18"/>
      <c r="D1132" s="18"/>
      <c r="E1132" s="18"/>
      <c r="F1132" s="18"/>
      <c r="G1132" s="3"/>
      <c r="H1132" s="3"/>
      <c r="I1132" s="39"/>
      <c r="K1132" s="22"/>
      <c r="L1132" s="9"/>
      <c r="M1132" s="9"/>
      <c r="N1132" s="9"/>
      <c r="O1132" s="9"/>
    </row>
    <row r="1133" spans="1:15" x14ac:dyDescent="0.2">
      <c r="A1133" s="18"/>
      <c r="B1133" s="18"/>
      <c r="C1133" s="18"/>
      <c r="D1133" s="18"/>
      <c r="E1133" s="18"/>
      <c r="F1133" s="18"/>
      <c r="G1133" s="3"/>
      <c r="H1133" s="3"/>
      <c r="I1133" s="39"/>
      <c r="K1133" s="22"/>
      <c r="L1133" s="9"/>
      <c r="M1133" s="9"/>
      <c r="N1133" s="9"/>
      <c r="O1133" s="9"/>
    </row>
    <row r="1134" spans="1:15" x14ac:dyDescent="0.2">
      <c r="A1134" s="18"/>
      <c r="B1134" s="18"/>
      <c r="C1134" s="18"/>
      <c r="D1134" s="18"/>
      <c r="E1134" s="18"/>
      <c r="F1134" s="18"/>
      <c r="G1134" s="3"/>
      <c r="H1134" s="3"/>
      <c r="I1134" s="39"/>
      <c r="K1134" s="22"/>
      <c r="L1134" s="9"/>
      <c r="M1134" s="9"/>
      <c r="N1134" s="9"/>
      <c r="O1134" s="9"/>
    </row>
    <row r="1135" spans="1:15" x14ac:dyDescent="0.2">
      <c r="A1135" s="18"/>
      <c r="B1135" s="18"/>
      <c r="C1135" s="18"/>
      <c r="D1135" s="18"/>
      <c r="E1135" s="18"/>
      <c r="F1135" s="18"/>
      <c r="G1135" s="3"/>
      <c r="H1135" s="3"/>
      <c r="I1135" s="39"/>
      <c r="K1135" s="22"/>
      <c r="L1135" s="9"/>
      <c r="M1135" s="9"/>
      <c r="N1135" s="9"/>
      <c r="O1135" s="9"/>
    </row>
    <row r="1136" spans="1:15" x14ac:dyDescent="0.2">
      <c r="A1136" s="18"/>
      <c r="B1136" s="18"/>
      <c r="C1136" s="18"/>
      <c r="D1136" s="18"/>
      <c r="E1136" s="18"/>
      <c r="F1136" s="18"/>
      <c r="G1136" s="3"/>
      <c r="H1136" s="3"/>
      <c r="I1136" s="39"/>
      <c r="K1136" s="22"/>
      <c r="L1136" s="9"/>
      <c r="M1136" s="9"/>
      <c r="N1136" s="9"/>
      <c r="O1136" s="9"/>
    </row>
    <row r="1137" spans="1:15" x14ac:dyDescent="0.2">
      <c r="A1137" s="18"/>
      <c r="B1137" s="18"/>
      <c r="C1137" s="18"/>
      <c r="D1137" s="18"/>
      <c r="E1137" s="18"/>
      <c r="F1137" s="18"/>
      <c r="G1137" s="3"/>
      <c r="H1137" s="3"/>
      <c r="I1137" s="39"/>
      <c r="K1137" s="22"/>
      <c r="L1137" s="9"/>
      <c r="M1137" s="9"/>
      <c r="N1137" s="9"/>
      <c r="O1137" s="9"/>
    </row>
    <row r="1138" spans="1:15" x14ac:dyDescent="0.2">
      <c r="A1138" s="18"/>
      <c r="B1138" s="18"/>
      <c r="C1138" s="18"/>
      <c r="D1138" s="18"/>
      <c r="E1138" s="18"/>
      <c r="F1138" s="18"/>
      <c r="G1138" s="3"/>
      <c r="H1138" s="3"/>
      <c r="I1138" s="39"/>
      <c r="K1138" s="22"/>
      <c r="L1138" s="9"/>
      <c r="M1138" s="9"/>
      <c r="N1138" s="9"/>
      <c r="O1138" s="9"/>
    </row>
    <row r="1139" spans="1:15" x14ac:dyDescent="0.2">
      <c r="A1139" s="18"/>
      <c r="B1139" s="18"/>
      <c r="C1139" s="18"/>
      <c r="D1139" s="18"/>
      <c r="E1139" s="18"/>
      <c r="F1139" s="18"/>
      <c r="G1139" s="3"/>
      <c r="H1139" s="3"/>
      <c r="I1139" s="39"/>
      <c r="K1139" s="22"/>
      <c r="L1139" s="9"/>
      <c r="M1139" s="9"/>
      <c r="N1139" s="9"/>
      <c r="O1139" s="9"/>
    </row>
    <row r="1140" spans="1:15" x14ac:dyDescent="0.2">
      <c r="A1140" s="18"/>
      <c r="B1140" s="18"/>
      <c r="C1140" s="18"/>
      <c r="D1140" s="18"/>
      <c r="E1140" s="18"/>
      <c r="F1140" s="18"/>
      <c r="G1140" s="3"/>
      <c r="H1140" s="3"/>
      <c r="I1140" s="39"/>
      <c r="K1140" s="22"/>
      <c r="L1140" s="9"/>
      <c r="M1140" s="9"/>
      <c r="N1140" s="9"/>
      <c r="O1140" s="9"/>
    </row>
    <row r="1141" spans="1:15" x14ac:dyDescent="0.2">
      <c r="A1141" s="18"/>
      <c r="B1141" s="18"/>
      <c r="C1141" s="18"/>
      <c r="D1141" s="18"/>
      <c r="E1141" s="18"/>
      <c r="F1141" s="18"/>
      <c r="G1141" s="3"/>
      <c r="H1141" s="3"/>
      <c r="I1141" s="39"/>
      <c r="K1141" s="22"/>
      <c r="L1141" s="9"/>
      <c r="M1141" s="9"/>
      <c r="N1141" s="9"/>
      <c r="O1141" s="9"/>
    </row>
    <row r="1142" spans="1:15" x14ac:dyDescent="0.2">
      <c r="A1142" s="18"/>
      <c r="B1142" s="18"/>
      <c r="C1142" s="18"/>
      <c r="D1142" s="18"/>
      <c r="E1142" s="18"/>
      <c r="F1142" s="18"/>
      <c r="G1142" s="3"/>
      <c r="H1142" s="3"/>
      <c r="I1142" s="39"/>
      <c r="K1142" s="22"/>
      <c r="L1142" s="9"/>
      <c r="M1142" s="9"/>
      <c r="N1142" s="9"/>
      <c r="O1142" s="9"/>
    </row>
    <row r="1143" spans="1:15" x14ac:dyDescent="0.2">
      <c r="A1143" s="18"/>
      <c r="B1143" s="18"/>
      <c r="C1143" s="18"/>
      <c r="D1143" s="18"/>
      <c r="E1143" s="18"/>
      <c r="F1143" s="18"/>
      <c r="G1143" s="3"/>
      <c r="H1143" s="3"/>
      <c r="I1143" s="39"/>
      <c r="K1143" s="22"/>
      <c r="L1143" s="9"/>
      <c r="M1143" s="9"/>
      <c r="N1143" s="9"/>
      <c r="O1143" s="9"/>
    </row>
    <row r="1144" spans="1:15" x14ac:dyDescent="0.2">
      <c r="A1144" s="18"/>
      <c r="B1144" s="18"/>
      <c r="C1144" s="18"/>
      <c r="D1144" s="18"/>
      <c r="E1144" s="18"/>
      <c r="F1144" s="18"/>
      <c r="G1144" s="3"/>
      <c r="H1144" s="3"/>
      <c r="I1144" s="39"/>
      <c r="K1144" s="22"/>
      <c r="L1144" s="9"/>
      <c r="M1144" s="9"/>
      <c r="N1144" s="9"/>
      <c r="O1144" s="9"/>
    </row>
    <row r="1145" spans="1:15" x14ac:dyDescent="0.2">
      <c r="A1145" s="18"/>
      <c r="B1145" s="18"/>
      <c r="C1145" s="18"/>
      <c r="D1145" s="18"/>
      <c r="E1145" s="18"/>
      <c r="F1145" s="18"/>
      <c r="G1145" s="3"/>
      <c r="H1145" s="3"/>
      <c r="I1145" s="39"/>
      <c r="K1145" s="22"/>
      <c r="L1145" s="9"/>
      <c r="M1145" s="9"/>
      <c r="N1145" s="9"/>
      <c r="O1145" s="9"/>
    </row>
    <row r="1146" spans="1:15" x14ac:dyDescent="0.2">
      <c r="A1146" s="18"/>
      <c r="B1146" s="18"/>
      <c r="C1146" s="18"/>
      <c r="D1146" s="18"/>
      <c r="E1146" s="18"/>
      <c r="F1146" s="18"/>
      <c r="G1146" s="3"/>
      <c r="H1146" s="3"/>
      <c r="I1146" s="39"/>
      <c r="K1146" s="22"/>
      <c r="L1146" s="9"/>
      <c r="M1146" s="9"/>
      <c r="N1146" s="9"/>
      <c r="O1146" s="9"/>
    </row>
    <row r="1147" spans="1:15" x14ac:dyDescent="0.2">
      <c r="A1147" s="18"/>
      <c r="B1147" s="18"/>
      <c r="C1147" s="18"/>
      <c r="D1147" s="18"/>
      <c r="E1147" s="18"/>
      <c r="F1147" s="18"/>
      <c r="G1147" s="3"/>
      <c r="H1147" s="3"/>
      <c r="I1147" s="39"/>
      <c r="K1147" s="22"/>
      <c r="L1147" s="9"/>
      <c r="M1147" s="9"/>
      <c r="N1147" s="9"/>
      <c r="O1147" s="9"/>
    </row>
    <row r="1148" spans="1:15" x14ac:dyDescent="0.2">
      <c r="A1148" s="18"/>
      <c r="B1148" s="18"/>
      <c r="C1148" s="18"/>
      <c r="D1148" s="18"/>
      <c r="E1148" s="18"/>
      <c r="F1148" s="18"/>
      <c r="G1148" s="3"/>
      <c r="H1148" s="3"/>
      <c r="I1148" s="39"/>
      <c r="K1148" s="22"/>
      <c r="L1148" s="9"/>
      <c r="M1148" s="9"/>
      <c r="N1148" s="9"/>
      <c r="O1148" s="9"/>
    </row>
    <row r="1149" spans="1:15" x14ac:dyDescent="0.2">
      <c r="A1149" s="18"/>
      <c r="B1149" s="18"/>
      <c r="C1149" s="18"/>
      <c r="D1149" s="18"/>
      <c r="E1149" s="18"/>
      <c r="F1149" s="18"/>
      <c r="G1149" s="3"/>
      <c r="H1149" s="3"/>
      <c r="I1149" s="39"/>
      <c r="K1149" s="22"/>
      <c r="L1149" s="9"/>
      <c r="M1149" s="9"/>
      <c r="N1149" s="9"/>
      <c r="O1149" s="9"/>
    </row>
    <row r="1150" spans="1:15" x14ac:dyDescent="0.2">
      <c r="A1150" s="18"/>
      <c r="B1150" s="18"/>
      <c r="C1150" s="18"/>
      <c r="D1150" s="18"/>
      <c r="E1150" s="18"/>
      <c r="F1150" s="18"/>
      <c r="G1150" s="3"/>
      <c r="H1150" s="3"/>
      <c r="I1150" s="39"/>
      <c r="K1150" s="22"/>
      <c r="L1150" s="9"/>
      <c r="M1150" s="9"/>
      <c r="N1150" s="9"/>
      <c r="O1150" s="9"/>
    </row>
    <row r="1151" spans="1:15" x14ac:dyDescent="0.2">
      <c r="A1151" s="18"/>
      <c r="B1151" s="18"/>
      <c r="C1151" s="18"/>
      <c r="D1151" s="18"/>
      <c r="E1151" s="18"/>
      <c r="F1151" s="18"/>
      <c r="G1151" s="3"/>
      <c r="H1151" s="3"/>
      <c r="I1151" s="39"/>
      <c r="K1151" s="22"/>
      <c r="L1151" s="9"/>
      <c r="M1151" s="9"/>
      <c r="N1151" s="9"/>
      <c r="O1151" s="9"/>
    </row>
    <row r="1152" spans="1:15" x14ac:dyDescent="0.2">
      <c r="A1152" s="18"/>
      <c r="B1152" s="18"/>
      <c r="C1152" s="18"/>
      <c r="D1152" s="18"/>
      <c r="E1152" s="18"/>
      <c r="F1152" s="18"/>
      <c r="G1152" s="3"/>
      <c r="H1152" s="3"/>
      <c r="I1152" s="39"/>
      <c r="K1152" s="22"/>
      <c r="L1152" s="9"/>
      <c r="M1152" s="9"/>
      <c r="N1152" s="9"/>
      <c r="O1152" s="9"/>
    </row>
    <row r="1153" spans="1:15" x14ac:dyDescent="0.2">
      <c r="A1153" s="18"/>
      <c r="B1153" s="18"/>
      <c r="C1153" s="18"/>
      <c r="D1153" s="18"/>
      <c r="E1153" s="18"/>
      <c r="F1153" s="18"/>
      <c r="G1153" s="3"/>
      <c r="H1153" s="3"/>
      <c r="I1153" s="39"/>
      <c r="K1153" s="22"/>
      <c r="L1153" s="9"/>
      <c r="M1153" s="9"/>
      <c r="N1153" s="9"/>
      <c r="O1153" s="9"/>
    </row>
    <row r="1154" spans="1:15" x14ac:dyDescent="0.2">
      <c r="A1154" s="18"/>
      <c r="B1154" s="18"/>
      <c r="C1154" s="18"/>
      <c r="D1154" s="18"/>
      <c r="E1154" s="18"/>
      <c r="F1154" s="18"/>
      <c r="G1154" s="3"/>
      <c r="H1154" s="3"/>
      <c r="I1154" s="39"/>
      <c r="K1154" s="22"/>
      <c r="L1154" s="9"/>
      <c r="M1154" s="9"/>
      <c r="N1154" s="9"/>
      <c r="O1154" s="9"/>
    </row>
    <row r="1155" spans="1:15" x14ac:dyDescent="0.2">
      <c r="A1155" s="18"/>
      <c r="B1155" s="18"/>
      <c r="C1155" s="18"/>
      <c r="D1155" s="18"/>
      <c r="E1155" s="18"/>
      <c r="F1155" s="18"/>
      <c r="G1155" s="3"/>
      <c r="H1155" s="3"/>
      <c r="I1155" s="39"/>
      <c r="K1155" s="22"/>
      <c r="L1155" s="9"/>
      <c r="M1155" s="9"/>
      <c r="N1155" s="9"/>
      <c r="O1155" s="9"/>
    </row>
    <row r="1156" spans="1:15" x14ac:dyDescent="0.2">
      <c r="A1156" s="18"/>
      <c r="B1156" s="18"/>
      <c r="C1156" s="18"/>
      <c r="D1156" s="18"/>
      <c r="E1156" s="18"/>
      <c r="F1156" s="18"/>
      <c r="G1156" s="3"/>
      <c r="H1156" s="3"/>
      <c r="I1156" s="39"/>
      <c r="K1156" s="22"/>
      <c r="L1156" s="9"/>
      <c r="M1156" s="9"/>
      <c r="N1156" s="9"/>
      <c r="O1156" s="9"/>
    </row>
    <row r="1157" spans="1:15" x14ac:dyDescent="0.2">
      <c r="A1157" s="18"/>
      <c r="B1157" s="18"/>
      <c r="C1157" s="18"/>
      <c r="D1157" s="18"/>
      <c r="E1157" s="18"/>
      <c r="F1157" s="18"/>
      <c r="G1157" s="3"/>
      <c r="H1157" s="3"/>
      <c r="I1157" s="39"/>
      <c r="K1157" s="22"/>
      <c r="L1157" s="9"/>
      <c r="M1157" s="9"/>
      <c r="N1157" s="9"/>
      <c r="O1157" s="9"/>
    </row>
    <row r="1158" spans="1:15" x14ac:dyDescent="0.2">
      <c r="A1158" s="18"/>
      <c r="B1158" s="18"/>
      <c r="C1158" s="18"/>
      <c r="D1158" s="18"/>
      <c r="E1158" s="18"/>
      <c r="F1158" s="18"/>
      <c r="G1158" s="3"/>
      <c r="H1158" s="3"/>
      <c r="I1158" s="39"/>
      <c r="K1158" s="22"/>
      <c r="L1158" s="9"/>
      <c r="M1158" s="9"/>
      <c r="N1158" s="9"/>
      <c r="O1158" s="9"/>
    </row>
    <row r="1159" spans="1:15" x14ac:dyDescent="0.2">
      <c r="A1159" s="18"/>
      <c r="B1159" s="18"/>
      <c r="C1159" s="18"/>
      <c r="D1159" s="18"/>
      <c r="E1159" s="18"/>
      <c r="F1159" s="18"/>
      <c r="G1159" s="3"/>
      <c r="H1159" s="3"/>
      <c r="I1159" s="39"/>
      <c r="K1159" s="22"/>
      <c r="L1159" s="9"/>
      <c r="M1159" s="9"/>
      <c r="N1159" s="9"/>
      <c r="O1159" s="9"/>
    </row>
    <row r="1160" spans="1:15" x14ac:dyDescent="0.2">
      <c r="A1160" s="18"/>
      <c r="B1160" s="18"/>
      <c r="C1160" s="18"/>
      <c r="D1160" s="18"/>
      <c r="E1160" s="18"/>
      <c r="F1160" s="18"/>
      <c r="G1160" s="3"/>
      <c r="H1160" s="3"/>
      <c r="I1160" s="39"/>
      <c r="K1160" s="22"/>
      <c r="L1160" s="9"/>
      <c r="M1160" s="9"/>
      <c r="N1160" s="9"/>
      <c r="O1160" s="9"/>
    </row>
    <row r="1161" spans="1:15" x14ac:dyDescent="0.2">
      <c r="A1161" s="18"/>
      <c r="B1161" s="18"/>
      <c r="C1161" s="18"/>
      <c r="D1161" s="18"/>
      <c r="E1161" s="18"/>
      <c r="F1161" s="18"/>
      <c r="G1161" s="3"/>
      <c r="H1161" s="3"/>
      <c r="I1161" s="39"/>
      <c r="K1161" s="22"/>
      <c r="L1161" s="9"/>
      <c r="M1161" s="9"/>
      <c r="N1161" s="9"/>
      <c r="O1161" s="9"/>
    </row>
    <row r="1162" spans="1:15" x14ac:dyDescent="0.2">
      <c r="A1162" s="18"/>
      <c r="B1162" s="18"/>
      <c r="C1162" s="18"/>
      <c r="D1162" s="18"/>
      <c r="E1162" s="18"/>
      <c r="F1162" s="18"/>
      <c r="G1162" s="3"/>
      <c r="H1162" s="3"/>
      <c r="I1162" s="39"/>
      <c r="K1162" s="22"/>
      <c r="L1162" s="9"/>
      <c r="M1162" s="9"/>
      <c r="N1162" s="9"/>
      <c r="O1162" s="9"/>
    </row>
    <row r="1163" spans="1:15" x14ac:dyDescent="0.2">
      <c r="A1163" s="18"/>
      <c r="B1163" s="18"/>
      <c r="C1163" s="18"/>
      <c r="D1163" s="18"/>
      <c r="E1163" s="18"/>
      <c r="F1163" s="18"/>
      <c r="G1163" s="3"/>
      <c r="H1163" s="3"/>
      <c r="I1163" s="39"/>
      <c r="K1163" s="22"/>
      <c r="L1163" s="9"/>
      <c r="M1163" s="9"/>
      <c r="N1163" s="9"/>
      <c r="O1163" s="9"/>
    </row>
    <row r="1164" spans="1:15" x14ac:dyDescent="0.2">
      <c r="A1164" s="18"/>
      <c r="B1164" s="18"/>
      <c r="C1164" s="18"/>
      <c r="D1164" s="18"/>
      <c r="E1164" s="18"/>
      <c r="F1164" s="18"/>
      <c r="G1164" s="3"/>
      <c r="H1164" s="3"/>
      <c r="I1164" s="39"/>
      <c r="K1164" s="22"/>
      <c r="L1164" s="9"/>
      <c r="M1164" s="9"/>
      <c r="N1164" s="9"/>
      <c r="O1164" s="9"/>
    </row>
    <row r="1165" spans="1:15" x14ac:dyDescent="0.2">
      <c r="A1165" s="18"/>
      <c r="B1165" s="18"/>
      <c r="C1165" s="18"/>
      <c r="D1165" s="18"/>
      <c r="E1165" s="18"/>
      <c r="F1165" s="18"/>
      <c r="G1165" s="3"/>
      <c r="H1165" s="3"/>
      <c r="I1165" s="39"/>
      <c r="K1165" s="22"/>
      <c r="L1165" s="9"/>
      <c r="M1165" s="9"/>
      <c r="N1165" s="9"/>
      <c r="O1165" s="9"/>
    </row>
    <row r="1166" spans="1:15" x14ac:dyDescent="0.2">
      <c r="A1166" s="18"/>
      <c r="B1166" s="18"/>
      <c r="C1166" s="18"/>
      <c r="D1166" s="18"/>
      <c r="E1166" s="18"/>
      <c r="F1166" s="18"/>
      <c r="G1166" s="3"/>
      <c r="H1166" s="3"/>
      <c r="I1166" s="39"/>
      <c r="K1166" s="22"/>
      <c r="L1166" s="9"/>
      <c r="M1166" s="9"/>
      <c r="N1166" s="9"/>
      <c r="O1166" s="9"/>
    </row>
    <row r="1167" spans="1:15" x14ac:dyDescent="0.2">
      <c r="A1167" s="18"/>
      <c r="B1167" s="18"/>
      <c r="C1167" s="18"/>
      <c r="D1167" s="18"/>
      <c r="E1167" s="18"/>
      <c r="F1167" s="18"/>
      <c r="G1167" s="3"/>
      <c r="H1167" s="3"/>
      <c r="I1167" s="39"/>
      <c r="K1167" s="22"/>
      <c r="L1167" s="9"/>
      <c r="M1167" s="9"/>
      <c r="N1167" s="9"/>
      <c r="O1167" s="9"/>
    </row>
    <row r="1168" spans="1:15" x14ac:dyDescent="0.2">
      <c r="A1168" s="18"/>
      <c r="B1168" s="18"/>
      <c r="C1168" s="18"/>
      <c r="D1168" s="18"/>
      <c r="E1168" s="18"/>
      <c r="F1168" s="18"/>
      <c r="G1168" s="3"/>
      <c r="H1168" s="3"/>
      <c r="I1168" s="39"/>
      <c r="K1168" s="22"/>
      <c r="L1168" s="9"/>
      <c r="M1168" s="9"/>
      <c r="N1168" s="9"/>
      <c r="O1168" s="9"/>
    </row>
    <row r="1169" spans="1:15" x14ac:dyDescent="0.2">
      <c r="A1169" s="18"/>
      <c r="B1169" s="18"/>
      <c r="C1169" s="18"/>
      <c r="D1169" s="18"/>
      <c r="E1169" s="18"/>
      <c r="F1169" s="18"/>
      <c r="G1169" s="3"/>
      <c r="H1169" s="3"/>
      <c r="I1169" s="39"/>
      <c r="K1169" s="22"/>
      <c r="L1169" s="9"/>
      <c r="M1169" s="9"/>
      <c r="N1169" s="9"/>
      <c r="O1169" s="9"/>
    </row>
    <row r="1170" spans="1:15" x14ac:dyDescent="0.2">
      <c r="A1170" s="18"/>
      <c r="B1170" s="18"/>
      <c r="C1170" s="18"/>
      <c r="D1170" s="18"/>
      <c r="E1170" s="18"/>
      <c r="F1170" s="18"/>
      <c r="G1170" s="3"/>
      <c r="H1170" s="3"/>
      <c r="I1170" s="39"/>
      <c r="K1170" s="22"/>
      <c r="L1170" s="9"/>
      <c r="M1170" s="9"/>
      <c r="N1170" s="9"/>
      <c r="O1170" s="9"/>
    </row>
    <row r="1171" spans="1:15" x14ac:dyDescent="0.2">
      <c r="A1171" s="18"/>
      <c r="B1171" s="18"/>
      <c r="C1171" s="18"/>
      <c r="D1171" s="18"/>
      <c r="E1171" s="18"/>
      <c r="F1171" s="18"/>
      <c r="G1171" s="3"/>
      <c r="H1171" s="3"/>
      <c r="I1171" s="39"/>
      <c r="K1171" s="22"/>
      <c r="L1171" s="9"/>
      <c r="M1171" s="9"/>
      <c r="N1171" s="9"/>
      <c r="O1171" s="9"/>
    </row>
    <row r="1172" spans="1:15" x14ac:dyDescent="0.2">
      <c r="A1172" s="18"/>
      <c r="B1172" s="18"/>
      <c r="C1172" s="18"/>
      <c r="D1172" s="18"/>
      <c r="E1172" s="18"/>
      <c r="F1172" s="18"/>
      <c r="G1172" s="3"/>
      <c r="H1172" s="3"/>
      <c r="I1172" s="39"/>
      <c r="K1172" s="22"/>
      <c r="L1172" s="9"/>
      <c r="M1172" s="9"/>
      <c r="N1172" s="9"/>
      <c r="O1172" s="9"/>
    </row>
    <row r="1173" spans="1:15" x14ac:dyDescent="0.2">
      <c r="A1173" s="18"/>
      <c r="B1173" s="18"/>
      <c r="C1173" s="18"/>
      <c r="D1173" s="18"/>
      <c r="E1173" s="18"/>
      <c r="F1173" s="18"/>
      <c r="G1173" s="3"/>
      <c r="H1173" s="3"/>
      <c r="I1173" s="39"/>
      <c r="K1173" s="22"/>
      <c r="L1173" s="9"/>
      <c r="M1173" s="9"/>
      <c r="N1173" s="9"/>
      <c r="O1173" s="9"/>
    </row>
    <row r="1174" spans="1:15" x14ac:dyDescent="0.2">
      <c r="A1174" s="18"/>
      <c r="B1174" s="18"/>
      <c r="C1174" s="18"/>
      <c r="D1174" s="18"/>
      <c r="E1174" s="18"/>
      <c r="F1174" s="18"/>
      <c r="G1174" s="3"/>
      <c r="H1174" s="3"/>
      <c r="I1174" s="39"/>
      <c r="K1174" s="22"/>
      <c r="L1174" s="9"/>
      <c r="M1174" s="9"/>
      <c r="N1174" s="9"/>
      <c r="O1174" s="9"/>
    </row>
    <row r="1175" spans="1:15" x14ac:dyDescent="0.2">
      <c r="A1175" s="18"/>
      <c r="B1175" s="18"/>
      <c r="C1175" s="18"/>
      <c r="D1175" s="18"/>
      <c r="E1175" s="18"/>
      <c r="F1175" s="18"/>
      <c r="G1175" s="3"/>
      <c r="H1175" s="3"/>
      <c r="I1175" s="39"/>
      <c r="K1175" s="22"/>
      <c r="L1175" s="9"/>
      <c r="M1175" s="9"/>
      <c r="N1175" s="9"/>
      <c r="O1175" s="9"/>
    </row>
    <row r="1176" spans="1:15" x14ac:dyDescent="0.2">
      <c r="A1176" s="18"/>
      <c r="B1176" s="18"/>
      <c r="C1176" s="18"/>
      <c r="D1176" s="18"/>
      <c r="E1176" s="18"/>
      <c r="F1176" s="18"/>
      <c r="G1176" s="3"/>
      <c r="H1176" s="3"/>
      <c r="I1176" s="39"/>
      <c r="K1176" s="22"/>
      <c r="L1176" s="9"/>
      <c r="M1176" s="9"/>
      <c r="N1176" s="9"/>
      <c r="O1176" s="9"/>
    </row>
    <row r="1177" spans="1:15" x14ac:dyDescent="0.2">
      <c r="A1177" s="18"/>
      <c r="B1177" s="18"/>
      <c r="C1177" s="18"/>
      <c r="D1177" s="18"/>
      <c r="E1177" s="18"/>
      <c r="F1177" s="18"/>
      <c r="G1177" s="3"/>
      <c r="H1177" s="3"/>
      <c r="I1177" s="39"/>
      <c r="K1177" s="22"/>
      <c r="L1177" s="9"/>
      <c r="M1177" s="9"/>
      <c r="N1177" s="9"/>
      <c r="O1177" s="9"/>
    </row>
    <row r="1178" spans="1:15" x14ac:dyDescent="0.2">
      <c r="A1178" s="18"/>
      <c r="B1178" s="18"/>
      <c r="C1178" s="18"/>
      <c r="D1178" s="18"/>
      <c r="E1178" s="18"/>
      <c r="F1178" s="18"/>
      <c r="G1178" s="3"/>
      <c r="H1178" s="3"/>
      <c r="I1178" s="39"/>
      <c r="K1178" s="22"/>
      <c r="L1178" s="9"/>
      <c r="M1178" s="9"/>
      <c r="N1178" s="9"/>
      <c r="O1178" s="9"/>
    </row>
    <row r="1179" spans="1:15" x14ac:dyDescent="0.2">
      <c r="A1179" s="18"/>
      <c r="B1179" s="18"/>
      <c r="C1179" s="18"/>
      <c r="D1179" s="18"/>
      <c r="E1179" s="18"/>
      <c r="F1179" s="18"/>
      <c r="G1179" s="3"/>
      <c r="H1179" s="3"/>
      <c r="I1179" s="39"/>
      <c r="K1179" s="22"/>
      <c r="L1179" s="9"/>
      <c r="M1179" s="9"/>
      <c r="N1179" s="9"/>
      <c r="O1179" s="9"/>
    </row>
    <row r="1180" spans="1:15" x14ac:dyDescent="0.2">
      <c r="A1180" s="18"/>
      <c r="B1180" s="18"/>
      <c r="C1180" s="18"/>
      <c r="D1180" s="18"/>
      <c r="E1180" s="18"/>
      <c r="F1180" s="18"/>
      <c r="G1180" s="3"/>
      <c r="H1180" s="3"/>
      <c r="I1180" s="39"/>
      <c r="K1180" s="22"/>
      <c r="L1180" s="9"/>
      <c r="M1180" s="9"/>
      <c r="N1180" s="9"/>
      <c r="O1180" s="9"/>
    </row>
    <row r="1181" spans="1:15" x14ac:dyDescent="0.2">
      <c r="A1181" s="18"/>
      <c r="B1181" s="18"/>
      <c r="C1181" s="18"/>
      <c r="D1181" s="18"/>
      <c r="E1181" s="18"/>
      <c r="F1181" s="18"/>
      <c r="G1181" s="3"/>
      <c r="H1181" s="3"/>
      <c r="I1181" s="39"/>
      <c r="K1181" s="22"/>
      <c r="L1181" s="9"/>
      <c r="M1181" s="9"/>
      <c r="N1181" s="9"/>
      <c r="O1181" s="9"/>
    </row>
    <row r="1182" spans="1:15" x14ac:dyDescent="0.2">
      <c r="A1182" s="18"/>
      <c r="B1182" s="18"/>
      <c r="C1182" s="18"/>
      <c r="D1182" s="18"/>
      <c r="E1182" s="18"/>
      <c r="F1182" s="18"/>
      <c r="G1182" s="3"/>
      <c r="H1182" s="3"/>
      <c r="I1182" s="39"/>
      <c r="K1182" s="22"/>
      <c r="L1182" s="9"/>
      <c r="M1182" s="9"/>
      <c r="N1182" s="9"/>
      <c r="O1182" s="9"/>
    </row>
    <row r="1183" spans="1:15" x14ac:dyDescent="0.2">
      <c r="A1183" s="18"/>
      <c r="B1183" s="18"/>
      <c r="C1183" s="18"/>
      <c r="D1183" s="18"/>
      <c r="E1183" s="18"/>
      <c r="F1183" s="18"/>
      <c r="G1183" s="3"/>
      <c r="H1183" s="3"/>
      <c r="I1183" s="39"/>
      <c r="K1183" s="22"/>
      <c r="L1183" s="9"/>
      <c r="M1183" s="9"/>
      <c r="N1183" s="9"/>
      <c r="O1183" s="9"/>
    </row>
    <row r="1184" spans="1:15" x14ac:dyDescent="0.2">
      <c r="A1184" s="18"/>
      <c r="B1184" s="18"/>
      <c r="C1184" s="18"/>
      <c r="D1184" s="18"/>
      <c r="E1184" s="18"/>
      <c r="F1184" s="18"/>
      <c r="G1184" s="3"/>
      <c r="H1184" s="3"/>
      <c r="I1184" s="39"/>
      <c r="K1184" s="22"/>
      <c r="L1184" s="9"/>
      <c r="M1184" s="9"/>
      <c r="N1184" s="9"/>
      <c r="O1184" s="9"/>
    </row>
    <row r="1185" spans="1:15" x14ac:dyDescent="0.2">
      <c r="A1185" s="18"/>
      <c r="B1185" s="18"/>
      <c r="C1185" s="18"/>
      <c r="D1185" s="18"/>
      <c r="E1185" s="18"/>
      <c r="F1185" s="18"/>
      <c r="G1185" s="3"/>
      <c r="H1185" s="3"/>
      <c r="I1185" s="39"/>
      <c r="K1185" s="22"/>
      <c r="L1185" s="9"/>
      <c r="M1185" s="9"/>
      <c r="N1185" s="9"/>
      <c r="O1185" s="9"/>
    </row>
    <row r="1186" spans="1:15" x14ac:dyDescent="0.2">
      <c r="A1186" s="18"/>
      <c r="B1186" s="18"/>
      <c r="C1186" s="18"/>
      <c r="D1186" s="18"/>
      <c r="E1186" s="18"/>
      <c r="F1186" s="18"/>
      <c r="G1186" s="3"/>
      <c r="H1186" s="3"/>
      <c r="I1186" s="39"/>
      <c r="K1186" s="22"/>
      <c r="L1186" s="9"/>
      <c r="M1186" s="9"/>
      <c r="N1186" s="9"/>
      <c r="O1186" s="9"/>
    </row>
    <row r="1187" spans="1:15" x14ac:dyDescent="0.2">
      <c r="A1187" s="18"/>
      <c r="B1187" s="18"/>
      <c r="C1187" s="18"/>
      <c r="D1187" s="18"/>
      <c r="E1187" s="18"/>
      <c r="F1187" s="18"/>
      <c r="G1187" s="3"/>
      <c r="H1187" s="3"/>
      <c r="I1187" s="39"/>
      <c r="K1187" s="22"/>
      <c r="L1187" s="9"/>
      <c r="M1187" s="9"/>
      <c r="N1187" s="9"/>
      <c r="O1187" s="9"/>
    </row>
    <row r="1188" spans="1:15" x14ac:dyDescent="0.2">
      <c r="A1188" s="18"/>
      <c r="B1188" s="18"/>
      <c r="C1188" s="18"/>
      <c r="D1188" s="18"/>
      <c r="E1188" s="18"/>
      <c r="F1188" s="18"/>
      <c r="G1188" s="3"/>
      <c r="H1188" s="3"/>
      <c r="I1188" s="39"/>
      <c r="K1188" s="22"/>
      <c r="L1188" s="9"/>
      <c r="M1188" s="9"/>
      <c r="N1188" s="9"/>
      <c r="O1188" s="9"/>
    </row>
    <row r="1189" spans="1:15" x14ac:dyDescent="0.2">
      <c r="A1189" s="18"/>
      <c r="B1189" s="18"/>
      <c r="C1189" s="18"/>
      <c r="D1189" s="18"/>
      <c r="E1189" s="18"/>
      <c r="F1189" s="18"/>
      <c r="G1189" s="3"/>
      <c r="H1189" s="3"/>
      <c r="I1189" s="39"/>
      <c r="K1189" s="22"/>
      <c r="L1189" s="9"/>
      <c r="M1189" s="9"/>
      <c r="N1189" s="9"/>
      <c r="O1189" s="9"/>
    </row>
    <row r="1190" spans="1:15" x14ac:dyDescent="0.2">
      <c r="A1190" s="18"/>
      <c r="B1190" s="18"/>
      <c r="C1190" s="18"/>
      <c r="D1190" s="18"/>
      <c r="E1190" s="18"/>
      <c r="F1190" s="18"/>
      <c r="G1190" s="3"/>
      <c r="H1190" s="3"/>
      <c r="I1190" s="39"/>
      <c r="K1190" s="22"/>
      <c r="L1190" s="9"/>
      <c r="M1190" s="9"/>
      <c r="N1190" s="9"/>
      <c r="O1190" s="9"/>
    </row>
    <row r="1191" spans="1:15" x14ac:dyDescent="0.2">
      <c r="A1191" s="18"/>
      <c r="B1191" s="18"/>
      <c r="C1191" s="18"/>
      <c r="D1191" s="18"/>
      <c r="E1191" s="18"/>
      <c r="F1191" s="18"/>
      <c r="G1191" s="3"/>
      <c r="H1191" s="3"/>
      <c r="I1191" s="39"/>
      <c r="K1191" s="22"/>
      <c r="L1191" s="9"/>
      <c r="M1191" s="9"/>
      <c r="N1191" s="9"/>
      <c r="O1191" s="9"/>
    </row>
    <row r="1192" spans="1:15" x14ac:dyDescent="0.2">
      <c r="A1192" s="18"/>
      <c r="B1192" s="18"/>
      <c r="C1192" s="18"/>
      <c r="D1192" s="18"/>
      <c r="E1192" s="18"/>
      <c r="F1192" s="18"/>
      <c r="G1192" s="3"/>
      <c r="H1192" s="3"/>
      <c r="I1192" s="39"/>
      <c r="K1192" s="22"/>
      <c r="L1192" s="9"/>
      <c r="M1192" s="9"/>
      <c r="N1192" s="9"/>
      <c r="O1192" s="9"/>
    </row>
    <row r="1193" spans="1:15" x14ac:dyDescent="0.2">
      <c r="A1193" s="18"/>
      <c r="B1193" s="18"/>
      <c r="C1193" s="18"/>
      <c r="D1193" s="18"/>
      <c r="E1193" s="18"/>
      <c r="F1193" s="18"/>
      <c r="G1193" s="3"/>
      <c r="H1193" s="3"/>
      <c r="I1193" s="39"/>
      <c r="K1193" s="22"/>
      <c r="L1193" s="9"/>
      <c r="M1193" s="9"/>
      <c r="N1193" s="9"/>
      <c r="O1193" s="9"/>
    </row>
    <row r="1194" spans="1:15" x14ac:dyDescent="0.2">
      <c r="A1194" s="18"/>
      <c r="B1194" s="18"/>
      <c r="C1194" s="18"/>
      <c r="D1194" s="18"/>
      <c r="E1194" s="18"/>
      <c r="F1194" s="18"/>
      <c r="G1194" s="3"/>
      <c r="H1194" s="3"/>
      <c r="I1194" s="39"/>
      <c r="K1194" s="22"/>
      <c r="L1194" s="9"/>
      <c r="M1194" s="9"/>
      <c r="N1194" s="9"/>
      <c r="O1194" s="9"/>
    </row>
    <row r="1195" spans="1:15" x14ac:dyDescent="0.2">
      <c r="A1195" s="18"/>
      <c r="B1195" s="18"/>
      <c r="C1195" s="18"/>
      <c r="D1195" s="18"/>
      <c r="E1195" s="18"/>
      <c r="F1195" s="18"/>
      <c r="G1195" s="3"/>
      <c r="H1195" s="3"/>
      <c r="I1195" s="39"/>
      <c r="K1195" s="22"/>
      <c r="L1195" s="9"/>
      <c r="M1195" s="9"/>
      <c r="N1195" s="9"/>
      <c r="O1195" s="9"/>
    </row>
    <row r="1196" spans="1:15" x14ac:dyDescent="0.2">
      <c r="A1196" s="18"/>
      <c r="B1196" s="18"/>
      <c r="C1196" s="18"/>
      <c r="D1196" s="18"/>
      <c r="E1196" s="18"/>
      <c r="F1196" s="18"/>
      <c r="G1196" s="3"/>
      <c r="H1196" s="3"/>
      <c r="I1196" s="39"/>
      <c r="K1196" s="22"/>
      <c r="L1196" s="9"/>
      <c r="M1196" s="9"/>
      <c r="N1196" s="9"/>
      <c r="O1196" s="9"/>
    </row>
    <row r="1197" spans="1:15" x14ac:dyDescent="0.2">
      <c r="A1197" s="18"/>
      <c r="B1197" s="18"/>
      <c r="C1197" s="18"/>
      <c r="D1197" s="18"/>
      <c r="E1197" s="18"/>
      <c r="F1197" s="18"/>
      <c r="G1197" s="3"/>
      <c r="H1197" s="3"/>
      <c r="I1197" s="39"/>
      <c r="K1197" s="22"/>
      <c r="L1197" s="9"/>
      <c r="M1197" s="9"/>
      <c r="N1197" s="9"/>
      <c r="O1197" s="9"/>
    </row>
    <row r="1198" spans="1:15" x14ac:dyDescent="0.2">
      <c r="A1198" s="18"/>
      <c r="B1198" s="18"/>
      <c r="C1198" s="18"/>
      <c r="D1198" s="18"/>
      <c r="E1198" s="18"/>
      <c r="F1198" s="18"/>
      <c r="G1198" s="3"/>
      <c r="H1198" s="3"/>
      <c r="I1198" s="39"/>
      <c r="K1198" s="22"/>
      <c r="L1198" s="9"/>
      <c r="M1198" s="9"/>
      <c r="N1198" s="9"/>
      <c r="O1198" s="9"/>
    </row>
    <row r="1199" spans="1:15" x14ac:dyDescent="0.2">
      <c r="A1199" s="18"/>
      <c r="B1199" s="18"/>
      <c r="C1199" s="18"/>
      <c r="D1199" s="18"/>
      <c r="E1199" s="18"/>
      <c r="F1199" s="18"/>
      <c r="G1199" s="3"/>
      <c r="H1199" s="3"/>
      <c r="I1199" s="39"/>
      <c r="K1199" s="22"/>
      <c r="L1199" s="9"/>
      <c r="M1199" s="9"/>
      <c r="N1199" s="9"/>
      <c r="O1199" s="9"/>
    </row>
    <row r="1200" spans="1:15" x14ac:dyDescent="0.2">
      <c r="A1200" s="18"/>
      <c r="B1200" s="18"/>
      <c r="C1200" s="18"/>
      <c r="D1200" s="18"/>
      <c r="E1200" s="18"/>
      <c r="F1200" s="18"/>
      <c r="G1200" s="3"/>
      <c r="H1200" s="3"/>
      <c r="I1200" s="39"/>
      <c r="K1200" s="22"/>
      <c r="L1200" s="9"/>
      <c r="M1200" s="9"/>
      <c r="N1200" s="9"/>
      <c r="O1200" s="9"/>
    </row>
    <row r="1201" spans="1:15" x14ac:dyDescent="0.2">
      <c r="A1201" s="18"/>
      <c r="B1201" s="18"/>
      <c r="C1201" s="18"/>
      <c r="D1201" s="18"/>
      <c r="E1201" s="18"/>
      <c r="F1201" s="18"/>
      <c r="G1201" s="3"/>
      <c r="H1201" s="3"/>
      <c r="I1201" s="39"/>
      <c r="K1201" s="22"/>
      <c r="L1201" s="9"/>
      <c r="M1201" s="9"/>
      <c r="N1201" s="9"/>
      <c r="O1201" s="9"/>
    </row>
    <row r="1202" spans="1:15" x14ac:dyDescent="0.2">
      <c r="A1202" s="18"/>
      <c r="B1202" s="18"/>
      <c r="C1202" s="18"/>
      <c r="D1202" s="18"/>
      <c r="E1202" s="18"/>
      <c r="F1202" s="18"/>
      <c r="G1202" s="3"/>
      <c r="H1202" s="3"/>
      <c r="I1202" s="39"/>
      <c r="K1202" s="22"/>
      <c r="L1202" s="9"/>
      <c r="M1202" s="9"/>
      <c r="N1202" s="9"/>
      <c r="O1202" s="9"/>
    </row>
    <row r="1203" spans="1:15" x14ac:dyDescent="0.2">
      <c r="A1203" s="18"/>
      <c r="B1203" s="18"/>
      <c r="C1203" s="18"/>
      <c r="D1203" s="18"/>
      <c r="E1203" s="18"/>
      <c r="F1203" s="18"/>
      <c r="G1203" s="3"/>
      <c r="H1203" s="3"/>
      <c r="I1203" s="39"/>
      <c r="K1203" s="22"/>
      <c r="L1203" s="9"/>
      <c r="M1203" s="9"/>
      <c r="N1203" s="9"/>
      <c r="O1203" s="9"/>
    </row>
    <row r="1204" spans="1:15" x14ac:dyDescent="0.2">
      <c r="A1204" s="18"/>
      <c r="B1204" s="18"/>
      <c r="C1204" s="18"/>
      <c r="D1204" s="18"/>
      <c r="E1204" s="18"/>
      <c r="F1204" s="18"/>
      <c r="G1204" s="3"/>
      <c r="H1204" s="3"/>
      <c r="I1204" s="39"/>
      <c r="K1204" s="22"/>
      <c r="L1204" s="9"/>
      <c r="M1204" s="9"/>
      <c r="N1204" s="9"/>
      <c r="O1204" s="9"/>
    </row>
    <row r="1205" spans="1:15" x14ac:dyDescent="0.2">
      <c r="A1205" s="18"/>
      <c r="B1205" s="18"/>
      <c r="C1205" s="18"/>
      <c r="D1205" s="18"/>
      <c r="E1205" s="18"/>
      <c r="F1205" s="18"/>
      <c r="G1205" s="3"/>
      <c r="H1205" s="3"/>
      <c r="I1205" s="39"/>
      <c r="K1205" s="22"/>
      <c r="L1205" s="9"/>
      <c r="M1205" s="9"/>
      <c r="N1205" s="9"/>
      <c r="O1205" s="9"/>
    </row>
    <row r="1206" spans="1:15" x14ac:dyDescent="0.2">
      <c r="A1206" s="18"/>
      <c r="B1206" s="18"/>
      <c r="C1206" s="18"/>
      <c r="D1206" s="18"/>
      <c r="E1206" s="18"/>
      <c r="F1206" s="18"/>
      <c r="G1206" s="3"/>
      <c r="H1206" s="3"/>
      <c r="I1206" s="39"/>
      <c r="K1206" s="22"/>
      <c r="L1206" s="9"/>
      <c r="M1206" s="9"/>
      <c r="N1206" s="9"/>
      <c r="O1206" s="9"/>
    </row>
    <row r="1207" spans="1:15" x14ac:dyDescent="0.2">
      <c r="A1207" s="18"/>
      <c r="B1207" s="18"/>
      <c r="C1207" s="18"/>
      <c r="D1207" s="18"/>
      <c r="E1207" s="18"/>
      <c r="F1207" s="18"/>
      <c r="G1207" s="3"/>
      <c r="H1207" s="3"/>
      <c r="I1207" s="39"/>
      <c r="K1207" s="22"/>
      <c r="L1207" s="9"/>
      <c r="M1207" s="9"/>
      <c r="N1207" s="9"/>
      <c r="O1207" s="9"/>
    </row>
    <row r="1208" spans="1:15" x14ac:dyDescent="0.2">
      <c r="A1208" s="18"/>
      <c r="B1208" s="18"/>
      <c r="C1208" s="18"/>
      <c r="D1208" s="18"/>
      <c r="E1208" s="18"/>
      <c r="F1208" s="18"/>
      <c r="G1208" s="3"/>
      <c r="H1208" s="3"/>
      <c r="I1208" s="39"/>
      <c r="K1208" s="22"/>
      <c r="L1208" s="9"/>
      <c r="M1208" s="9"/>
      <c r="N1208" s="9"/>
      <c r="O1208" s="9"/>
    </row>
    <row r="1209" spans="1:15" x14ac:dyDescent="0.2">
      <c r="A1209" s="18"/>
      <c r="B1209" s="18"/>
      <c r="C1209" s="18"/>
      <c r="D1209" s="18"/>
      <c r="E1209" s="18"/>
      <c r="F1209" s="18"/>
      <c r="G1209" s="3"/>
      <c r="H1209" s="3"/>
      <c r="I1209" s="39"/>
      <c r="K1209" s="22"/>
      <c r="L1209" s="9"/>
      <c r="M1209" s="9"/>
      <c r="N1209" s="9"/>
      <c r="O1209" s="9"/>
    </row>
    <row r="1210" spans="1:15" x14ac:dyDescent="0.2">
      <c r="A1210" s="18"/>
      <c r="B1210" s="18"/>
      <c r="C1210" s="18"/>
      <c r="D1210" s="18"/>
      <c r="E1210" s="18"/>
      <c r="F1210" s="18"/>
      <c r="G1210" s="3"/>
      <c r="H1210" s="3"/>
      <c r="I1210" s="39"/>
      <c r="K1210" s="22"/>
      <c r="L1210" s="9"/>
      <c r="M1210" s="9"/>
      <c r="N1210" s="9"/>
      <c r="O1210" s="9"/>
    </row>
    <row r="1211" spans="1:15" x14ac:dyDescent="0.2">
      <c r="A1211" s="18"/>
      <c r="B1211" s="18"/>
      <c r="C1211" s="18"/>
      <c r="D1211" s="18"/>
      <c r="E1211" s="18"/>
      <c r="F1211" s="18"/>
      <c r="G1211" s="3"/>
      <c r="H1211" s="3"/>
      <c r="I1211" s="39"/>
      <c r="K1211" s="22"/>
      <c r="L1211" s="9"/>
      <c r="M1211" s="9"/>
      <c r="N1211" s="9"/>
      <c r="O1211" s="9"/>
    </row>
    <row r="1212" spans="1:15" x14ac:dyDescent="0.2">
      <c r="A1212" s="18"/>
      <c r="B1212" s="18"/>
      <c r="C1212" s="18"/>
      <c r="D1212" s="18"/>
      <c r="E1212" s="18"/>
      <c r="F1212" s="18"/>
      <c r="G1212" s="3"/>
      <c r="H1212" s="3"/>
      <c r="I1212" s="39"/>
      <c r="K1212" s="22"/>
      <c r="L1212" s="9"/>
      <c r="M1212" s="9"/>
      <c r="N1212" s="9"/>
      <c r="O1212" s="9"/>
    </row>
    <row r="1213" spans="1:15" x14ac:dyDescent="0.2">
      <c r="A1213" s="18"/>
      <c r="B1213" s="18"/>
      <c r="C1213" s="18"/>
      <c r="D1213" s="18"/>
      <c r="E1213" s="18"/>
      <c r="F1213" s="18"/>
      <c r="G1213" s="3"/>
      <c r="H1213" s="3"/>
      <c r="I1213" s="39"/>
      <c r="K1213" s="22"/>
      <c r="L1213" s="9"/>
      <c r="M1213" s="9"/>
      <c r="N1213" s="9"/>
      <c r="O1213" s="9"/>
    </row>
    <row r="1214" spans="1:15" x14ac:dyDescent="0.2">
      <c r="A1214" s="18"/>
      <c r="B1214" s="18"/>
      <c r="C1214" s="18"/>
      <c r="D1214" s="18"/>
      <c r="E1214" s="18"/>
      <c r="F1214" s="18"/>
      <c r="G1214" s="3"/>
      <c r="H1214" s="3"/>
      <c r="I1214" s="39"/>
      <c r="K1214" s="22"/>
      <c r="L1214" s="9"/>
      <c r="M1214" s="9"/>
      <c r="N1214" s="9"/>
      <c r="O1214" s="9"/>
    </row>
    <row r="1215" spans="1:15" x14ac:dyDescent="0.2">
      <c r="A1215" s="18"/>
      <c r="B1215" s="18"/>
      <c r="C1215" s="18"/>
      <c r="D1215" s="18"/>
      <c r="E1215" s="18"/>
      <c r="F1215" s="18"/>
      <c r="G1215" s="3"/>
      <c r="H1215" s="3"/>
      <c r="I1215" s="39"/>
      <c r="K1215" s="22"/>
      <c r="L1215" s="9"/>
      <c r="M1215" s="9"/>
      <c r="N1215" s="9"/>
      <c r="O1215" s="9"/>
    </row>
    <row r="1216" spans="1:15" x14ac:dyDescent="0.2">
      <c r="A1216" s="18"/>
      <c r="B1216" s="18"/>
      <c r="C1216" s="18"/>
      <c r="D1216" s="18"/>
      <c r="E1216" s="18"/>
      <c r="F1216" s="18"/>
      <c r="G1216" s="3"/>
      <c r="H1216" s="3"/>
      <c r="I1216" s="39"/>
      <c r="K1216" s="22"/>
      <c r="L1216" s="9"/>
      <c r="M1216" s="9"/>
      <c r="N1216" s="9"/>
      <c r="O1216" s="9"/>
    </row>
    <row r="1217" spans="1:15" x14ac:dyDescent="0.2">
      <c r="A1217" s="18"/>
      <c r="B1217" s="18"/>
      <c r="C1217" s="18"/>
      <c r="D1217" s="18"/>
      <c r="E1217" s="18"/>
      <c r="F1217" s="18"/>
      <c r="G1217" s="3"/>
      <c r="H1217" s="3"/>
      <c r="I1217" s="39"/>
      <c r="K1217" s="22"/>
      <c r="L1217" s="9"/>
      <c r="M1217" s="9"/>
      <c r="N1217" s="9"/>
      <c r="O1217" s="9"/>
    </row>
    <row r="1218" spans="1:15" x14ac:dyDescent="0.2">
      <c r="A1218" s="18"/>
      <c r="B1218" s="18"/>
      <c r="C1218" s="18"/>
      <c r="D1218" s="18"/>
      <c r="E1218" s="18"/>
      <c r="F1218" s="18"/>
      <c r="G1218" s="3"/>
      <c r="H1218" s="3"/>
      <c r="I1218" s="39"/>
      <c r="K1218" s="22"/>
      <c r="L1218" s="9"/>
      <c r="M1218" s="9"/>
      <c r="N1218" s="9"/>
      <c r="O1218" s="9"/>
    </row>
    <row r="1219" spans="1:15" x14ac:dyDescent="0.2">
      <c r="A1219" s="18"/>
      <c r="B1219" s="18"/>
      <c r="C1219" s="18"/>
      <c r="D1219" s="18"/>
      <c r="E1219" s="18"/>
      <c r="F1219" s="18"/>
      <c r="G1219" s="3"/>
      <c r="H1219" s="3"/>
      <c r="I1219" s="39"/>
      <c r="K1219" s="22"/>
      <c r="L1219" s="9"/>
      <c r="M1219" s="9"/>
      <c r="N1219" s="9"/>
      <c r="O1219" s="9"/>
    </row>
    <row r="1220" spans="1:15" x14ac:dyDescent="0.2">
      <c r="A1220" s="18"/>
      <c r="B1220" s="18"/>
      <c r="C1220" s="18"/>
      <c r="D1220" s="18"/>
      <c r="E1220" s="18"/>
      <c r="F1220" s="18"/>
      <c r="G1220" s="3"/>
      <c r="H1220" s="3"/>
      <c r="I1220" s="39"/>
      <c r="K1220" s="22"/>
      <c r="L1220" s="9"/>
      <c r="M1220" s="9"/>
      <c r="N1220" s="9"/>
      <c r="O1220" s="9"/>
    </row>
    <row r="1221" spans="1:15" x14ac:dyDescent="0.2">
      <c r="A1221" s="18"/>
      <c r="B1221" s="18"/>
      <c r="C1221" s="18"/>
      <c r="D1221" s="18"/>
      <c r="E1221" s="18"/>
      <c r="F1221" s="18"/>
      <c r="G1221" s="3"/>
      <c r="H1221" s="3"/>
      <c r="I1221" s="39"/>
      <c r="K1221" s="22"/>
      <c r="L1221" s="9"/>
      <c r="M1221" s="9"/>
      <c r="N1221" s="9"/>
      <c r="O1221" s="9"/>
    </row>
    <row r="1222" spans="1:15" x14ac:dyDescent="0.2">
      <c r="A1222" s="18"/>
      <c r="B1222" s="18"/>
      <c r="C1222" s="18"/>
      <c r="D1222" s="18"/>
      <c r="E1222" s="18"/>
      <c r="F1222" s="18"/>
      <c r="G1222" s="3"/>
      <c r="H1222" s="3"/>
      <c r="I1222" s="39"/>
      <c r="K1222" s="22"/>
      <c r="L1222" s="9"/>
      <c r="M1222" s="9"/>
      <c r="N1222" s="9"/>
      <c r="O1222" s="9"/>
    </row>
    <row r="1223" spans="1:15" x14ac:dyDescent="0.2">
      <c r="A1223" s="18"/>
      <c r="B1223" s="18"/>
      <c r="C1223" s="18"/>
      <c r="D1223" s="18"/>
      <c r="E1223" s="18"/>
      <c r="F1223" s="18"/>
      <c r="G1223" s="3"/>
      <c r="H1223" s="3"/>
      <c r="I1223" s="39"/>
      <c r="K1223" s="22"/>
      <c r="L1223" s="9"/>
      <c r="M1223" s="9"/>
      <c r="N1223" s="9"/>
      <c r="O1223" s="9"/>
    </row>
    <row r="1224" spans="1:15" x14ac:dyDescent="0.2">
      <c r="A1224" s="18"/>
      <c r="B1224" s="18"/>
      <c r="C1224" s="18"/>
      <c r="D1224" s="18"/>
      <c r="E1224" s="18"/>
      <c r="F1224" s="18"/>
      <c r="G1224" s="3"/>
      <c r="H1224" s="3"/>
      <c r="I1224" s="39"/>
      <c r="K1224" s="22"/>
      <c r="L1224" s="9"/>
      <c r="M1224" s="9"/>
      <c r="N1224" s="9"/>
      <c r="O1224" s="9"/>
    </row>
    <row r="1225" spans="1:15" x14ac:dyDescent="0.2">
      <c r="A1225" s="18"/>
      <c r="B1225" s="18"/>
      <c r="C1225" s="18"/>
      <c r="D1225" s="18"/>
      <c r="E1225" s="18"/>
      <c r="F1225" s="18"/>
      <c r="G1225" s="3"/>
      <c r="H1225" s="3"/>
      <c r="I1225" s="39"/>
      <c r="K1225" s="22"/>
      <c r="L1225" s="9"/>
      <c r="M1225" s="9"/>
      <c r="N1225" s="9"/>
      <c r="O1225" s="9"/>
    </row>
    <row r="1226" spans="1:15" x14ac:dyDescent="0.2">
      <c r="A1226" s="18"/>
      <c r="B1226" s="18"/>
      <c r="C1226" s="18"/>
      <c r="D1226" s="18"/>
      <c r="E1226" s="18"/>
      <c r="F1226" s="18"/>
      <c r="G1226" s="3"/>
      <c r="H1226" s="3"/>
      <c r="I1226" s="39"/>
      <c r="K1226" s="22"/>
      <c r="L1226" s="9"/>
      <c r="M1226" s="9"/>
      <c r="N1226" s="9"/>
      <c r="O1226" s="9"/>
    </row>
    <row r="1227" spans="1:15" x14ac:dyDescent="0.2">
      <c r="A1227" s="18"/>
      <c r="B1227" s="18"/>
      <c r="C1227" s="18"/>
      <c r="D1227" s="18"/>
      <c r="E1227" s="18"/>
      <c r="F1227" s="18"/>
      <c r="G1227" s="3"/>
      <c r="H1227" s="3"/>
      <c r="I1227" s="39"/>
      <c r="K1227" s="22"/>
      <c r="L1227" s="9"/>
      <c r="M1227" s="9"/>
      <c r="N1227" s="9"/>
      <c r="O1227" s="9"/>
    </row>
    <row r="1228" spans="1:15" x14ac:dyDescent="0.2">
      <c r="A1228" s="18"/>
      <c r="B1228" s="18"/>
      <c r="C1228" s="18"/>
      <c r="D1228" s="18"/>
      <c r="E1228" s="18"/>
      <c r="F1228" s="18"/>
      <c r="G1228" s="3"/>
      <c r="H1228" s="3"/>
      <c r="I1228" s="39"/>
      <c r="K1228" s="22"/>
      <c r="L1228" s="9"/>
      <c r="M1228" s="9"/>
      <c r="N1228" s="9"/>
      <c r="O1228" s="9"/>
    </row>
    <row r="1229" spans="1:15" x14ac:dyDescent="0.2">
      <c r="A1229" s="18"/>
      <c r="B1229" s="18"/>
      <c r="C1229" s="18"/>
      <c r="D1229" s="18"/>
      <c r="E1229" s="18"/>
      <c r="F1229" s="18"/>
      <c r="G1229" s="3"/>
      <c r="H1229" s="3"/>
      <c r="I1229" s="39"/>
      <c r="K1229" s="22"/>
      <c r="L1229" s="9"/>
      <c r="M1229" s="9"/>
      <c r="N1229" s="9"/>
      <c r="O1229" s="9"/>
    </row>
    <row r="1230" spans="1:15" x14ac:dyDescent="0.2">
      <c r="A1230" s="18"/>
      <c r="B1230" s="18"/>
      <c r="C1230" s="18"/>
      <c r="D1230" s="18"/>
      <c r="E1230" s="18"/>
      <c r="F1230" s="18"/>
      <c r="G1230" s="3"/>
      <c r="H1230" s="3"/>
      <c r="I1230" s="39"/>
      <c r="K1230" s="22"/>
      <c r="L1230" s="9"/>
      <c r="M1230" s="9"/>
      <c r="N1230" s="9"/>
      <c r="O1230" s="9"/>
    </row>
    <row r="1231" spans="1:15" x14ac:dyDescent="0.2">
      <c r="A1231" s="18"/>
      <c r="B1231" s="18"/>
      <c r="C1231" s="18"/>
      <c r="D1231" s="18"/>
      <c r="E1231" s="18"/>
      <c r="F1231" s="18"/>
      <c r="G1231" s="3"/>
      <c r="H1231" s="3"/>
      <c r="I1231" s="39"/>
      <c r="K1231" s="22"/>
      <c r="L1231" s="9"/>
      <c r="M1231" s="9"/>
      <c r="N1231" s="9"/>
      <c r="O1231" s="9"/>
    </row>
    <row r="1232" spans="1:15" x14ac:dyDescent="0.2">
      <c r="A1232" s="18"/>
      <c r="B1232" s="18"/>
      <c r="C1232" s="18"/>
      <c r="D1232" s="18"/>
      <c r="E1232" s="18"/>
      <c r="F1232" s="18"/>
      <c r="G1232" s="3"/>
      <c r="H1232" s="3"/>
      <c r="I1232" s="39"/>
      <c r="K1232" s="22"/>
      <c r="L1232" s="9"/>
      <c r="M1232" s="9"/>
      <c r="N1232" s="9"/>
      <c r="O1232" s="9"/>
    </row>
    <row r="1233" spans="1:15" x14ac:dyDescent="0.2">
      <c r="A1233" s="18"/>
      <c r="B1233" s="18"/>
      <c r="C1233" s="18"/>
      <c r="D1233" s="18"/>
      <c r="E1233" s="18"/>
      <c r="G1233" s="3"/>
      <c r="H1233" s="3"/>
      <c r="I1233" s="39"/>
      <c r="K1233" s="22"/>
      <c r="L1233" s="9"/>
      <c r="M1233" s="9"/>
      <c r="N1233" s="9"/>
      <c r="O1233" s="9"/>
    </row>
    <row r="1234" spans="1:15" x14ac:dyDescent="0.2">
      <c r="A1234" s="18"/>
      <c r="B1234" s="18"/>
      <c r="C1234" s="18"/>
      <c r="D1234" s="18"/>
      <c r="E1234" s="18"/>
      <c r="G1234" s="3"/>
      <c r="H1234" s="3"/>
      <c r="I1234" s="39"/>
      <c r="K1234" s="22"/>
      <c r="L1234" s="9"/>
      <c r="M1234" s="9"/>
      <c r="N1234" s="9"/>
      <c r="O1234" s="9"/>
    </row>
    <row r="1235" spans="1:15" x14ac:dyDescent="0.2">
      <c r="A1235" s="18"/>
      <c r="B1235" s="18"/>
      <c r="C1235" s="18"/>
      <c r="D1235" s="18"/>
      <c r="E1235" s="18"/>
      <c r="G1235" s="3"/>
      <c r="H1235" s="3"/>
      <c r="I1235" s="39"/>
      <c r="K1235" s="22"/>
      <c r="L1235" s="9"/>
      <c r="M1235" s="9"/>
      <c r="N1235" s="9"/>
      <c r="O1235" s="9"/>
    </row>
    <row r="1236" spans="1:15" x14ac:dyDescent="0.2">
      <c r="A1236" s="18"/>
      <c r="B1236" s="18"/>
      <c r="C1236" s="18"/>
      <c r="D1236" s="18"/>
      <c r="E1236" s="18"/>
      <c r="G1236" s="3"/>
      <c r="H1236" s="3"/>
      <c r="I1236" s="39"/>
      <c r="K1236" s="22"/>
      <c r="L1236" s="9"/>
      <c r="M1236" s="9"/>
      <c r="N1236" s="9"/>
      <c r="O1236" s="9"/>
    </row>
  </sheetData>
  <autoFilter ref="A1:J2">
    <filterColumn colId="6" showButton="0"/>
    <filterColumn colId="7" showButton="0"/>
  </autoFilter>
  <sortState ref="A4:J459">
    <sortCondition ref="B3:B459"/>
    <sortCondition ref="C3:C459"/>
    <sortCondition ref="E3:E459"/>
    <sortCondition ref="A3:A459" customList="-"/>
  </sortState>
  <mergeCells count="11">
    <mergeCell ref="U1:V1"/>
    <mergeCell ref="A1:A2"/>
    <mergeCell ref="F1:F2"/>
    <mergeCell ref="E1:E2"/>
    <mergeCell ref="D1:D2"/>
    <mergeCell ref="Q1:S1"/>
    <mergeCell ref="G1:I2"/>
    <mergeCell ref="J1:J2"/>
    <mergeCell ref="C1:C2"/>
    <mergeCell ref="B1:B2"/>
    <mergeCell ref="L1:O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/>
  <dimension ref="A1:J144"/>
  <sheetViews>
    <sheetView workbookViewId="0">
      <selection activeCell="A8" sqref="A8:J8"/>
    </sheetView>
  </sheetViews>
  <sheetFormatPr defaultRowHeight="12.75" x14ac:dyDescent="0.2"/>
  <cols>
    <col min="1" max="4" width="20.7109375" customWidth="1"/>
    <col min="5" max="5" width="30.7109375" customWidth="1"/>
  </cols>
  <sheetData>
    <row r="1" spans="1:10" ht="18.75" x14ac:dyDescent="0.2">
      <c r="A1" s="1496" t="s">
        <v>693</v>
      </c>
      <c r="B1" s="1496"/>
      <c r="C1" s="1496"/>
      <c r="D1" s="1496"/>
      <c r="E1" s="1496"/>
      <c r="F1" s="1496"/>
      <c r="G1" s="1496"/>
      <c r="H1" s="1496"/>
      <c r="I1" s="1496"/>
      <c r="J1" s="1496"/>
    </row>
    <row r="2" spans="1:10" ht="15.75" x14ac:dyDescent="0.2">
      <c r="A2" s="1493" t="s">
        <v>694</v>
      </c>
      <c r="B2" s="1493"/>
      <c r="C2" s="1493"/>
      <c r="D2" s="1493"/>
      <c r="E2" s="1493"/>
      <c r="F2" s="1493"/>
      <c r="G2" s="1493"/>
      <c r="H2" s="1493"/>
      <c r="I2" s="1493"/>
      <c r="J2" s="1493"/>
    </row>
    <row r="3" spans="1:10" ht="15.75" x14ac:dyDescent="0.2">
      <c r="A3" s="1495" t="s">
        <v>695</v>
      </c>
      <c r="B3" s="1495"/>
      <c r="C3" s="1495"/>
      <c r="D3" s="1495"/>
      <c r="E3" s="1495"/>
      <c r="F3" s="1495"/>
      <c r="G3" s="1495"/>
      <c r="H3" s="1495"/>
      <c r="I3" s="1495"/>
      <c r="J3" s="1495"/>
    </row>
    <row r="4" spans="1:10" s="983" customFormat="1" ht="15.75" x14ac:dyDescent="0.2">
      <c r="A4" s="1494" t="s">
        <v>696</v>
      </c>
      <c r="B4" s="1494"/>
      <c r="C4" s="1494"/>
      <c r="D4" s="1494"/>
      <c r="E4" s="1494"/>
      <c r="F4" s="1494"/>
      <c r="G4" s="1494"/>
      <c r="H4" s="1494"/>
      <c r="I4" s="1494"/>
      <c r="J4" s="1494"/>
    </row>
    <row r="5" spans="1:10" ht="15.75" customHeight="1" x14ac:dyDescent="0.2">
      <c r="A5" s="1494" t="s">
        <v>697</v>
      </c>
      <c r="B5" s="1494"/>
      <c r="C5" s="1494"/>
      <c r="D5" s="1494"/>
      <c r="E5" s="1494"/>
      <c r="F5" s="1494"/>
      <c r="G5" s="1494"/>
      <c r="H5" s="1494"/>
      <c r="I5" s="1494"/>
      <c r="J5" s="1494"/>
    </row>
    <row r="6" spans="1:10" ht="15.75" customHeight="1" x14ac:dyDescent="0.2">
      <c r="A6" s="1494"/>
      <c r="B6" s="1494"/>
      <c r="C6" s="1494"/>
      <c r="D6" s="1494"/>
      <c r="E6" s="1494"/>
      <c r="F6" s="1494"/>
      <c r="G6" s="1494"/>
      <c r="H6" s="1494"/>
      <c r="I6" s="1494"/>
      <c r="J6" s="1494"/>
    </row>
    <row r="7" spans="1:10" ht="15.75" x14ac:dyDescent="0.2">
      <c r="A7" s="1494" t="s">
        <v>698</v>
      </c>
      <c r="B7" s="1494"/>
      <c r="C7" s="1494"/>
      <c r="D7" s="1494"/>
      <c r="E7" s="1494"/>
      <c r="F7" s="1494"/>
      <c r="G7" s="1494"/>
      <c r="H7" s="1494"/>
      <c r="I7" s="1494"/>
      <c r="J7" s="1494"/>
    </row>
    <row r="8" spans="1:10" ht="15.75" x14ac:dyDescent="0.2">
      <c r="A8" s="1497" t="s">
        <v>720</v>
      </c>
      <c r="B8" s="1497"/>
      <c r="C8" s="1497"/>
      <c r="D8" s="1497"/>
      <c r="E8" s="1497"/>
      <c r="F8" s="1497"/>
      <c r="G8" s="1497"/>
      <c r="H8" s="1497"/>
      <c r="I8" s="1497"/>
      <c r="J8" s="1497"/>
    </row>
    <row r="9" spans="1:10" s="426" customFormat="1" ht="15.75" customHeight="1" x14ac:dyDescent="0.2">
      <c r="A9" s="1500" t="s">
        <v>1236</v>
      </c>
      <c r="B9" s="1500"/>
      <c r="C9" s="1500"/>
      <c r="D9" s="1500"/>
      <c r="E9" s="1500"/>
      <c r="F9" s="1500"/>
      <c r="G9" s="1500"/>
      <c r="H9" s="1500"/>
      <c r="I9" s="1500"/>
      <c r="J9" s="1500"/>
    </row>
    <row r="10" spans="1:10" s="426" customFormat="1" ht="15.75" customHeight="1" x14ac:dyDescent="0.2">
      <c r="A10" s="1500"/>
      <c r="B10" s="1500"/>
      <c r="C10" s="1500"/>
      <c r="D10" s="1500"/>
      <c r="E10" s="1500"/>
      <c r="F10" s="1500"/>
      <c r="G10" s="1500"/>
      <c r="H10" s="1500"/>
      <c r="I10" s="1500"/>
      <c r="J10" s="1500"/>
    </row>
    <row r="11" spans="1:10" ht="15.75" customHeight="1" x14ac:dyDescent="0.2">
      <c r="A11" s="1491" t="s">
        <v>1207</v>
      </c>
      <c r="B11" s="1491"/>
      <c r="C11" s="1491"/>
      <c r="D11" s="1491"/>
      <c r="E11" s="1491"/>
      <c r="F11" s="1491"/>
      <c r="G11" s="1491"/>
      <c r="H11" s="1491"/>
      <c r="I11" s="1491"/>
      <c r="J11" s="1491"/>
    </row>
    <row r="12" spans="1:10" ht="15.75" customHeight="1" x14ac:dyDescent="0.2">
      <c r="A12" s="1491"/>
      <c r="B12" s="1491"/>
      <c r="C12" s="1491"/>
      <c r="D12" s="1491"/>
      <c r="E12" s="1491"/>
      <c r="F12" s="1491"/>
      <c r="G12" s="1491"/>
      <c r="H12" s="1491"/>
      <c r="I12" s="1491"/>
      <c r="J12" s="1491"/>
    </row>
    <row r="13" spans="1:10" ht="15.75" x14ac:dyDescent="0.2">
      <c r="A13" s="1494" t="s">
        <v>699</v>
      </c>
      <c r="B13" s="1494"/>
      <c r="C13" s="1494"/>
      <c r="D13" s="1494"/>
      <c r="E13" s="1494"/>
      <c r="F13" s="1494"/>
      <c r="G13" s="1494"/>
      <c r="H13" s="1494"/>
      <c r="I13" s="1494"/>
      <c r="J13" s="1494"/>
    </row>
    <row r="14" spans="1:10" s="426" customFormat="1" ht="15.75" x14ac:dyDescent="0.2">
      <c r="A14" s="1494"/>
      <c r="B14" s="1494"/>
      <c r="C14" s="1494"/>
      <c r="D14" s="1494"/>
      <c r="E14" s="1494"/>
      <c r="F14" s="1494"/>
      <c r="G14" s="1494"/>
      <c r="H14" s="1494"/>
      <c r="I14" s="1494"/>
      <c r="J14" s="1494"/>
    </row>
    <row r="15" spans="1:10" ht="15.75" x14ac:dyDescent="0.2">
      <c r="A15" s="1493" t="s">
        <v>700</v>
      </c>
      <c r="B15" s="1493"/>
      <c r="C15" s="1493"/>
      <c r="D15" s="1493"/>
      <c r="E15" s="1493"/>
      <c r="F15" s="1493"/>
      <c r="G15" s="1493"/>
      <c r="H15" s="1493"/>
      <c r="I15" s="1493"/>
      <c r="J15" s="1493"/>
    </row>
    <row r="16" spans="1:10" ht="15.75" x14ac:dyDescent="0.2">
      <c r="A16" s="1495" t="s">
        <v>701</v>
      </c>
      <c r="B16" s="1495"/>
      <c r="C16" s="1495"/>
      <c r="D16" s="1495"/>
      <c r="E16" s="1495"/>
      <c r="F16" s="1495"/>
      <c r="G16" s="1495"/>
      <c r="H16" s="1495"/>
      <c r="I16" s="1495"/>
      <c r="J16" s="1495"/>
    </row>
    <row r="17" spans="1:10" s="983" customFormat="1" ht="16.5" thickBot="1" x14ac:dyDescent="0.25">
      <c r="A17" s="289"/>
    </row>
    <row r="18" spans="1:10" ht="33" customHeight="1" thickBot="1" x14ac:dyDescent="0.25">
      <c r="A18" s="993" t="s">
        <v>702</v>
      </c>
      <c r="B18" s="994" t="s">
        <v>1218</v>
      </c>
      <c r="C18" s="994" t="s">
        <v>1219</v>
      </c>
      <c r="D18" s="994" t="s">
        <v>1220</v>
      </c>
      <c r="E18" s="994" t="s">
        <v>1221</v>
      </c>
    </row>
    <row r="19" spans="1:10" ht="15" customHeight="1" thickBot="1" x14ac:dyDescent="0.25">
      <c r="A19" s="984" t="s">
        <v>703</v>
      </c>
      <c r="B19" s="995" t="s">
        <v>1222</v>
      </c>
      <c r="C19" s="995" t="s">
        <v>1223</v>
      </c>
      <c r="D19" s="995" t="s">
        <v>1222</v>
      </c>
      <c r="E19" s="985" t="s">
        <v>1224</v>
      </c>
    </row>
    <row r="20" spans="1:10" ht="15" customHeight="1" thickBot="1" x14ac:dyDescent="0.25">
      <c r="A20" s="986" t="s">
        <v>704</v>
      </c>
      <c r="B20" s="995" t="s">
        <v>1225</v>
      </c>
      <c r="C20" s="995" t="s">
        <v>1226</v>
      </c>
      <c r="D20" s="995" t="s">
        <v>1225</v>
      </c>
      <c r="E20" s="985" t="s">
        <v>1227</v>
      </c>
    </row>
    <row r="21" spans="1:10" ht="15" customHeight="1" thickBot="1" x14ac:dyDescent="0.25">
      <c r="A21" s="987" t="s">
        <v>705</v>
      </c>
      <c r="B21" s="995" t="s">
        <v>1225</v>
      </c>
      <c r="C21" s="995" t="s">
        <v>1226</v>
      </c>
      <c r="D21" s="995" t="s">
        <v>1225</v>
      </c>
      <c r="E21" s="985" t="s">
        <v>1228</v>
      </c>
    </row>
    <row r="22" spans="1:10" ht="29.25" customHeight="1" thickBot="1" x14ac:dyDescent="0.25">
      <c r="A22" s="988" t="s">
        <v>706</v>
      </c>
      <c r="B22" s="995" t="s">
        <v>1222</v>
      </c>
      <c r="C22" s="995" t="s">
        <v>1223</v>
      </c>
      <c r="D22" s="995" t="s">
        <v>1225</v>
      </c>
      <c r="E22" s="985" t="s">
        <v>1229</v>
      </c>
    </row>
    <row r="23" spans="1:10" ht="15" customHeight="1" thickBot="1" x14ac:dyDescent="0.25">
      <c r="A23" s="989" t="s">
        <v>707</v>
      </c>
      <c r="B23" s="995" t="s">
        <v>1230</v>
      </c>
      <c r="C23" s="995" t="s">
        <v>1223</v>
      </c>
      <c r="D23" s="995" t="s">
        <v>1225</v>
      </c>
      <c r="E23" s="985" t="s">
        <v>1231</v>
      </c>
    </row>
    <row r="24" spans="1:10" ht="15" customHeight="1" thickBot="1" x14ac:dyDescent="0.25">
      <c r="A24" s="990" t="s">
        <v>708</v>
      </c>
      <c r="B24" s="995" t="s">
        <v>1222</v>
      </c>
      <c r="C24" s="995" t="s">
        <v>1223</v>
      </c>
      <c r="D24" s="995" t="s">
        <v>1232</v>
      </c>
      <c r="E24" s="985" t="s">
        <v>1233</v>
      </c>
    </row>
    <row r="25" spans="1:10" ht="32.25" customHeight="1" thickBot="1" x14ac:dyDescent="0.25">
      <c r="A25" s="991" t="s">
        <v>709</v>
      </c>
      <c r="B25" s="995" t="s">
        <v>1222</v>
      </c>
      <c r="C25" s="995" t="s">
        <v>1223</v>
      </c>
      <c r="D25" s="995" t="s">
        <v>1225</v>
      </c>
      <c r="E25" s="985" t="s">
        <v>1234</v>
      </c>
    </row>
    <row r="26" spans="1:10" ht="33.75" customHeight="1" thickBot="1" x14ac:dyDescent="0.25">
      <c r="A26" s="992" t="s">
        <v>710</v>
      </c>
      <c r="B26" s="995" t="s">
        <v>1222</v>
      </c>
      <c r="C26" s="995" t="s">
        <v>1223</v>
      </c>
      <c r="D26" s="995" t="s">
        <v>1225</v>
      </c>
      <c r="E26" s="985" t="s">
        <v>1235</v>
      </c>
    </row>
    <row r="28" spans="1:10" ht="15.75" customHeight="1" x14ac:dyDescent="0.2">
      <c r="A28" s="1493" t="s">
        <v>711</v>
      </c>
      <c r="B28" s="1493"/>
      <c r="C28" s="1493"/>
      <c r="D28" s="1493"/>
      <c r="E28" s="1493"/>
      <c r="F28" s="1493"/>
      <c r="G28" s="1493"/>
      <c r="H28" s="1493"/>
      <c r="I28" s="1493"/>
      <c r="J28" s="1493"/>
    </row>
    <row r="29" spans="1:10" ht="15.75" customHeight="1" x14ac:dyDescent="0.2">
      <c r="A29" s="1491" t="s">
        <v>712</v>
      </c>
      <c r="B29" s="1491"/>
      <c r="C29" s="1491"/>
      <c r="D29" s="1491"/>
      <c r="E29" s="1491"/>
      <c r="F29" s="1491"/>
      <c r="G29" s="1491"/>
      <c r="H29" s="1491"/>
      <c r="I29" s="1491"/>
      <c r="J29" s="1491"/>
    </row>
    <row r="30" spans="1:10" ht="15.75" customHeight="1" x14ac:dyDescent="0.2">
      <c r="A30" s="1491" t="s">
        <v>713</v>
      </c>
      <c r="B30" s="1491"/>
      <c r="C30" s="1491"/>
      <c r="D30" s="1491"/>
      <c r="E30" s="1491"/>
      <c r="F30" s="1491"/>
      <c r="G30" s="1491"/>
      <c r="H30" s="1491"/>
      <c r="I30" s="1491"/>
      <c r="J30" s="1491"/>
    </row>
    <row r="31" spans="1:10" ht="15.75" customHeight="1" x14ac:dyDescent="0.2">
      <c r="A31" s="1491"/>
      <c r="B31" s="1491"/>
      <c r="C31" s="1491"/>
      <c r="D31" s="1491"/>
      <c r="E31" s="1491"/>
      <c r="F31" s="1491"/>
      <c r="G31" s="1491"/>
      <c r="H31" s="1491"/>
      <c r="I31" s="1491"/>
      <c r="J31" s="1491"/>
    </row>
    <row r="32" spans="1:10" x14ac:dyDescent="0.2">
      <c r="A32" s="1492"/>
      <c r="B32" s="1492"/>
      <c r="C32" s="1492"/>
      <c r="D32" s="1492"/>
      <c r="E32" s="1492"/>
      <c r="F32" s="1492"/>
      <c r="G32" s="1492"/>
      <c r="H32" s="1492"/>
      <c r="I32" s="1492"/>
      <c r="J32" s="1492"/>
    </row>
    <row r="33" spans="1:10" ht="15.75" customHeight="1" x14ac:dyDescent="0.2">
      <c r="A33" s="1492"/>
      <c r="B33" s="1492"/>
      <c r="C33" s="1492"/>
      <c r="D33" s="1492"/>
      <c r="E33" s="1492"/>
      <c r="F33" s="1492"/>
      <c r="G33" s="1492"/>
      <c r="H33" s="1492"/>
      <c r="I33" s="1492"/>
      <c r="J33" s="1492"/>
    </row>
    <row r="34" spans="1:10" x14ac:dyDescent="0.2">
      <c r="A34" s="1492"/>
      <c r="B34" s="1492"/>
      <c r="C34" s="1492"/>
      <c r="D34" s="1492"/>
      <c r="E34" s="1492"/>
      <c r="F34" s="1492"/>
      <c r="G34" s="1492"/>
      <c r="H34" s="1492"/>
      <c r="I34" s="1492"/>
      <c r="J34" s="1492"/>
    </row>
    <row r="35" spans="1:10" x14ac:dyDescent="0.2">
      <c r="A35" s="1492"/>
      <c r="B35" s="1492"/>
      <c r="C35" s="1492"/>
      <c r="D35" s="1492"/>
      <c r="E35" s="1492"/>
      <c r="F35" s="1492"/>
      <c r="G35" s="1492"/>
      <c r="H35" s="1492"/>
      <c r="I35" s="1492"/>
      <c r="J35" s="1492"/>
    </row>
    <row r="36" spans="1:10" x14ac:dyDescent="0.2">
      <c r="A36" s="1492"/>
      <c r="B36" s="1492"/>
      <c r="C36" s="1492"/>
      <c r="D36" s="1492"/>
      <c r="E36" s="1492"/>
      <c r="F36" s="1492"/>
      <c r="G36" s="1492"/>
      <c r="H36" s="1492"/>
      <c r="I36" s="1492"/>
      <c r="J36" s="1492"/>
    </row>
    <row r="37" spans="1:10" x14ac:dyDescent="0.2">
      <c r="A37" s="1492"/>
      <c r="B37" s="1492"/>
      <c r="C37" s="1492"/>
      <c r="D37" s="1492"/>
      <c r="E37" s="1492"/>
      <c r="F37" s="1492"/>
      <c r="G37" s="1492"/>
      <c r="H37" s="1492"/>
      <c r="I37" s="1492"/>
      <c r="J37" s="1492"/>
    </row>
    <row r="38" spans="1:10" x14ac:dyDescent="0.2">
      <c r="A38" s="1492"/>
      <c r="B38" s="1492"/>
      <c r="C38" s="1492"/>
      <c r="D38" s="1492"/>
      <c r="E38" s="1492"/>
      <c r="F38" s="1492"/>
      <c r="G38" s="1492"/>
      <c r="H38" s="1492"/>
      <c r="I38" s="1492"/>
      <c r="J38" s="1492"/>
    </row>
    <row r="39" spans="1:10" x14ac:dyDescent="0.2">
      <c r="A39" s="1492"/>
      <c r="B39" s="1492"/>
      <c r="C39" s="1492"/>
      <c r="D39" s="1492"/>
      <c r="E39" s="1492"/>
      <c r="F39" s="1492"/>
      <c r="G39" s="1492"/>
      <c r="H39" s="1492"/>
      <c r="I39" s="1492"/>
      <c r="J39" s="1492"/>
    </row>
    <row r="40" spans="1:10" x14ac:dyDescent="0.2">
      <c r="A40" s="1492"/>
      <c r="B40" s="1492"/>
      <c r="C40" s="1492"/>
      <c r="D40" s="1492"/>
      <c r="E40" s="1492"/>
      <c r="F40" s="1492"/>
      <c r="G40" s="1492"/>
      <c r="H40" s="1492"/>
      <c r="I40" s="1492"/>
      <c r="J40" s="1492"/>
    </row>
    <row r="41" spans="1:10" x14ac:dyDescent="0.2">
      <c r="A41" s="1492"/>
      <c r="B41" s="1492"/>
      <c r="C41" s="1492"/>
      <c r="D41" s="1492"/>
      <c r="E41" s="1492"/>
      <c r="F41" s="1492"/>
      <c r="G41" s="1492"/>
      <c r="H41" s="1492"/>
      <c r="I41" s="1492"/>
      <c r="J41" s="1492"/>
    </row>
    <row r="42" spans="1:10" x14ac:dyDescent="0.2">
      <c r="A42" s="1492"/>
      <c r="B42" s="1492"/>
      <c r="C42" s="1492"/>
      <c r="D42" s="1492"/>
      <c r="E42" s="1492"/>
      <c r="F42" s="1492"/>
      <c r="G42" s="1492"/>
      <c r="H42" s="1492"/>
      <c r="I42" s="1492"/>
      <c r="J42" s="1492"/>
    </row>
    <row r="43" spans="1:10" x14ac:dyDescent="0.2">
      <c r="A43" s="1492"/>
      <c r="B43" s="1492"/>
      <c r="C43" s="1492"/>
      <c r="D43" s="1492"/>
      <c r="E43" s="1492"/>
      <c r="F43" s="1492"/>
      <c r="G43" s="1492"/>
      <c r="H43" s="1492"/>
      <c r="I43" s="1492"/>
      <c r="J43" s="1492"/>
    </row>
    <row r="44" spans="1:10" x14ac:dyDescent="0.2">
      <c r="A44" s="1492"/>
      <c r="B44" s="1492"/>
      <c r="C44" s="1492"/>
      <c r="D44" s="1492"/>
      <c r="E44" s="1492"/>
      <c r="F44" s="1492"/>
      <c r="G44" s="1492"/>
      <c r="H44" s="1492"/>
      <c r="I44" s="1492"/>
      <c r="J44" s="1492"/>
    </row>
    <row r="45" spans="1:10" x14ac:dyDescent="0.2">
      <c r="A45" s="1492"/>
      <c r="B45" s="1492"/>
      <c r="C45" s="1492"/>
      <c r="D45" s="1492"/>
      <c r="E45" s="1492"/>
      <c r="F45" s="1492"/>
      <c r="G45" s="1492"/>
      <c r="H45" s="1492"/>
      <c r="I45" s="1492"/>
      <c r="J45" s="1492"/>
    </row>
    <row r="46" spans="1:10" x14ac:dyDescent="0.2">
      <c r="A46" s="1492"/>
      <c r="B46" s="1492"/>
      <c r="C46" s="1492"/>
      <c r="D46" s="1492"/>
      <c r="E46" s="1492"/>
      <c r="F46" s="1492"/>
      <c r="G46" s="1492"/>
      <c r="H46" s="1492"/>
      <c r="I46" s="1492"/>
      <c r="J46" s="1492"/>
    </row>
    <row r="47" spans="1:10" x14ac:dyDescent="0.2">
      <c r="A47" s="1492"/>
      <c r="B47" s="1492"/>
      <c r="C47" s="1492"/>
      <c r="D47" s="1492"/>
      <c r="E47" s="1492"/>
      <c r="F47" s="1492"/>
      <c r="G47" s="1492"/>
      <c r="H47" s="1492"/>
      <c r="I47" s="1492"/>
      <c r="J47" s="1492"/>
    </row>
    <row r="48" spans="1:10" x14ac:dyDescent="0.2">
      <c r="A48" s="1492"/>
      <c r="B48" s="1492"/>
      <c r="C48" s="1492"/>
      <c r="D48" s="1492"/>
      <c r="E48" s="1492"/>
      <c r="F48" s="1492"/>
      <c r="G48" s="1492"/>
      <c r="H48" s="1492"/>
      <c r="I48" s="1492"/>
      <c r="J48" s="1492"/>
    </row>
    <row r="49" spans="1:10" x14ac:dyDescent="0.2">
      <c r="A49" s="1492"/>
      <c r="B49" s="1492"/>
      <c r="C49" s="1492"/>
      <c r="D49" s="1492"/>
      <c r="E49" s="1492"/>
      <c r="F49" s="1492"/>
      <c r="G49" s="1492"/>
      <c r="H49" s="1492"/>
      <c r="I49" s="1492"/>
      <c r="J49" s="1492"/>
    </row>
    <row r="50" spans="1:10" x14ac:dyDescent="0.2">
      <c r="A50" s="1492"/>
      <c r="B50" s="1492"/>
      <c r="C50" s="1492"/>
      <c r="D50" s="1492"/>
      <c r="E50" s="1492"/>
      <c r="F50" s="1492"/>
      <c r="G50" s="1492"/>
      <c r="H50" s="1492"/>
      <c r="I50" s="1492"/>
      <c r="J50" s="1492"/>
    </row>
    <row r="51" spans="1:10" x14ac:dyDescent="0.2">
      <c r="A51" s="1492"/>
      <c r="B51" s="1492"/>
      <c r="C51" s="1492"/>
      <c r="D51" s="1492"/>
      <c r="E51" s="1492"/>
      <c r="F51" s="1492"/>
      <c r="G51" s="1492"/>
      <c r="H51" s="1492"/>
      <c r="I51" s="1492"/>
      <c r="J51" s="1492"/>
    </row>
    <row r="52" spans="1:10" x14ac:dyDescent="0.2">
      <c r="A52" s="1492"/>
      <c r="B52" s="1492"/>
      <c r="C52" s="1492"/>
      <c r="D52" s="1492"/>
      <c r="E52" s="1492"/>
      <c r="F52" s="1492"/>
      <c r="G52" s="1492"/>
      <c r="H52" s="1492"/>
      <c r="I52" s="1492"/>
      <c r="J52" s="1492"/>
    </row>
    <row r="53" spans="1:10" x14ac:dyDescent="0.2">
      <c r="A53" s="1492"/>
      <c r="B53" s="1492"/>
      <c r="C53" s="1492"/>
      <c r="D53" s="1492"/>
      <c r="E53" s="1492"/>
      <c r="F53" s="1492"/>
      <c r="G53" s="1492"/>
      <c r="H53" s="1492"/>
      <c r="I53" s="1492"/>
      <c r="J53" s="1492"/>
    </row>
    <row r="54" spans="1:10" x14ac:dyDescent="0.2">
      <c r="A54" s="1492"/>
      <c r="B54" s="1492"/>
      <c r="C54" s="1492"/>
      <c r="D54" s="1492"/>
      <c r="E54" s="1492"/>
      <c r="F54" s="1492"/>
      <c r="G54" s="1492"/>
      <c r="H54" s="1492"/>
      <c r="I54" s="1492"/>
      <c r="J54" s="1492"/>
    </row>
    <row r="55" spans="1:10" x14ac:dyDescent="0.2">
      <c r="A55" s="1492"/>
      <c r="B55" s="1492"/>
      <c r="C55" s="1492"/>
      <c r="D55" s="1492"/>
      <c r="E55" s="1492"/>
      <c r="F55" s="1492"/>
      <c r="G55" s="1492"/>
      <c r="H55" s="1492"/>
      <c r="I55" s="1492"/>
      <c r="J55" s="1492"/>
    </row>
    <row r="56" spans="1:10" x14ac:dyDescent="0.2">
      <c r="A56" s="1492"/>
      <c r="B56" s="1492"/>
      <c r="C56" s="1492"/>
      <c r="D56" s="1492"/>
      <c r="E56" s="1492"/>
      <c r="F56" s="1492"/>
      <c r="G56" s="1492"/>
      <c r="H56" s="1492"/>
      <c r="I56" s="1492"/>
      <c r="J56" s="1492"/>
    </row>
    <row r="57" spans="1:10" x14ac:dyDescent="0.2">
      <c r="A57" s="1492"/>
      <c r="B57" s="1492"/>
      <c r="C57" s="1492"/>
      <c r="D57" s="1492"/>
      <c r="E57" s="1492"/>
      <c r="F57" s="1492"/>
      <c r="G57" s="1492"/>
      <c r="H57" s="1492"/>
      <c r="I57" s="1492"/>
      <c r="J57" s="1492"/>
    </row>
    <row r="58" spans="1:10" x14ac:dyDescent="0.2">
      <c r="A58" s="1492"/>
      <c r="B58" s="1492"/>
      <c r="C58" s="1492"/>
      <c r="D58" s="1492"/>
      <c r="E58" s="1492"/>
      <c r="F58" s="1492"/>
      <c r="G58" s="1492"/>
      <c r="H58" s="1492"/>
      <c r="I58" s="1492"/>
      <c r="J58" s="1492"/>
    </row>
    <row r="59" spans="1:10" x14ac:dyDescent="0.2">
      <c r="A59" s="1492"/>
      <c r="B59" s="1492"/>
      <c r="C59" s="1492"/>
      <c r="D59" s="1492"/>
      <c r="E59" s="1492"/>
      <c r="F59" s="1492"/>
      <c r="G59" s="1492"/>
      <c r="H59" s="1492"/>
      <c r="I59" s="1492"/>
      <c r="J59" s="1492"/>
    </row>
    <row r="60" spans="1:10" x14ac:dyDescent="0.2">
      <c r="A60" s="1492"/>
      <c r="B60" s="1492"/>
      <c r="C60" s="1492"/>
      <c r="D60" s="1492"/>
      <c r="E60" s="1492"/>
      <c r="F60" s="1492"/>
      <c r="G60" s="1492"/>
      <c r="H60" s="1492"/>
      <c r="I60" s="1492"/>
      <c r="J60" s="1492"/>
    </row>
    <row r="61" spans="1:10" x14ac:dyDescent="0.2">
      <c r="A61" s="1492"/>
      <c r="B61" s="1492"/>
      <c r="C61" s="1492"/>
      <c r="D61" s="1492"/>
      <c r="E61" s="1492"/>
      <c r="F61" s="1492"/>
      <c r="G61" s="1492"/>
      <c r="H61" s="1492"/>
      <c r="I61" s="1492"/>
      <c r="J61" s="1492"/>
    </row>
    <row r="62" spans="1:10" x14ac:dyDescent="0.2">
      <c r="A62" s="1492"/>
      <c r="B62" s="1492"/>
      <c r="C62" s="1492"/>
      <c r="D62" s="1492"/>
      <c r="E62" s="1492"/>
      <c r="F62" s="1492"/>
      <c r="G62" s="1492"/>
      <c r="H62" s="1492"/>
      <c r="I62" s="1492"/>
      <c r="J62" s="1492"/>
    </row>
    <row r="63" spans="1:10" x14ac:dyDescent="0.2">
      <c r="A63" s="1492"/>
      <c r="B63" s="1492"/>
      <c r="C63" s="1492"/>
      <c r="D63" s="1492"/>
      <c r="E63" s="1492"/>
      <c r="F63" s="1492"/>
      <c r="G63" s="1492"/>
      <c r="H63" s="1492"/>
      <c r="I63" s="1492"/>
      <c r="J63" s="1492"/>
    </row>
    <row r="64" spans="1:10" x14ac:dyDescent="0.2">
      <c r="A64" s="1492"/>
      <c r="B64" s="1492"/>
      <c r="C64" s="1492"/>
      <c r="D64" s="1492"/>
      <c r="E64" s="1492"/>
      <c r="F64" s="1492"/>
      <c r="G64" s="1492"/>
      <c r="H64" s="1492"/>
      <c r="I64" s="1492"/>
      <c r="J64" s="1492"/>
    </row>
    <row r="65" spans="1:10" x14ac:dyDescent="0.2">
      <c r="A65" s="1492"/>
      <c r="B65" s="1492"/>
      <c r="C65" s="1492"/>
      <c r="D65" s="1492"/>
      <c r="E65" s="1492"/>
      <c r="F65" s="1492"/>
      <c r="G65" s="1492"/>
      <c r="H65" s="1492"/>
      <c r="I65" s="1492"/>
      <c r="J65" s="1492"/>
    </row>
    <row r="66" spans="1:10" x14ac:dyDescent="0.2">
      <c r="A66" s="1492"/>
      <c r="B66" s="1492"/>
      <c r="C66" s="1492"/>
      <c r="D66" s="1492"/>
      <c r="E66" s="1492"/>
      <c r="F66" s="1492"/>
      <c r="G66" s="1492"/>
      <c r="H66" s="1492"/>
      <c r="I66" s="1492"/>
      <c r="J66" s="1492"/>
    </row>
    <row r="67" spans="1:10" x14ac:dyDescent="0.2">
      <c r="A67" s="1492"/>
      <c r="B67" s="1492"/>
      <c r="C67" s="1492"/>
      <c r="D67" s="1492"/>
      <c r="E67" s="1492"/>
      <c r="F67" s="1492"/>
      <c r="G67" s="1492"/>
      <c r="H67" s="1492"/>
      <c r="I67" s="1492"/>
      <c r="J67" s="1492"/>
    </row>
    <row r="68" spans="1:10" x14ac:dyDescent="0.2">
      <c r="A68" s="1492"/>
      <c r="B68" s="1492"/>
      <c r="C68" s="1492"/>
      <c r="D68" s="1492"/>
      <c r="E68" s="1492"/>
      <c r="F68" s="1492"/>
      <c r="G68" s="1492"/>
      <c r="H68" s="1492"/>
      <c r="I68" s="1492"/>
      <c r="J68" s="1492"/>
    </row>
    <row r="69" spans="1:10" x14ac:dyDescent="0.2">
      <c r="A69" s="1492"/>
      <c r="B69" s="1492"/>
      <c r="C69" s="1492"/>
      <c r="D69" s="1492"/>
      <c r="E69" s="1492"/>
      <c r="F69" s="1492"/>
      <c r="G69" s="1492"/>
      <c r="H69" s="1492"/>
      <c r="I69" s="1492"/>
      <c r="J69" s="1492"/>
    </row>
    <row r="70" spans="1:10" x14ac:dyDescent="0.2">
      <c r="A70" s="1492"/>
      <c r="B70" s="1492"/>
      <c r="C70" s="1492"/>
      <c r="D70" s="1492"/>
      <c r="E70" s="1492"/>
      <c r="F70" s="1492"/>
      <c r="G70" s="1492"/>
      <c r="H70" s="1492"/>
      <c r="I70" s="1492"/>
      <c r="J70" s="1492"/>
    </row>
    <row r="71" spans="1:10" x14ac:dyDescent="0.2">
      <c r="A71" s="1492"/>
      <c r="B71" s="1492"/>
      <c r="C71" s="1492"/>
      <c r="D71" s="1492"/>
      <c r="E71" s="1492"/>
      <c r="F71" s="1492"/>
      <c r="G71" s="1492"/>
      <c r="H71" s="1492"/>
      <c r="I71" s="1492"/>
      <c r="J71" s="1492"/>
    </row>
    <row r="72" spans="1:10" x14ac:dyDescent="0.2">
      <c r="A72" s="1492"/>
      <c r="B72" s="1492"/>
      <c r="C72" s="1492"/>
      <c r="D72" s="1492"/>
      <c r="E72" s="1492"/>
      <c r="F72" s="1492"/>
      <c r="G72" s="1492"/>
      <c r="H72" s="1492"/>
      <c r="I72" s="1492"/>
      <c r="J72" s="1492"/>
    </row>
    <row r="73" spans="1:10" x14ac:dyDescent="0.2">
      <c r="A73" s="1492"/>
      <c r="B73" s="1492"/>
      <c r="C73" s="1492"/>
      <c r="D73" s="1492"/>
      <c r="E73" s="1492"/>
      <c r="F73" s="1492"/>
      <c r="G73" s="1492"/>
      <c r="H73" s="1492"/>
      <c r="I73" s="1492"/>
      <c r="J73" s="1492"/>
    </row>
    <row r="74" spans="1:10" x14ac:dyDescent="0.2">
      <c r="A74" s="1492"/>
      <c r="B74" s="1492"/>
      <c r="C74" s="1492"/>
      <c r="D74" s="1492"/>
      <c r="E74" s="1492"/>
      <c r="F74" s="1492"/>
      <c r="G74" s="1492"/>
      <c r="H74" s="1492"/>
      <c r="I74" s="1492"/>
      <c r="J74" s="1492"/>
    </row>
    <row r="75" spans="1:10" x14ac:dyDescent="0.2">
      <c r="A75" s="1492"/>
      <c r="B75" s="1492"/>
      <c r="C75" s="1492"/>
      <c r="D75" s="1492"/>
      <c r="E75" s="1492"/>
      <c r="F75" s="1492"/>
      <c r="G75" s="1492"/>
      <c r="H75" s="1492"/>
      <c r="I75" s="1492"/>
      <c r="J75" s="1492"/>
    </row>
    <row r="76" spans="1:10" x14ac:dyDescent="0.2">
      <c r="A76" s="1492"/>
      <c r="B76" s="1492"/>
      <c r="C76" s="1492"/>
      <c r="D76" s="1492"/>
      <c r="E76" s="1492"/>
      <c r="F76" s="1492"/>
      <c r="G76" s="1492"/>
      <c r="H76" s="1492"/>
      <c r="I76" s="1492"/>
      <c r="J76" s="1492"/>
    </row>
    <row r="77" spans="1:10" x14ac:dyDescent="0.2">
      <c r="A77" s="1492"/>
      <c r="B77" s="1492"/>
      <c r="C77" s="1492"/>
      <c r="D77" s="1492"/>
      <c r="E77" s="1492"/>
      <c r="F77" s="1492"/>
      <c r="G77" s="1492"/>
      <c r="H77" s="1492"/>
      <c r="I77" s="1492"/>
      <c r="J77" s="1492"/>
    </row>
    <row r="78" spans="1:10" x14ac:dyDescent="0.2">
      <c r="A78" s="1492"/>
      <c r="B78" s="1492"/>
      <c r="C78" s="1492"/>
      <c r="D78" s="1492"/>
      <c r="E78" s="1492"/>
      <c r="F78" s="1492"/>
      <c r="G78" s="1492"/>
      <c r="H78" s="1492"/>
      <c r="I78" s="1492"/>
      <c r="J78" s="1492"/>
    </row>
    <row r="79" spans="1:10" x14ac:dyDescent="0.2">
      <c r="A79" s="1492"/>
      <c r="B79" s="1492"/>
      <c r="C79" s="1492"/>
      <c r="D79" s="1492"/>
      <c r="E79" s="1492"/>
      <c r="F79" s="1492"/>
      <c r="G79" s="1492"/>
      <c r="H79" s="1492"/>
      <c r="I79" s="1492"/>
      <c r="J79" s="1492"/>
    </row>
    <row r="80" spans="1:10" x14ac:dyDescent="0.2">
      <c r="A80" s="1492"/>
      <c r="B80" s="1492"/>
      <c r="C80" s="1492"/>
      <c r="D80" s="1492"/>
      <c r="E80" s="1492"/>
      <c r="F80" s="1492"/>
      <c r="G80" s="1492"/>
      <c r="H80" s="1492"/>
      <c r="I80" s="1492"/>
      <c r="J80" s="1492"/>
    </row>
    <row r="81" spans="1:10" x14ac:dyDescent="0.2">
      <c r="A81" s="1492"/>
      <c r="B81" s="1492"/>
      <c r="C81" s="1492"/>
      <c r="D81" s="1492"/>
      <c r="E81" s="1492"/>
      <c r="F81" s="1492"/>
      <c r="G81" s="1492"/>
      <c r="H81" s="1492"/>
      <c r="I81" s="1492"/>
      <c r="J81" s="1492"/>
    </row>
    <row r="82" spans="1:10" x14ac:dyDescent="0.2">
      <c r="A82" s="1492"/>
      <c r="B82" s="1492"/>
      <c r="C82" s="1492"/>
      <c r="D82" s="1492"/>
      <c r="E82" s="1492"/>
      <c r="F82" s="1492"/>
      <c r="G82" s="1492"/>
      <c r="H82" s="1492"/>
      <c r="I82" s="1492"/>
      <c r="J82" s="1492"/>
    </row>
    <row r="83" spans="1:10" x14ac:dyDescent="0.2">
      <c r="A83" s="1492"/>
      <c r="B83" s="1492"/>
      <c r="C83" s="1492"/>
      <c r="D83" s="1492"/>
      <c r="E83" s="1492"/>
      <c r="F83" s="1492"/>
      <c r="G83" s="1492"/>
      <c r="H83" s="1492"/>
      <c r="I83" s="1492"/>
      <c r="J83" s="1492"/>
    </row>
    <row r="84" spans="1:10" x14ac:dyDescent="0.2">
      <c r="A84" s="1492"/>
      <c r="B84" s="1492"/>
      <c r="C84" s="1492"/>
      <c r="D84" s="1492"/>
      <c r="E84" s="1492"/>
      <c r="F84" s="1492"/>
      <c r="G84" s="1492"/>
      <c r="H84" s="1492"/>
      <c r="I84" s="1492"/>
      <c r="J84" s="1492"/>
    </row>
    <row r="85" spans="1:10" x14ac:dyDescent="0.2">
      <c r="A85" s="1492"/>
      <c r="B85" s="1492"/>
      <c r="C85" s="1492"/>
      <c r="D85" s="1492"/>
      <c r="E85" s="1492"/>
      <c r="F85" s="1492"/>
      <c r="G85" s="1492"/>
      <c r="H85" s="1492"/>
      <c r="I85" s="1492"/>
      <c r="J85" s="1492"/>
    </row>
    <row r="86" spans="1:10" x14ac:dyDescent="0.2">
      <c r="A86" s="1492"/>
      <c r="B86" s="1492"/>
      <c r="C86" s="1492"/>
      <c r="D86" s="1492"/>
      <c r="E86" s="1492"/>
      <c r="F86" s="1492"/>
      <c r="G86" s="1492"/>
      <c r="H86" s="1492"/>
      <c r="I86" s="1492"/>
      <c r="J86" s="1492"/>
    </row>
    <row r="87" spans="1:10" x14ac:dyDescent="0.2">
      <c r="A87" s="1492"/>
      <c r="B87" s="1492"/>
      <c r="C87" s="1492"/>
      <c r="D87" s="1492"/>
      <c r="E87" s="1492"/>
      <c r="F87" s="1492"/>
      <c r="G87" s="1492"/>
      <c r="H87" s="1492"/>
      <c r="I87" s="1492"/>
      <c r="J87" s="1492"/>
    </row>
    <row r="88" spans="1:10" x14ac:dyDescent="0.2">
      <c r="A88" s="1492"/>
      <c r="B88" s="1492"/>
      <c r="C88" s="1492"/>
      <c r="D88" s="1492"/>
      <c r="E88" s="1492"/>
      <c r="F88" s="1492"/>
      <c r="G88" s="1492"/>
      <c r="H88" s="1492"/>
      <c r="I88" s="1492"/>
      <c r="J88" s="1492"/>
    </row>
    <row r="89" spans="1:10" x14ac:dyDescent="0.2">
      <c r="A89" s="1492"/>
      <c r="B89" s="1492"/>
      <c r="C89" s="1492"/>
      <c r="D89" s="1492"/>
      <c r="E89" s="1492"/>
      <c r="F89" s="1492"/>
      <c r="G89" s="1492"/>
      <c r="H89" s="1492"/>
      <c r="I89" s="1492"/>
      <c r="J89" s="1492"/>
    </row>
    <row r="90" spans="1:10" x14ac:dyDescent="0.2">
      <c r="A90" s="1492"/>
      <c r="B90" s="1492"/>
      <c r="C90" s="1492"/>
      <c r="D90" s="1492"/>
      <c r="E90" s="1492"/>
      <c r="F90" s="1492"/>
      <c r="G90" s="1492"/>
      <c r="H90" s="1492"/>
      <c r="I90" s="1492"/>
      <c r="J90" s="1492"/>
    </row>
    <row r="91" spans="1:10" x14ac:dyDescent="0.2">
      <c r="A91" s="1492"/>
      <c r="B91" s="1492"/>
      <c r="C91" s="1492"/>
      <c r="D91" s="1492"/>
      <c r="E91" s="1492"/>
      <c r="F91" s="1492"/>
      <c r="G91" s="1492"/>
      <c r="H91" s="1492"/>
      <c r="I91" s="1492"/>
      <c r="J91" s="1492"/>
    </row>
    <row r="92" spans="1:10" x14ac:dyDescent="0.2">
      <c r="A92" s="1492"/>
      <c r="B92" s="1492"/>
      <c r="C92" s="1492"/>
      <c r="D92" s="1492"/>
      <c r="E92" s="1492"/>
      <c r="F92" s="1492"/>
      <c r="G92" s="1492"/>
      <c r="H92" s="1492"/>
      <c r="I92" s="1492"/>
      <c r="J92" s="1492"/>
    </row>
    <row r="93" spans="1:10" x14ac:dyDescent="0.2">
      <c r="A93" s="1492"/>
      <c r="B93" s="1492"/>
      <c r="C93" s="1492"/>
      <c r="D93" s="1492"/>
      <c r="E93" s="1492"/>
      <c r="F93" s="1492"/>
      <c r="G93" s="1492"/>
      <c r="H93" s="1492"/>
      <c r="I93" s="1492"/>
      <c r="J93" s="1492"/>
    </row>
    <row r="94" spans="1:10" x14ac:dyDescent="0.2">
      <c r="A94" s="1492"/>
      <c r="B94" s="1492"/>
      <c r="C94" s="1492"/>
      <c r="D94" s="1492"/>
      <c r="E94" s="1492"/>
      <c r="F94" s="1492"/>
      <c r="G94" s="1492"/>
      <c r="H94" s="1492"/>
      <c r="I94" s="1492"/>
      <c r="J94" s="1492"/>
    </row>
    <row r="95" spans="1:10" x14ac:dyDescent="0.2">
      <c r="A95" s="1492"/>
      <c r="B95" s="1492"/>
      <c r="C95" s="1492"/>
      <c r="D95" s="1492"/>
      <c r="E95" s="1492"/>
      <c r="F95" s="1492"/>
      <c r="G95" s="1492"/>
      <c r="H95" s="1492"/>
      <c r="I95" s="1492"/>
      <c r="J95" s="1492"/>
    </row>
    <row r="96" spans="1:10" x14ac:dyDescent="0.2">
      <c r="A96" s="1492"/>
      <c r="B96" s="1492"/>
      <c r="C96" s="1492"/>
      <c r="D96" s="1492"/>
      <c r="E96" s="1492"/>
      <c r="F96" s="1492"/>
      <c r="G96" s="1492"/>
      <c r="H96" s="1492"/>
      <c r="I96" s="1492"/>
      <c r="J96" s="1492"/>
    </row>
    <row r="97" spans="1:10" x14ac:dyDescent="0.2">
      <c r="A97" s="1492"/>
      <c r="B97" s="1492"/>
      <c r="C97" s="1492"/>
      <c r="D97" s="1492"/>
      <c r="E97" s="1492"/>
      <c r="F97" s="1492"/>
      <c r="G97" s="1492"/>
      <c r="H97" s="1492"/>
      <c r="I97" s="1492"/>
      <c r="J97" s="1492"/>
    </row>
    <row r="98" spans="1:10" x14ac:dyDescent="0.2">
      <c r="A98" s="1492"/>
      <c r="B98" s="1492"/>
      <c r="C98" s="1492"/>
      <c r="D98" s="1492"/>
      <c r="E98" s="1492"/>
      <c r="F98" s="1492"/>
      <c r="G98" s="1492"/>
      <c r="H98" s="1492"/>
      <c r="I98" s="1492"/>
      <c r="J98" s="1492"/>
    </row>
    <row r="99" spans="1:10" x14ac:dyDescent="0.2">
      <c r="A99" s="1492"/>
      <c r="B99" s="1492"/>
      <c r="C99" s="1492"/>
      <c r="D99" s="1492"/>
      <c r="E99" s="1492"/>
      <c r="F99" s="1492"/>
      <c r="G99" s="1492"/>
      <c r="H99" s="1492"/>
      <c r="I99" s="1492"/>
      <c r="J99" s="1492"/>
    </row>
    <row r="100" spans="1:10" x14ac:dyDescent="0.2">
      <c r="A100" s="1492"/>
      <c r="B100" s="1492"/>
      <c r="C100" s="1492"/>
      <c r="D100" s="1492"/>
      <c r="E100" s="1492"/>
      <c r="F100" s="1492"/>
      <c r="G100" s="1492"/>
      <c r="H100" s="1492"/>
      <c r="I100" s="1492"/>
      <c r="J100" s="1492"/>
    </row>
    <row r="101" spans="1:10" x14ac:dyDescent="0.2">
      <c r="A101" s="1492"/>
      <c r="B101" s="1492"/>
      <c r="C101" s="1492"/>
      <c r="D101" s="1492"/>
      <c r="E101" s="1492"/>
      <c r="F101" s="1492"/>
      <c r="G101" s="1492"/>
      <c r="H101" s="1492"/>
      <c r="I101" s="1492"/>
      <c r="J101" s="1492"/>
    </row>
    <row r="102" spans="1:10" x14ac:dyDescent="0.2">
      <c r="A102" s="1492"/>
      <c r="B102" s="1492"/>
      <c r="C102" s="1492"/>
      <c r="D102" s="1492"/>
      <c r="E102" s="1492"/>
      <c r="F102" s="1492"/>
      <c r="G102" s="1492"/>
      <c r="H102" s="1492"/>
      <c r="I102" s="1492"/>
      <c r="J102" s="1492"/>
    </row>
    <row r="103" spans="1:10" x14ac:dyDescent="0.2">
      <c r="A103" s="1492"/>
      <c r="B103" s="1492"/>
      <c r="C103" s="1492"/>
      <c r="D103" s="1492"/>
      <c r="E103" s="1492"/>
      <c r="F103" s="1492"/>
      <c r="G103" s="1492"/>
      <c r="H103" s="1492"/>
      <c r="I103" s="1492"/>
      <c r="J103" s="1492"/>
    </row>
    <row r="104" spans="1:10" x14ac:dyDescent="0.2">
      <c r="A104" s="1492"/>
      <c r="B104" s="1492"/>
      <c r="C104" s="1492"/>
      <c r="D104" s="1492"/>
      <c r="E104" s="1492"/>
      <c r="F104" s="1492"/>
      <c r="G104" s="1492"/>
      <c r="H104" s="1492"/>
      <c r="I104" s="1492"/>
      <c r="J104" s="1492"/>
    </row>
    <row r="105" spans="1:10" x14ac:dyDescent="0.2">
      <c r="A105" s="1492"/>
      <c r="B105" s="1492"/>
      <c r="C105" s="1492"/>
      <c r="D105" s="1492"/>
      <c r="E105" s="1492"/>
      <c r="F105" s="1492"/>
      <c r="G105" s="1492"/>
      <c r="H105" s="1492"/>
      <c r="I105" s="1492"/>
      <c r="J105" s="1492"/>
    </row>
    <row r="106" spans="1:10" x14ac:dyDescent="0.2">
      <c r="A106" s="1492"/>
      <c r="B106" s="1492"/>
      <c r="C106" s="1492"/>
      <c r="D106" s="1492"/>
      <c r="E106" s="1492"/>
      <c r="F106" s="1492"/>
      <c r="G106" s="1492"/>
      <c r="H106" s="1492"/>
      <c r="I106" s="1492"/>
      <c r="J106" s="1492"/>
    </row>
    <row r="107" spans="1:10" x14ac:dyDescent="0.2">
      <c r="A107" s="1492"/>
      <c r="B107" s="1492"/>
      <c r="C107" s="1492"/>
      <c r="D107" s="1492"/>
      <c r="E107" s="1492"/>
      <c r="F107" s="1492"/>
      <c r="G107" s="1492"/>
      <c r="H107" s="1492"/>
      <c r="I107" s="1492"/>
      <c r="J107" s="1492"/>
    </row>
    <row r="108" spans="1:10" x14ac:dyDescent="0.2">
      <c r="A108" s="1492"/>
      <c r="B108" s="1492"/>
      <c r="C108" s="1492"/>
      <c r="D108" s="1492"/>
      <c r="E108" s="1492"/>
      <c r="F108" s="1492"/>
      <c r="G108" s="1492"/>
      <c r="H108" s="1492"/>
      <c r="I108" s="1492"/>
      <c r="J108" s="1492"/>
    </row>
    <row r="109" spans="1:10" x14ac:dyDescent="0.2">
      <c r="A109" s="1492"/>
      <c r="B109" s="1492"/>
      <c r="C109" s="1492"/>
      <c r="D109" s="1492"/>
      <c r="E109" s="1492"/>
      <c r="F109" s="1492"/>
      <c r="G109" s="1492"/>
      <c r="H109" s="1492"/>
      <c r="I109" s="1492"/>
      <c r="J109" s="1492"/>
    </row>
    <row r="110" spans="1:10" x14ac:dyDescent="0.2">
      <c r="A110" s="1492"/>
      <c r="B110" s="1492"/>
      <c r="C110" s="1492"/>
      <c r="D110" s="1492"/>
      <c r="E110" s="1492"/>
      <c r="F110" s="1492"/>
      <c r="G110" s="1492"/>
      <c r="H110" s="1492"/>
      <c r="I110" s="1492"/>
      <c r="J110" s="1492"/>
    </row>
    <row r="111" spans="1:10" x14ac:dyDescent="0.2">
      <c r="A111" s="1492"/>
      <c r="B111" s="1492"/>
      <c r="C111" s="1492"/>
      <c r="D111" s="1492"/>
      <c r="E111" s="1492"/>
      <c r="F111" s="1492"/>
      <c r="G111" s="1492"/>
      <c r="H111" s="1492"/>
      <c r="I111" s="1492"/>
      <c r="J111" s="1492"/>
    </row>
    <row r="112" spans="1:10" x14ac:dyDescent="0.2">
      <c r="A112" s="1492"/>
      <c r="B112" s="1492"/>
      <c r="C112" s="1492"/>
      <c r="D112" s="1492"/>
      <c r="E112" s="1492"/>
      <c r="F112" s="1492"/>
      <c r="G112" s="1492"/>
      <c r="H112" s="1492"/>
      <c r="I112" s="1492"/>
      <c r="J112" s="1492"/>
    </row>
    <row r="113" spans="1:10" x14ac:dyDescent="0.2">
      <c r="A113" s="1492"/>
      <c r="B113" s="1492"/>
      <c r="C113" s="1492"/>
      <c r="D113" s="1492"/>
      <c r="E113" s="1492"/>
      <c r="F113" s="1492"/>
      <c r="G113" s="1492"/>
      <c r="H113" s="1492"/>
      <c r="I113" s="1492"/>
      <c r="J113" s="1492"/>
    </row>
    <row r="114" spans="1:10" x14ac:dyDescent="0.2">
      <c r="A114" s="1492"/>
      <c r="B114" s="1492"/>
      <c r="C114" s="1492"/>
      <c r="D114" s="1492"/>
      <c r="E114" s="1492"/>
      <c r="F114" s="1492"/>
      <c r="G114" s="1492"/>
      <c r="H114" s="1492"/>
      <c r="I114" s="1492"/>
      <c r="J114" s="1492"/>
    </row>
    <row r="115" spans="1:10" x14ac:dyDescent="0.2">
      <c r="A115" s="1492"/>
      <c r="B115" s="1492"/>
      <c r="C115" s="1492"/>
      <c r="D115" s="1492"/>
      <c r="E115" s="1492"/>
      <c r="F115" s="1492"/>
      <c r="G115" s="1492"/>
      <c r="H115" s="1492"/>
      <c r="I115" s="1492"/>
      <c r="J115" s="1492"/>
    </row>
    <row r="116" spans="1:10" x14ac:dyDescent="0.2">
      <c r="A116" s="1492"/>
      <c r="B116" s="1492"/>
      <c r="C116" s="1492"/>
      <c r="D116" s="1492"/>
      <c r="E116" s="1492"/>
      <c r="F116" s="1492"/>
      <c r="G116" s="1492"/>
      <c r="H116" s="1492"/>
      <c r="I116" s="1492"/>
      <c r="J116" s="1492"/>
    </row>
    <row r="117" spans="1:10" x14ac:dyDescent="0.2">
      <c r="A117" s="1492"/>
      <c r="B117" s="1492"/>
      <c r="C117" s="1492"/>
      <c r="D117" s="1492"/>
      <c r="E117" s="1492"/>
      <c r="F117" s="1492"/>
      <c r="G117" s="1492"/>
      <c r="H117" s="1492"/>
      <c r="I117" s="1492"/>
      <c r="J117" s="1492"/>
    </row>
    <row r="118" spans="1:10" x14ac:dyDescent="0.2">
      <c r="A118" s="1492"/>
      <c r="B118" s="1492"/>
      <c r="C118" s="1492"/>
      <c r="D118" s="1492"/>
      <c r="E118" s="1492"/>
      <c r="F118" s="1492"/>
      <c r="G118" s="1492"/>
      <c r="H118" s="1492"/>
      <c r="I118" s="1492"/>
      <c r="J118" s="1492"/>
    </row>
    <row r="119" spans="1:10" x14ac:dyDescent="0.2">
      <c r="A119" s="1492"/>
      <c r="B119" s="1492"/>
      <c r="C119" s="1492"/>
      <c r="D119" s="1492"/>
      <c r="E119" s="1492"/>
      <c r="F119" s="1492"/>
      <c r="G119" s="1492"/>
      <c r="H119" s="1492"/>
      <c r="I119" s="1492"/>
      <c r="J119" s="1492"/>
    </row>
    <row r="120" spans="1:10" x14ac:dyDescent="0.2">
      <c r="A120" s="1492"/>
      <c r="B120" s="1492"/>
      <c r="C120" s="1492"/>
      <c r="D120" s="1492"/>
      <c r="E120" s="1492"/>
      <c r="F120" s="1492"/>
      <c r="G120" s="1492"/>
      <c r="H120" s="1492"/>
      <c r="I120" s="1492"/>
      <c r="J120" s="1492"/>
    </row>
    <row r="121" spans="1:10" x14ac:dyDescent="0.2">
      <c r="A121" s="1492"/>
      <c r="B121" s="1492"/>
      <c r="C121" s="1492"/>
      <c r="D121" s="1492"/>
      <c r="E121" s="1492"/>
      <c r="F121" s="1492"/>
      <c r="G121" s="1492"/>
      <c r="H121" s="1492"/>
      <c r="I121" s="1492"/>
      <c r="J121" s="1492"/>
    </row>
    <row r="122" spans="1:10" x14ac:dyDescent="0.2">
      <c r="A122" s="1492"/>
      <c r="B122" s="1492"/>
      <c r="C122" s="1492"/>
      <c r="D122" s="1492"/>
      <c r="E122" s="1492"/>
      <c r="F122" s="1492"/>
      <c r="G122" s="1492"/>
      <c r="H122" s="1492"/>
      <c r="I122" s="1492"/>
      <c r="J122" s="1492"/>
    </row>
    <row r="123" spans="1:10" x14ac:dyDescent="0.2">
      <c r="A123" s="1492"/>
      <c r="B123" s="1492"/>
      <c r="C123" s="1492"/>
      <c r="D123" s="1492"/>
      <c r="E123" s="1492"/>
      <c r="F123" s="1492"/>
      <c r="G123" s="1492"/>
      <c r="H123" s="1492"/>
      <c r="I123" s="1492"/>
      <c r="J123" s="1492"/>
    </row>
    <row r="124" spans="1:10" x14ac:dyDescent="0.2">
      <c r="A124" s="1492"/>
      <c r="B124" s="1492"/>
      <c r="C124" s="1492"/>
      <c r="D124" s="1492"/>
      <c r="E124" s="1492"/>
      <c r="F124" s="1492"/>
      <c r="G124" s="1492"/>
      <c r="H124" s="1492"/>
      <c r="I124" s="1492"/>
      <c r="J124" s="1492"/>
    </row>
    <row r="125" spans="1:10" x14ac:dyDescent="0.2">
      <c r="A125" s="1492"/>
      <c r="B125" s="1492"/>
      <c r="C125" s="1492"/>
      <c r="D125" s="1492"/>
      <c r="E125" s="1492"/>
      <c r="F125" s="1492"/>
      <c r="G125" s="1492"/>
      <c r="H125" s="1492"/>
      <c r="I125" s="1492"/>
      <c r="J125" s="1492"/>
    </row>
    <row r="126" spans="1:10" x14ac:dyDescent="0.2">
      <c r="A126" s="1492"/>
      <c r="B126" s="1492"/>
      <c r="C126" s="1492"/>
      <c r="D126" s="1492"/>
      <c r="E126" s="1492"/>
      <c r="F126" s="1492"/>
      <c r="G126" s="1492"/>
      <c r="H126" s="1492"/>
      <c r="I126" s="1492"/>
      <c r="J126" s="1492"/>
    </row>
    <row r="127" spans="1:10" ht="15.75" customHeight="1" x14ac:dyDescent="0.2">
      <c r="A127" s="1493" t="s">
        <v>714</v>
      </c>
      <c r="B127" s="1493"/>
      <c r="C127" s="1493"/>
      <c r="D127" s="1493"/>
      <c r="E127" s="1493"/>
      <c r="F127" s="1493"/>
      <c r="G127" s="1493"/>
      <c r="H127" s="1493"/>
      <c r="I127" s="1493"/>
      <c r="J127" s="1493"/>
    </row>
    <row r="128" spans="1:10" ht="15.75" customHeight="1" x14ac:dyDescent="0.2">
      <c r="A128" s="1495" t="s">
        <v>715</v>
      </c>
      <c r="B128" s="1495"/>
      <c r="C128" s="1495"/>
      <c r="D128" s="1495"/>
      <c r="E128" s="1495"/>
      <c r="F128" s="1495"/>
      <c r="G128" s="1495"/>
      <c r="H128" s="1495"/>
      <c r="I128" s="1495"/>
      <c r="J128" s="1495"/>
    </row>
    <row r="129" spans="1:10" s="350" customFormat="1" ht="15.75" x14ac:dyDescent="0.2">
      <c r="A129" s="1495"/>
      <c r="B129" s="1495"/>
      <c r="C129" s="1495"/>
      <c r="D129" s="1495"/>
      <c r="E129" s="1495"/>
      <c r="F129" s="1495"/>
      <c r="G129" s="1495"/>
      <c r="H129" s="1495"/>
      <c r="I129" s="1495"/>
      <c r="J129" s="1495"/>
    </row>
    <row r="130" spans="1:10" s="350" customFormat="1" ht="15.75" customHeight="1" x14ac:dyDescent="0.2">
      <c r="A130" s="1493" t="s">
        <v>778</v>
      </c>
      <c r="B130" s="1493"/>
      <c r="C130" s="1493"/>
      <c r="D130" s="1493"/>
      <c r="E130" s="1493"/>
      <c r="F130" s="1493"/>
      <c r="G130" s="1493"/>
      <c r="H130" s="1493"/>
      <c r="I130" s="1493"/>
      <c r="J130" s="1493"/>
    </row>
    <row r="131" spans="1:10" s="350" customFormat="1" ht="15.75" customHeight="1" x14ac:dyDescent="0.2">
      <c r="A131" s="1491" t="s">
        <v>825</v>
      </c>
      <c r="B131" s="1491"/>
      <c r="C131" s="1491"/>
      <c r="D131" s="1491"/>
      <c r="E131" s="1491"/>
      <c r="F131" s="1491"/>
      <c r="G131" s="1491"/>
      <c r="H131" s="1491"/>
      <c r="I131" s="1491"/>
      <c r="J131" s="1491"/>
    </row>
    <row r="132" spans="1:10" s="350" customFormat="1" ht="15.75" customHeight="1" x14ac:dyDescent="0.2">
      <c r="A132" s="1491"/>
      <c r="B132" s="1491"/>
      <c r="C132" s="1491"/>
      <c r="D132" s="1491"/>
      <c r="E132" s="1491"/>
      <c r="F132" s="1491"/>
      <c r="G132" s="1491"/>
      <c r="H132" s="1491"/>
      <c r="I132" s="1491"/>
      <c r="J132" s="1491"/>
    </row>
    <row r="133" spans="1:10" s="350" customFormat="1" ht="15.75" customHeight="1" x14ac:dyDescent="0.2">
      <c r="A133" s="1491"/>
      <c r="B133" s="1491"/>
      <c r="C133" s="1491"/>
      <c r="D133" s="1491"/>
      <c r="E133" s="1491"/>
      <c r="F133" s="1491"/>
      <c r="G133" s="1491"/>
      <c r="H133" s="1491"/>
      <c r="I133" s="1491"/>
      <c r="J133" s="1491"/>
    </row>
    <row r="134" spans="1:10" s="350" customFormat="1" ht="15.75" customHeight="1" x14ac:dyDescent="0.2">
      <c r="A134" s="1491"/>
      <c r="B134" s="1491"/>
      <c r="C134" s="1491"/>
      <c r="D134" s="1491"/>
      <c r="E134" s="1491"/>
      <c r="F134" s="1491"/>
      <c r="G134" s="1491"/>
      <c r="H134" s="1491"/>
      <c r="I134" s="1491"/>
      <c r="J134" s="1491"/>
    </row>
    <row r="135" spans="1:10" s="350" customFormat="1" ht="15.75" customHeight="1" x14ac:dyDescent="0.2">
      <c r="A135" s="1491"/>
      <c r="B135" s="1491"/>
      <c r="C135" s="1491"/>
      <c r="D135" s="1491"/>
      <c r="E135" s="1491"/>
      <c r="F135" s="1491"/>
      <c r="G135" s="1491"/>
      <c r="H135" s="1491"/>
      <c r="I135" s="1491"/>
      <c r="J135" s="1491"/>
    </row>
    <row r="136" spans="1:10" s="431" customFormat="1" ht="15.75" customHeight="1" x14ac:dyDescent="0.2">
      <c r="A136" s="1491"/>
      <c r="B136" s="1491"/>
      <c r="C136" s="1491"/>
      <c r="D136" s="1491"/>
      <c r="E136" s="1491"/>
      <c r="F136" s="1491"/>
      <c r="G136" s="1491"/>
      <c r="H136" s="1491"/>
      <c r="I136" s="1491"/>
      <c r="J136" s="1491"/>
    </row>
    <row r="137" spans="1:10" s="350" customFormat="1" ht="15.75" customHeight="1" x14ac:dyDescent="0.2">
      <c r="A137" s="1491"/>
      <c r="B137" s="1491"/>
      <c r="C137" s="1491"/>
      <c r="D137" s="1491"/>
      <c r="E137" s="1491"/>
      <c r="F137" s="1491"/>
      <c r="G137" s="1491"/>
      <c r="H137" s="1491"/>
      <c r="I137" s="1491"/>
      <c r="J137" s="1491"/>
    </row>
    <row r="138" spans="1:10" ht="15.75" customHeight="1" x14ac:dyDescent="0.2">
      <c r="A138" s="1493" t="s">
        <v>779</v>
      </c>
      <c r="B138" s="1493"/>
      <c r="C138" s="1493"/>
      <c r="D138" s="1493"/>
      <c r="E138" s="1493"/>
      <c r="F138" s="1493"/>
      <c r="G138" s="1493"/>
      <c r="H138" s="1493"/>
      <c r="I138" s="1493"/>
      <c r="J138" s="1493"/>
    </row>
    <row r="139" spans="1:10" ht="15.75" customHeight="1" x14ac:dyDescent="0.25">
      <c r="A139" s="1498" t="s">
        <v>716</v>
      </c>
      <c r="B139" s="1498"/>
      <c r="C139" s="1498"/>
      <c r="D139" s="1498"/>
      <c r="E139" s="1498"/>
      <c r="F139" s="1498"/>
      <c r="G139" s="1498"/>
      <c r="H139" s="1498"/>
      <c r="I139" s="1498"/>
      <c r="J139" s="1498"/>
    </row>
    <row r="140" spans="1:10" ht="15.75" customHeight="1" x14ac:dyDescent="0.25">
      <c r="A140" s="1498" t="s">
        <v>717</v>
      </c>
      <c r="B140" s="1498"/>
      <c r="C140" s="1498"/>
      <c r="D140" s="1498"/>
      <c r="E140" s="1498"/>
      <c r="F140" s="1498"/>
      <c r="G140" s="1498"/>
      <c r="H140" s="1498"/>
      <c r="I140" s="1498"/>
      <c r="J140" s="1498"/>
    </row>
    <row r="141" spans="1:10" ht="15.75" customHeight="1" x14ac:dyDescent="0.25">
      <c r="A141" s="1498" t="s">
        <v>718</v>
      </c>
      <c r="B141" s="1498"/>
      <c r="C141" s="1498"/>
      <c r="D141" s="1498"/>
      <c r="E141" s="1498"/>
      <c r="F141" s="1498"/>
      <c r="G141" s="1498"/>
      <c r="H141" s="1498"/>
      <c r="I141" s="1498"/>
      <c r="J141" s="1498"/>
    </row>
    <row r="142" spans="1:10" ht="30.75" customHeight="1" x14ac:dyDescent="0.25">
      <c r="A142" s="1498" t="s">
        <v>719</v>
      </c>
      <c r="B142" s="1498"/>
      <c r="C142" s="1498"/>
      <c r="D142" s="1498"/>
      <c r="E142" s="1498"/>
      <c r="F142" s="1498"/>
      <c r="G142" s="1498"/>
      <c r="H142" s="1498"/>
      <c r="I142" s="1498"/>
      <c r="J142" s="1498"/>
    </row>
    <row r="143" spans="1:10" s="350" customFormat="1" ht="15.75" x14ac:dyDescent="0.25">
      <c r="A143" s="1498"/>
      <c r="B143" s="1498"/>
      <c r="C143" s="1498"/>
      <c r="D143" s="1498"/>
      <c r="E143" s="1498"/>
      <c r="F143" s="1498"/>
      <c r="G143" s="1498"/>
      <c r="H143" s="1498"/>
      <c r="I143" s="1498"/>
      <c r="J143" s="1498"/>
    </row>
    <row r="144" spans="1:10" ht="15.75" customHeight="1" x14ac:dyDescent="0.25">
      <c r="A144" s="1499" t="s">
        <v>780</v>
      </c>
      <c r="B144" s="1499"/>
      <c r="C144" s="1499"/>
      <c r="D144" s="1499"/>
      <c r="E144" s="1499"/>
      <c r="F144" s="1499"/>
      <c r="G144" s="1499"/>
      <c r="H144" s="1499"/>
      <c r="I144" s="1499"/>
      <c r="J144" s="1499"/>
    </row>
  </sheetData>
  <sheetProtection password="CF24" sheet="1" objects="1" scenarios="1"/>
  <mergeCells count="124">
    <mergeCell ref="A142:J142"/>
    <mergeCell ref="A143:J143"/>
    <mergeCell ref="A144:J144"/>
    <mergeCell ref="A131:J137"/>
    <mergeCell ref="A9:J10"/>
    <mergeCell ref="A138:J138"/>
    <mergeCell ref="A139:J139"/>
    <mergeCell ref="A140:J140"/>
    <mergeCell ref="A141:J141"/>
    <mergeCell ref="A127:J127"/>
    <mergeCell ref="A128:J128"/>
    <mergeCell ref="A129:J129"/>
    <mergeCell ref="A130:J130"/>
    <mergeCell ref="A123:J123"/>
    <mergeCell ref="A124:J124"/>
    <mergeCell ref="A125:J125"/>
    <mergeCell ref="A126:J126"/>
    <mergeCell ref="A118:J118"/>
    <mergeCell ref="A119:J119"/>
    <mergeCell ref="A120:J120"/>
    <mergeCell ref="A121:J121"/>
    <mergeCell ref="A122:J122"/>
    <mergeCell ref="A113:J113"/>
    <mergeCell ref="A114:J114"/>
    <mergeCell ref="A115:J115"/>
    <mergeCell ref="A116:J116"/>
    <mergeCell ref="A117:J117"/>
    <mergeCell ref="A108:J108"/>
    <mergeCell ref="A109:J109"/>
    <mergeCell ref="A110:J110"/>
    <mergeCell ref="A111:J111"/>
    <mergeCell ref="A112:J112"/>
    <mergeCell ref="A103:J103"/>
    <mergeCell ref="A104:J104"/>
    <mergeCell ref="A105:J105"/>
    <mergeCell ref="A106:J106"/>
    <mergeCell ref="A107:J107"/>
    <mergeCell ref="A98:J98"/>
    <mergeCell ref="A99:J99"/>
    <mergeCell ref="A100:J100"/>
    <mergeCell ref="A101:J101"/>
    <mergeCell ref="A102:J102"/>
    <mergeCell ref="A93:J93"/>
    <mergeCell ref="A94:J94"/>
    <mergeCell ref="A95:J95"/>
    <mergeCell ref="A96:J96"/>
    <mergeCell ref="A97:J97"/>
    <mergeCell ref="A88:J88"/>
    <mergeCell ref="A89:J89"/>
    <mergeCell ref="A90:J90"/>
    <mergeCell ref="A91:J91"/>
    <mergeCell ref="A92:J92"/>
    <mergeCell ref="A83:J83"/>
    <mergeCell ref="A84:J84"/>
    <mergeCell ref="A85:J85"/>
    <mergeCell ref="A86:J86"/>
    <mergeCell ref="A87:J87"/>
    <mergeCell ref="A78:J78"/>
    <mergeCell ref="A79:J79"/>
    <mergeCell ref="A80:J80"/>
    <mergeCell ref="A81:J81"/>
    <mergeCell ref="A82:J82"/>
    <mergeCell ref="A73:J73"/>
    <mergeCell ref="A74:J74"/>
    <mergeCell ref="A75:J75"/>
    <mergeCell ref="A76:J76"/>
    <mergeCell ref="A77:J77"/>
    <mergeCell ref="A68:J68"/>
    <mergeCell ref="A69:J69"/>
    <mergeCell ref="A70:J70"/>
    <mergeCell ref="A71:J71"/>
    <mergeCell ref="A72:J72"/>
    <mergeCell ref="A63:J63"/>
    <mergeCell ref="A64:J64"/>
    <mergeCell ref="A65:J65"/>
    <mergeCell ref="A66:J66"/>
    <mergeCell ref="A67:J67"/>
    <mergeCell ref="A58:J58"/>
    <mergeCell ref="A59:J59"/>
    <mergeCell ref="A60:J60"/>
    <mergeCell ref="A61:J61"/>
    <mergeCell ref="A62:J62"/>
    <mergeCell ref="A53:J53"/>
    <mergeCell ref="A54:J54"/>
    <mergeCell ref="A55:J55"/>
    <mergeCell ref="A56:J56"/>
    <mergeCell ref="A57:J57"/>
    <mergeCell ref="A48:J48"/>
    <mergeCell ref="A49:J49"/>
    <mergeCell ref="A50:J50"/>
    <mergeCell ref="A51:J51"/>
    <mergeCell ref="A52:J52"/>
    <mergeCell ref="A43:J43"/>
    <mergeCell ref="A44:J44"/>
    <mergeCell ref="A45:J45"/>
    <mergeCell ref="A46:J46"/>
    <mergeCell ref="A47:J47"/>
    <mergeCell ref="A38:J38"/>
    <mergeCell ref="A39:J39"/>
    <mergeCell ref="A40:J40"/>
    <mergeCell ref="A41:J41"/>
    <mergeCell ref="A42:J42"/>
    <mergeCell ref="A33:J33"/>
    <mergeCell ref="A34:J34"/>
    <mergeCell ref="A35:J35"/>
    <mergeCell ref="A36:J36"/>
    <mergeCell ref="A37:J37"/>
    <mergeCell ref="A31:J31"/>
    <mergeCell ref="A32:J32"/>
    <mergeCell ref="A28:J28"/>
    <mergeCell ref="A29:J29"/>
    <mergeCell ref="A30:J30"/>
    <mergeCell ref="A14:J14"/>
    <mergeCell ref="A15:J15"/>
    <mergeCell ref="A16:J16"/>
    <mergeCell ref="A1:J1"/>
    <mergeCell ref="A2:J2"/>
    <mergeCell ref="A3:J3"/>
    <mergeCell ref="A4:J4"/>
    <mergeCell ref="A7:J7"/>
    <mergeCell ref="A8:J8"/>
    <mergeCell ref="A13:J13"/>
    <mergeCell ref="A5:J6"/>
    <mergeCell ref="A11:J12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9219" r:id="rId4">
          <objectPr defaultSize="0" autoPict="0" r:id="rId5">
            <anchor moveWithCells="1" sizeWithCells="1">
              <from>
                <xdr:col>0</xdr:col>
                <xdr:colOff>0</xdr:colOff>
                <xdr:row>31</xdr:row>
                <xdr:rowOff>0</xdr:rowOff>
              </from>
              <to>
                <xdr:col>9</xdr:col>
                <xdr:colOff>590550</xdr:colOff>
                <xdr:row>76</xdr:row>
                <xdr:rowOff>76200</xdr:rowOff>
              </to>
            </anchor>
          </objectPr>
        </oleObject>
      </mc:Choice>
      <mc:Fallback>
        <oleObject progId="PBrush" shapeId="9219" r:id="rId4"/>
      </mc:Fallback>
    </mc:AlternateContent>
    <mc:AlternateContent xmlns:mc="http://schemas.openxmlformats.org/markup-compatibility/2006">
      <mc:Choice Requires="x14">
        <oleObject progId="PBrush" shapeId="9220" r:id="rId6">
          <objectPr defaultSize="0" autoPict="0" r:id="rId7">
            <anchor moveWithCells="1" sizeWithCells="1">
              <from>
                <xdr:col>0</xdr:col>
                <xdr:colOff>0</xdr:colOff>
                <xdr:row>79</xdr:row>
                <xdr:rowOff>0</xdr:rowOff>
              </from>
              <to>
                <xdr:col>9</xdr:col>
                <xdr:colOff>590550</xdr:colOff>
                <xdr:row>124</xdr:row>
                <xdr:rowOff>95250</xdr:rowOff>
              </to>
            </anchor>
          </objectPr>
        </oleObject>
      </mc:Choice>
      <mc:Fallback>
        <oleObject progId="PBrush" shapeId="9220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59"/>
  <sheetViews>
    <sheetView topLeftCell="A31" workbookViewId="0">
      <selection activeCell="D55" sqref="D55"/>
    </sheetView>
  </sheetViews>
  <sheetFormatPr defaultRowHeight="12.75" x14ac:dyDescent="0.2"/>
  <cols>
    <col min="1" max="1" width="13.140625" style="104" customWidth="1"/>
    <col min="2" max="2" width="45.42578125" customWidth="1"/>
    <col min="3" max="3" width="16.28515625" customWidth="1"/>
    <col min="4" max="4" width="146.140625" style="123" customWidth="1"/>
    <col min="5" max="5" width="130.140625" customWidth="1"/>
  </cols>
  <sheetData>
    <row r="1" spans="1:5" x14ac:dyDescent="0.2">
      <c r="A1" s="104" t="s">
        <v>356</v>
      </c>
      <c r="B1" t="s">
        <v>338</v>
      </c>
      <c r="C1" t="s">
        <v>339</v>
      </c>
      <c r="D1" s="123" t="s">
        <v>340</v>
      </c>
      <c r="E1" s="2" t="s">
        <v>515</v>
      </c>
    </row>
    <row r="2" spans="1:5" x14ac:dyDescent="0.2">
      <c r="A2" s="104" t="s">
        <v>357</v>
      </c>
      <c r="B2" t="s">
        <v>343</v>
      </c>
      <c r="C2" s="106">
        <v>44013</v>
      </c>
      <c r="E2" s="112" t="s">
        <v>520</v>
      </c>
    </row>
    <row r="3" spans="1:5" x14ac:dyDescent="0.2">
      <c r="A3" s="104" t="s">
        <v>357</v>
      </c>
      <c r="B3" t="s">
        <v>341</v>
      </c>
      <c r="C3" s="106">
        <v>44018</v>
      </c>
      <c r="D3" s="123" t="s">
        <v>342</v>
      </c>
      <c r="E3" s="112" t="s">
        <v>516</v>
      </c>
    </row>
    <row r="4" spans="1:5" x14ac:dyDescent="0.2">
      <c r="A4" s="104" t="s">
        <v>358</v>
      </c>
      <c r="B4" t="s">
        <v>360</v>
      </c>
      <c r="C4" s="106">
        <v>44064</v>
      </c>
      <c r="D4" s="123" t="s">
        <v>359</v>
      </c>
      <c r="E4" s="112" t="s">
        <v>517</v>
      </c>
    </row>
    <row r="5" spans="1:5" x14ac:dyDescent="0.2">
      <c r="A5" s="1501" t="s">
        <v>361</v>
      </c>
      <c r="B5" s="1502" t="s">
        <v>425</v>
      </c>
      <c r="C5" s="1503">
        <v>44097</v>
      </c>
      <c r="D5" s="1492" t="s">
        <v>426</v>
      </c>
      <c r="E5" s="112" t="s">
        <v>518</v>
      </c>
    </row>
    <row r="6" spans="1:5" x14ac:dyDescent="0.2">
      <c r="A6" s="1501"/>
      <c r="B6" s="1502"/>
      <c r="C6" s="1503"/>
      <c r="D6" s="1492"/>
      <c r="E6" s="112" t="s">
        <v>519</v>
      </c>
    </row>
    <row r="7" spans="1:5" x14ac:dyDescent="0.2">
      <c r="A7" s="104" t="s">
        <v>427</v>
      </c>
      <c r="B7" t="s">
        <v>505</v>
      </c>
      <c r="C7" s="106">
        <v>44098</v>
      </c>
      <c r="D7" s="123" t="s">
        <v>504</v>
      </c>
    </row>
    <row r="8" spans="1:5" x14ac:dyDescent="0.2">
      <c r="A8" s="104" t="s">
        <v>431</v>
      </c>
      <c r="B8" t="s">
        <v>503</v>
      </c>
      <c r="C8" s="106">
        <v>44110</v>
      </c>
      <c r="D8" t="s">
        <v>432</v>
      </c>
    </row>
    <row r="9" spans="1:5" x14ac:dyDescent="0.2">
      <c r="A9" s="104" t="s">
        <v>438</v>
      </c>
      <c r="B9" t="s">
        <v>439</v>
      </c>
      <c r="C9" s="106">
        <v>44130</v>
      </c>
      <c r="D9" s="123" t="s">
        <v>440</v>
      </c>
    </row>
    <row r="10" spans="1:5" x14ac:dyDescent="0.2">
      <c r="A10" s="104" t="s">
        <v>441</v>
      </c>
      <c r="B10" t="s">
        <v>442</v>
      </c>
      <c r="C10" s="106">
        <v>44131</v>
      </c>
      <c r="D10" s="123" t="s">
        <v>443</v>
      </c>
    </row>
    <row r="11" spans="1:5" x14ac:dyDescent="0.2">
      <c r="A11" s="104" t="s">
        <v>452</v>
      </c>
      <c r="B11" t="s">
        <v>453</v>
      </c>
      <c r="C11" s="106">
        <v>44133</v>
      </c>
    </row>
    <row r="12" spans="1:5" x14ac:dyDescent="0.2">
      <c r="A12" s="104" t="s">
        <v>481</v>
      </c>
      <c r="B12" t="s">
        <v>453</v>
      </c>
      <c r="C12" s="106">
        <v>44137</v>
      </c>
      <c r="D12" s="123" t="s">
        <v>501</v>
      </c>
    </row>
    <row r="13" spans="1:5" x14ac:dyDescent="0.2">
      <c r="A13" s="104" t="s">
        <v>457</v>
      </c>
      <c r="B13" t="s">
        <v>459</v>
      </c>
      <c r="C13" s="106">
        <v>44137</v>
      </c>
      <c r="D13" s="123" t="s">
        <v>458</v>
      </c>
    </row>
    <row r="14" spans="1:5" x14ac:dyDescent="0.2">
      <c r="A14" s="104" t="s">
        <v>502</v>
      </c>
      <c r="B14" t="s">
        <v>506</v>
      </c>
      <c r="C14" s="106">
        <v>44138</v>
      </c>
      <c r="D14" t="s">
        <v>506</v>
      </c>
    </row>
    <row r="15" spans="1:5" x14ac:dyDescent="0.2">
      <c r="A15" s="104" t="s">
        <v>525</v>
      </c>
      <c r="B15" t="s">
        <v>526</v>
      </c>
      <c r="C15" s="106">
        <v>44145</v>
      </c>
      <c r="D15" s="123" t="s">
        <v>527</v>
      </c>
    </row>
    <row r="16" spans="1:5" x14ac:dyDescent="0.2">
      <c r="A16" s="104" t="s">
        <v>528</v>
      </c>
      <c r="B16" t="s">
        <v>529</v>
      </c>
      <c r="C16" s="106">
        <v>44166</v>
      </c>
    </row>
    <row r="17" spans="1:5" x14ac:dyDescent="0.2">
      <c r="A17" s="104" t="s">
        <v>531</v>
      </c>
      <c r="B17" t="s">
        <v>533</v>
      </c>
      <c r="C17" s="106">
        <v>44231</v>
      </c>
      <c r="D17" s="123" t="s">
        <v>536</v>
      </c>
    </row>
    <row r="18" spans="1:5" x14ac:dyDescent="0.2">
      <c r="A18" s="104" t="s">
        <v>538</v>
      </c>
      <c r="B18" t="s">
        <v>539</v>
      </c>
      <c r="C18" s="106">
        <v>44232</v>
      </c>
      <c r="E18" t="s">
        <v>537</v>
      </c>
    </row>
    <row r="19" spans="1:5" x14ac:dyDescent="0.2">
      <c r="A19" s="104" t="s">
        <v>546</v>
      </c>
      <c r="B19" t="s">
        <v>547</v>
      </c>
      <c r="C19" s="106">
        <v>44237</v>
      </c>
    </row>
    <row r="20" spans="1:5" x14ac:dyDescent="0.2">
      <c r="A20" s="104" t="s">
        <v>549</v>
      </c>
      <c r="B20" t="s">
        <v>550</v>
      </c>
      <c r="C20" s="106">
        <v>44238</v>
      </c>
    </row>
    <row r="21" spans="1:5" x14ac:dyDescent="0.2">
      <c r="A21" s="104" t="s">
        <v>551</v>
      </c>
      <c r="B21" t="s">
        <v>552</v>
      </c>
      <c r="C21" s="106">
        <v>44242</v>
      </c>
    </row>
    <row r="22" spans="1:5" x14ac:dyDescent="0.2">
      <c r="A22" s="104" t="s">
        <v>555</v>
      </c>
      <c r="B22" t="s">
        <v>556</v>
      </c>
      <c r="C22" s="106">
        <v>44253</v>
      </c>
    </row>
    <row r="23" spans="1:5" x14ac:dyDescent="0.2">
      <c r="A23" s="104" t="s">
        <v>574</v>
      </c>
      <c r="B23" t="s">
        <v>576</v>
      </c>
      <c r="C23" s="106">
        <v>44256</v>
      </c>
      <c r="D23" t="s">
        <v>575</v>
      </c>
    </row>
    <row r="24" spans="1:5" x14ac:dyDescent="0.2">
      <c r="A24" s="104" t="s">
        <v>581</v>
      </c>
      <c r="B24" t="s">
        <v>582</v>
      </c>
      <c r="C24" s="106">
        <v>44257</v>
      </c>
      <c r="D24" t="s">
        <v>583</v>
      </c>
    </row>
    <row r="25" spans="1:5" x14ac:dyDescent="0.2">
      <c r="A25" s="104" t="s">
        <v>609</v>
      </c>
      <c r="B25" t="s">
        <v>610</v>
      </c>
      <c r="C25" s="106">
        <v>44257</v>
      </c>
      <c r="D25" t="s">
        <v>611</v>
      </c>
    </row>
    <row r="26" spans="1:5" x14ac:dyDescent="0.2">
      <c r="A26" s="104" t="s">
        <v>631</v>
      </c>
      <c r="B26" t="s">
        <v>632</v>
      </c>
      <c r="C26" s="106">
        <v>44264</v>
      </c>
      <c r="D26" t="s">
        <v>633</v>
      </c>
    </row>
    <row r="27" spans="1:5" x14ac:dyDescent="0.2">
      <c r="A27" s="104" t="s">
        <v>691</v>
      </c>
      <c r="B27" t="s">
        <v>692</v>
      </c>
      <c r="C27" s="106">
        <v>44272</v>
      </c>
      <c r="D27" t="s">
        <v>692</v>
      </c>
    </row>
    <row r="28" spans="1:5" x14ac:dyDescent="0.2">
      <c r="A28" s="290" t="s">
        <v>723</v>
      </c>
      <c r="B28" s="291" t="s">
        <v>724</v>
      </c>
      <c r="C28" s="292">
        <v>44274</v>
      </c>
      <c r="D28" s="291"/>
    </row>
    <row r="29" spans="1:5" x14ac:dyDescent="0.2">
      <c r="A29" s="299" t="s">
        <v>726</v>
      </c>
      <c r="B29" s="300" t="s">
        <v>727</v>
      </c>
      <c r="C29" s="301">
        <v>44274</v>
      </c>
      <c r="D29" s="300"/>
    </row>
    <row r="30" spans="1:5" x14ac:dyDescent="0.2">
      <c r="A30" s="306" t="s">
        <v>756</v>
      </c>
      <c r="B30" s="307" t="s">
        <v>758</v>
      </c>
      <c r="C30" s="308">
        <v>44279</v>
      </c>
      <c r="D30" s="123" t="s">
        <v>757</v>
      </c>
    </row>
    <row r="31" spans="1:5" x14ac:dyDescent="0.2">
      <c r="A31" s="341" t="s">
        <v>759</v>
      </c>
      <c r="B31" s="342" t="s">
        <v>760</v>
      </c>
      <c r="C31" s="343">
        <v>44280</v>
      </c>
      <c r="D31" s="340" t="s">
        <v>775</v>
      </c>
    </row>
    <row r="32" spans="1:5" x14ac:dyDescent="0.2">
      <c r="A32" s="346" t="s">
        <v>774</v>
      </c>
      <c r="B32" s="347" t="s">
        <v>760</v>
      </c>
      <c r="C32" s="348">
        <v>44281</v>
      </c>
      <c r="D32" s="345" t="s">
        <v>776</v>
      </c>
    </row>
    <row r="33" spans="1:4" x14ac:dyDescent="0.2">
      <c r="A33" s="406" t="s">
        <v>796</v>
      </c>
      <c r="B33" s="407" t="s">
        <v>797</v>
      </c>
      <c r="C33" s="408">
        <v>44284</v>
      </c>
      <c r="D33" s="405"/>
    </row>
    <row r="34" spans="1:4" x14ac:dyDescent="0.2">
      <c r="A34" s="418" t="s">
        <v>812</v>
      </c>
      <c r="B34" s="419" t="s">
        <v>813</v>
      </c>
      <c r="C34" s="420">
        <v>44293</v>
      </c>
    </row>
    <row r="35" spans="1:4" ht="25.5" x14ac:dyDescent="0.2">
      <c r="A35" s="430" t="s">
        <v>822</v>
      </c>
      <c r="B35" s="431" t="s">
        <v>823</v>
      </c>
      <c r="C35" s="432">
        <v>44301</v>
      </c>
      <c r="D35" s="123" t="s">
        <v>824</v>
      </c>
    </row>
    <row r="36" spans="1:4" ht="25.5" x14ac:dyDescent="0.2">
      <c r="A36" s="452" t="s">
        <v>849</v>
      </c>
      <c r="B36" s="453" t="s">
        <v>850</v>
      </c>
      <c r="C36" s="454">
        <v>44316</v>
      </c>
      <c r="D36" s="451" t="s">
        <v>824</v>
      </c>
    </row>
    <row r="37" spans="1:4" x14ac:dyDescent="0.2">
      <c r="A37" s="471" t="s">
        <v>865</v>
      </c>
      <c r="B37" s="472" t="s">
        <v>867</v>
      </c>
      <c r="C37" s="473">
        <v>44323</v>
      </c>
      <c r="D37" s="472" t="s">
        <v>866</v>
      </c>
    </row>
    <row r="38" spans="1:4" x14ac:dyDescent="0.2">
      <c r="A38" s="512" t="s">
        <v>887</v>
      </c>
      <c r="B38" s="513" t="s">
        <v>888</v>
      </c>
      <c r="C38" s="514">
        <v>44329</v>
      </c>
      <c r="D38" s="513" t="s">
        <v>889</v>
      </c>
    </row>
    <row r="39" spans="1:4" x14ac:dyDescent="0.2">
      <c r="A39" s="545" t="s">
        <v>964</v>
      </c>
      <c r="B39" s="546" t="s">
        <v>965</v>
      </c>
      <c r="C39" s="547">
        <v>44333</v>
      </c>
      <c r="D39" s="546" t="s">
        <v>889</v>
      </c>
    </row>
    <row r="40" spans="1:4" x14ac:dyDescent="0.2">
      <c r="A40" s="562" t="s">
        <v>966</v>
      </c>
      <c r="B40" s="563" t="s">
        <v>967</v>
      </c>
      <c r="C40" s="564">
        <v>44333</v>
      </c>
      <c r="D40" s="563" t="s">
        <v>967</v>
      </c>
    </row>
    <row r="41" spans="1:4" x14ac:dyDescent="0.2">
      <c r="A41" s="697" t="s">
        <v>975</v>
      </c>
      <c r="B41" s="698" t="s">
        <v>965</v>
      </c>
      <c r="C41" s="699">
        <v>44334</v>
      </c>
      <c r="D41" s="698" t="s">
        <v>977</v>
      </c>
    </row>
    <row r="42" spans="1:4" x14ac:dyDescent="0.2">
      <c r="A42" s="750" t="s">
        <v>1006</v>
      </c>
      <c r="B42" s="751" t="s">
        <v>1007</v>
      </c>
      <c r="C42" s="752">
        <v>44335</v>
      </c>
      <c r="D42" s="123" t="s">
        <v>972</v>
      </c>
    </row>
    <row r="43" spans="1:4" x14ac:dyDescent="0.2">
      <c r="A43" s="791" t="s">
        <v>1018</v>
      </c>
      <c r="B43" s="792" t="s">
        <v>1007</v>
      </c>
      <c r="C43" s="793">
        <v>44336</v>
      </c>
      <c r="D43" s="790" t="s">
        <v>1019</v>
      </c>
    </row>
    <row r="44" spans="1:4" x14ac:dyDescent="0.2">
      <c r="A44" s="902" t="s">
        <v>1139</v>
      </c>
      <c r="B44" t="s">
        <v>1140</v>
      </c>
      <c r="C44" s="904">
        <v>44340</v>
      </c>
      <c r="D44" s="903" t="s">
        <v>1141</v>
      </c>
    </row>
    <row r="45" spans="1:4" x14ac:dyDescent="0.2">
      <c r="A45" s="912" t="s">
        <v>1190</v>
      </c>
      <c r="B45" s="913" t="s">
        <v>1191</v>
      </c>
      <c r="C45" s="914">
        <v>44340</v>
      </c>
      <c r="D45" s="913" t="s">
        <v>1192</v>
      </c>
    </row>
    <row r="46" spans="1:4" x14ac:dyDescent="0.2">
      <c r="A46" s="976" t="s">
        <v>1216</v>
      </c>
      <c r="B46" s="977" t="s">
        <v>1217</v>
      </c>
      <c r="C46" s="978">
        <v>44344</v>
      </c>
      <c r="D46" s="977" t="s">
        <v>1217</v>
      </c>
    </row>
    <row r="47" spans="1:4" x14ac:dyDescent="0.2">
      <c r="A47" s="1007" t="s">
        <v>1301</v>
      </c>
      <c r="B47" s="1008" t="s">
        <v>1302</v>
      </c>
      <c r="C47" s="1009">
        <v>44351</v>
      </c>
    </row>
    <row r="59" spans="4:4" x14ac:dyDescent="0.2">
      <c r="D59" s="123" t="s">
        <v>1300</v>
      </c>
    </row>
  </sheetData>
  <mergeCells count="4">
    <mergeCell ref="D5:D6"/>
    <mergeCell ref="A5:A6"/>
    <mergeCell ref="B5:B6"/>
    <mergeCell ref="C5:C6"/>
  </mergeCells>
  <phoneticPr fontId="0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Z131"/>
  <sheetViews>
    <sheetView zoomScale="85" zoomScaleNormal="85" workbookViewId="0">
      <selection activeCell="E11" sqref="E11"/>
    </sheetView>
  </sheetViews>
  <sheetFormatPr defaultRowHeight="12.75" x14ac:dyDescent="0.2"/>
  <cols>
    <col min="1" max="1" width="3.7109375" style="73" customWidth="1"/>
    <col min="2" max="2" width="35" style="73" customWidth="1"/>
    <col min="3" max="3" width="19.7109375" style="76" customWidth="1"/>
    <col min="4" max="4" width="7" style="76" customWidth="1"/>
    <col min="5" max="5" width="21.85546875" style="73" customWidth="1"/>
    <col min="6" max="6" width="7.7109375" style="73" customWidth="1"/>
    <col min="7" max="7" width="8.7109375" style="73" customWidth="1"/>
    <col min="8" max="8" width="11.42578125" style="73" customWidth="1"/>
    <col min="9" max="9" width="5.85546875" style="73" customWidth="1"/>
    <col min="10" max="10" width="7" style="73" customWidth="1"/>
    <col min="11" max="11" width="6.7109375" style="73" customWidth="1"/>
    <col min="12" max="12" width="20.7109375" style="73" customWidth="1"/>
    <col min="13" max="13" width="11.7109375" style="73" customWidth="1"/>
    <col min="14" max="14" width="10.7109375" style="73" customWidth="1"/>
    <col min="15" max="15" width="9.7109375" style="73" customWidth="1"/>
    <col min="16" max="16" width="10.7109375" style="487" hidden="1" customWidth="1"/>
    <col min="17" max="17" width="26.85546875" style="317" hidden="1" customWidth="1"/>
    <col min="18" max="18" width="16.7109375" style="73" hidden="1" customWidth="1"/>
    <col min="19" max="22" width="13.7109375" style="73" hidden="1" customWidth="1"/>
    <col min="23" max="23" width="35.28515625" style="73" hidden="1" customWidth="1"/>
    <col min="24" max="44" width="10.7109375" style="73" hidden="1" customWidth="1"/>
    <col min="45" max="45" width="21.42578125" style="73" hidden="1" customWidth="1"/>
    <col min="46" max="66" width="10.7109375" style="73" hidden="1" customWidth="1"/>
    <col min="67" max="67" width="22.7109375" style="73" hidden="1" customWidth="1"/>
    <col min="68" max="87" width="10.7109375" style="73" hidden="1" customWidth="1"/>
    <col min="88" max="88" width="0" style="73" hidden="1" customWidth="1"/>
    <col min="89" max="89" width="33" style="73" customWidth="1"/>
    <col min="90" max="16384" width="9.140625" style="73"/>
  </cols>
  <sheetData>
    <row r="1" spans="1:104" ht="18" x14ac:dyDescent="0.2">
      <c r="B1" s="1098" t="s">
        <v>0</v>
      </c>
      <c r="C1" s="1099"/>
      <c r="D1" s="1099"/>
      <c r="E1" s="1099"/>
      <c r="F1" s="1099"/>
      <c r="G1" s="1099"/>
      <c r="H1" s="1099"/>
      <c r="I1" s="1099"/>
      <c r="J1" s="1099"/>
      <c r="K1" s="1108" t="str">
        <f ca="1">IF(C41="ЩР",C41,C41&amp;"-06")&amp;"-"&amp;D!$H$1&amp;"-"&amp;D!$E$1&amp;"-"&amp;D!$L$1&amp;D!J1&amp;"-"&amp;C42</f>
        <v>ЩР-250-01-14-УХЛ3</v>
      </c>
      <c r="L1" s="1108"/>
      <c r="M1" s="1108"/>
      <c r="N1" s="1108"/>
      <c r="O1" s="1109"/>
      <c r="P1" s="477"/>
      <c r="Q1" s="477"/>
      <c r="R1" s="68"/>
      <c r="S1" s="68"/>
      <c r="T1" s="69"/>
      <c r="U1" s="70"/>
      <c r="V1" s="70"/>
      <c r="W1" s="68"/>
      <c r="X1" s="70"/>
      <c r="Y1" s="71"/>
      <c r="Z1" s="71"/>
      <c r="AA1" s="72"/>
    </row>
    <row r="2" spans="1:104" ht="18" x14ac:dyDescent="0.2">
      <c r="B2" s="1106" t="s">
        <v>1</v>
      </c>
      <c r="C2" s="1107"/>
      <c r="D2" s="1107"/>
      <c r="E2" s="1107"/>
      <c r="F2" s="1107"/>
      <c r="G2" s="1107"/>
      <c r="H2" s="1107"/>
      <c r="I2" s="1107"/>
      <c r="J2" s="1107"/>
      <c r="K2" s="1504">
        <f>Бланк!K2</f>
        <v>0</v>
      </c>
      <c r="L2" s="1504"/>
      <c r="M2" s="1504"/>
      <c r="N2" s="1504"/>
      <c r="O2" s="1505"/>
      <c r="P2" s="312"/>
      <c r="Q2" s="312"/>
      <c r="R2" s="68"/>
      <c r="S2" s="68"/>
      <c r="T2" s="72"/>
      <c r="U2" s="71"/>
      <c r="V2" s="71"/>
      <c r="W2" s="71"/>
      <c r="X2" s="71"/>
      <c r="Y2" s="72"/>
      <c r="Z2" s="71"/>
      <c r="AA2" s="71"/>
      <c r="CZ2" s="542"/>
    </row>
    <row r="3" spans="1:104" ht="18" x14ac:dyDescent="0.2">
      <c r="B3" s="1106" t="s">
        <v>2</v>
      </c>
      <c r="C3" s="1107"/>
      <c r="D3" s="1107"/>
      <c r="E3" s="1107"/>
      <c r="F3" s="1107"/>
      <c r="G3" s="1107"/>
      <c r="H3" s="1107"/>
      <c r="I3" s="1107"/>
      <c r="J3" s="1107"/>
      <c r="K3" s="1506" t="str">
        <f>Бланк!K3</f>
        <v>TN-S</v>
      </c>
      <c r="L3" s="1506"/>
      <c r="M3" s="1506"/>
      <c r="N3" s="1506"/>
      <c r="O3" s="1507"/>
      <c r="P3" s="312"/>
      <c r="Q3" s="312"/>
      <c r="R3" s="68"/>
      <c r="S3" s="68"/>
      <c r="T3" s="72"/>
      <c r="U3" s="71"/>
      <c r="V3" s="71"/>
      <c r="W3" s="71"/>
      <c r="X3" s="71"/>
      <c r="Y3" s="71"/>
      <c r="Z3" s="71"/>
      <c r="AA3" s="71"/>
      <c r="CZ3" s="542"/>
    </row>
    <row r="4" spans="1:104" ht="18" x14ac:dyDescent="0.2">
      <c r="B4" s="1106" t="s">
        <v>3</v>
      </c>
      <c r="C4" s="1107"/>
      <c r="D4" s="1107"/>
      <c r="E4" s="1107"/>
      <c r="F4" s="1107"/>
      <c r="G4" s="1107"/>
      <c r="H4" s="1107"/>
      <c r="I4" s="1107"/>
      <c r="J4" s="1107"/>
      <c r="K4" s="1504">
        <f>Бланк!K4</f>
        <v>10</v>
      </c>
      <c r="L4" s="1504"/>
      <c r="M4" s="1504"/>
      <c r="N4" s="1504"/>
      <c r="O4" s="1505"/>
      <c r="P4" s="312"/>
      <c r="Q4" s="312"/>
      <c r="R4" s="68"/>
      <c r="S4" s="68"/>
      <c r="T4" s="72"/>
      <c r="U4" s="71"/>
      <c r="V4" s="71"/>
      <c r="W4" s="71"/>
      <c r="X4" s="71"/>
      <c r="Y4" s="71"/>
      <c r="Z4" s="71"/>
      <c r="AA4" s="71"/>
      <c r="CZ4" s="542"/>
    </row>
    <row r="5" spans="1:104" ht="18" x14ac:dyDescent="0.2">
      <c r="B5" s="1106" t="s">
        <v>4</v>
      </c>
      <c r="C5" s="1107"/>
      <c r="D5" s="1107"/>
      <c r="E5" s="1107"/>
      <c r="F5" s="1107"/>
      <c r="G5" s="1107"/>
      <c r="H5" s="1107"/>
      <c r="I5" s="1107"/>
      <c r="J5" s="1107"/>
      <c r="K5" s="1100" t="str">
        <f ca="1">Бланк!K5</f>
        <v>600x400x200</v>
      </c>
      <c r="L5" s="1100"/>
      <c r="M5" s="1100"/>
      <c r="N5" s="1100"/>
      <c r="O5" s="1101"/>
      <c r="P5" s="477"/>
      <c r="Q5" s="312"/>
      <c r="R5" s="68"/>
      <c r="S5" s="68"/>
      <c r="T5" s="72"/>
      <c r="U5" s="71"/>
      <c r="V5" s="71"/>
      <c r="W5" s="71"/>
      <c r="X5" s="71"/>
      <c r="Y5" s="71"/>
      <c r="Z5" s="71"/>
      <c r="AA5" s="71"/>
      <c r="CZ5" s="542"/>
    </row>
    <row r="6" spans="1:104" ht="36" customHeight="1" x14ac:dyDescent="0.2">
      <c r="B6" s="1104" t="s">
        <v>313</v>
      </c>
      <c r="C6" s="1105"/>
      <c r="D6" s="1105"/>
      <c r="E6" s="1105"/>
      <c r="F6" s="1105"/>
      <c r="G6" s="1105"/>
      <c r="H6" s="1105"/>
      <c r="I6" s="1105"/>
      <c r="J6" s="1105"/>
      <c r="K6" s="1506" t="str">
        <f>Бланк!K6</f>
        <v>ГОСТ Р 50462 / L1, L2, L3</v>
      </c>
      <c r="L6" s="1506"/>
      <c r="M6" s="1506"/>
      <c r="N6" s="1506"/>
      <c r="O6" s="1507"/>
      <c r="P6" s="312"/>
      <c r="Q6" s="312"/>
      <c r="R6" s="68"/>
      <c r="S6" s="74"/>
      <c r="T6" s="72"/>
      <c r="U6" s="71"/>
      <c r="V6" s="71"/>
      <c r="W6" s="71"/>
      <c r="X6" s="71"/>
      <c r="Y6" s="71"/>
      <c r="Z6" s="71"/>
      <c r="AA6" s="71"/>
      <c r="CZ6" s="542"/>
    </row>
    <row r="7" spans="1:104" ht="18" x14ac:dyDescent="0.25">
      <c r="B7" s="1114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  <c r="O7" s="1116"/>
      <c r="P7" s="313"/>
      <c r="Q7" s="313"/>
      <c r="R7" s="75"/>
      <c r="S7" s="75"/>
      <c r="Z7" s="71"/>
      <c r="AA7" s="71"/>
      <c r="CZ7" s="542"/>
    </row>
    <row r="8" spans="1:104" ht="18" customHeight="1" x14ac:dyDescent="0.25">
      <c r="B8" s="1119" t="s">
        <v>9</v>
      </c>
      <c r="C8" s="1093" t="s">
        <v>134</v>
      </c>
      <c r="D8" s="1093" t="s">
        <v>11</v>
      </c>
      <c r="E8" s="1135" t="s">
        <v>12</v>
      </c>
      <c r="F8" s="1093" t="s">
        <v>13</v>
      </c>
      <c r="G8" s="1093" t="s">
        <v>14</v>
      </c>
      <c r="H8" s="1093" t="s">
        <v>579</v>
      </c>
      <c r="I8" s="1093" t="s">
        <v>309</v>
      </c>
      <c r="J8" s="1093" t="s">
        <v>310</v>
      </c>
      <c r="K8" s="1093" t="s">
        <v>447</v>
      </c>
      <c r="L8" s="1132" t="s">
        <v>15</v>
      </c>
      <c r="M8" s="1133"/>
      <c r="N8" s="1134"/>
      <c r="O8" s="1117" t="s">
        <v>286</v>
      </c>
      <c r="P8" s="313"/>
      <c r="Q8" s="314"/>
      <c r="W8" s="1140" t="s">
        <v>450</v>
      </c>
      <c r="X8" s="1140"/>
      <c r="Y8" s="1140"/>
      <c r="Z8" s="1140"/>
      <c r="AA8" s="1140"/>
      <c r="AB8" s="1140"/>
      <c r="AC8" s="1140"/>
      <c r="AD8" s="1140"/>
      <c r="AE8" s="1140"/>
      <c r="AF8" s="1140"/>
      <c r="AG8" s="1140"/>
      <c r="AH8" s="1140"/>
      <c r="AI8" s="1140"/>
      <c r="AJ8" s="1140"/>
      <c r="AK8" s="1140"/>
      <c r="AL8" s="1140"/>
      <c r="AM8" s="1140"/>
      <c r="AN8" s="1140"/>
      <c r="AO8" s="1140"/>
      <c r="AP8" s="1140"/>
      <c r="AQ8" s="1140"/>
      <c r="AR8" s="82"/>
      <c r="AS8" s="1137" t="s">
        <v>836</v>
      </c>
      <c r="AT8" s="1142"/>
      <c r="AU8" s="1142"/>
      <c r="AV8" s="1142"/>
      <c r="AW8" s="1142"/>
      <c r="AX8" s="1142"/>
      <c r="AY8" s="1142"/>
      <c r="AZ8" s="1142"/>
      <c r="BA8" s="1142"/>
      <c r="BB8" s="1142"/>
      <c r="BC8" s="1142"/>
      <c r="BD8" s="1142"/>
      <c r="BE8" s="1142"/>
      <c r="BF8" s="1142"/>
      <c r="BG8" s="1142"/>
      <c r="BH8" s="1142"/>
      <c r="BI8" s="1142"/>
      <c r="BJ8" s="1142"/>
      <c r="BK8" s="1142"/>
      <c r="BL8" s="1142"/>
      <c r="BM8" s="1142"/>
      <c r="BN8" s="82"/>
      <c r="BO8" s="1137" t="s">
        <v>860</v>
      </c>
      <c r="BP8" s="1137"/>
      <c r="BQ8" s="1137"/>
      <c r="BR8" s="1137"/>
      <c r="BS8" s="1137"/>
      <c r="BT8" s="1137"/>
      <c r="BU8" s="1137"/>
      <c r="BV8" s="1137"/>
      <c r="BW8" s="1137"/>
      <c r="BX8" s="1137"/>
      <c r="BY8" s="1137"/>
      <c r="BZ8" s="1137"/>
      <c r="CA8" s="1137"/>
      <c r="CB8" s="1137"/>
      <c r="CC8" s="1137"/>
      <c r="CD8" s="1137"/>
      <c r="CE8" s="1137"/>
      <c r="CF8" s="1137"/>
      <c r="CG8" s="1137"/>
      <c r="CH8" s="1137"/>
      <c r="CI8" s="1137"/>
      <c r="CZ8" s="542"/>
    </row>
    <row r="9" spans="1:104" ht="36" customHeight="1" x14ac:dyDescent="0.25">
      <c r="B9" s="1119"/>
      <c r="C9" s="1093"/>
      <c r="D9" s="1093"/>
      <c r="E9" s="1136"/>
      <c r="F9" s="1093"/>
      <c r="G9" s="1093"/>
      <c r="H9" s="1093"/>
      <c r="I9" s="1093"/>
      <c r="J9" s="1093"/>
      <c r="K9" s="1093"/>
      <c r="L9" s="1032" t="s">
        <v>311</v>
      </c>
      <c r="M9" s="1032" t="s">
        <v>84</v>
      </c>
      <c r="N9" s="1032" t="s">
        <v>16</v>
      </c>
      <c r="O9" s="1118"/>
      <c r="P9" s="488"/>
      <c r="Q9" s="1093" t="s">
        <v>863</v>
      </c>
      <c r="R9" s="1097" t="s">
        <v>232</v>
      </c>
      <c r="S9" s="1093" t="s">
        <v>833</v>
      </c>
      <c r="T9" s="1093"/>
      <c r="U9" s="1093"/>
      <c r="V9" s="475"/>
      <c r="W9" s="1120" t="s">
        <v>482</v>
      </c>
      <c r="X9" s="1120" t="s">
        <v>460</v>
      </c>
      <c r="Y9" s="1120"/>
      <c r="Z9" s="1120" t="s">
        <v>471</v>
      </c>
      <c r="AA9" s="1120"/>
      <c r="AB9" s="1120" t="s">
        <v>472</v>
      </c>
      <c r="AC9" s="1120"/>
      <c r="AD9" s="1120" t="s">
        <v>473</v>
      </c>
      <c r="AE9" s="1120"/>
      <c r="AF9" s="1120" t="s">
        <v>474</v>
      </c>
      <c r="AG9" s="1120"/>
      <c r="AH9" s="1120" t="s">
        <v>479</v>
      </c>
      <c r="AI9" s="1120"/>
      <c r="AJ9" s="1120" t="s">
        <v>478</v>
      </c>
      <c r="AK9" s="1120"/>
      <c r="AL9" s="1120" t="s">
        <v>477</v>
      </c>
      <c r="AM9" s="1120"/>
      <c r="AN9" s="1120" t="s">
        <v>476</v>
      </c>
      <c r="AO9" s="1120"/>
      <c r="AP9" s="1120" t="s">
        <v>480</v>
      </c>
      <c r="AQ9" s="1120"/>
      <c r="AR9" s="82"/>
      <c r="AS9" s="1141" t="s">
        <v>482</v>
      </c>
      <c r="AT9" s="1120" t="s">
        <v>460</v>
      </c>
      <c r="AU9" s="1120"/>
      <c r="AV9" s="1120" t="s">
        <v>471</v>
      </c>
      <c r="AW9" s="1120"/>
      <c r="AX9" s="1120" t="s">
        <v>472</v>
      </c>
      <c r="AY9" s="1120"/>
      <c r="AZ9" s="1120" t="s">
        <v>473</v>
      </c>
      <c r="BA9" s="1120"/>
      <c r="BB9" s="1120" t="s">
        <v>474</v>
      </c>
      <c r="BC9" s="1120"/>
      <c r="BD9" s="1120" t="s">
        <v>479</v>
      </c>
      <c r="BE9" s="1120"/>
      <c r="BF9" s="1120" t="s">
        <v>478</v>
      </c>
      <c r="BG9" s="1120"/>
      <c r="BH9" s="1120" t="s">
        <v>477</v>
      </c>
      <c r="BI9" s="1120"/>
      <c r="BJ9" s="1120" t="s">
        <v>476</v>
      </c>
      <c r="BK9" s="1120"/>
      <c r="BL9" s="1120" t="s">
        <v>480</v>
      </c>
      <c r="BM9" s="1120"/>
      <c r="BN9" s="82"/>
      <c r="BO9" s="1138" t="s">
        <v>482</v>
      </c>
      <c r="BP9" s="1120" t="s">
        <v>460</v>
      </c>
      <c r="BQ9" s="1120"/>
      <c r="BR9" s="1120" t="s">
        <v>471</v>
      </c>
      <c r="BS9" s="1120"/>
      <c r="BT9" s="1120" t="s">
        <v>472</v>
      </c>
      <c r="BU9" s="1120"/>
      <c r="BV9" s="1120" t="s">
        <v>473</v>
      </c>
      <c r="BW9" s="1120"/>
      <c r="BX9" s="1120" t="s">
        <v>474</v>
      </c>
      <c r="BY9" s="1120"/>
      <c r="BZ9" s="1120" t="s">
        <v>479</v>
      </c>
      <c r="CA9" s="1120"/>
      <c r="CB9" s="1120" t="s">
        <v>478</v>
      </c>
      <c r="CC9" s="1120"/>
      <c r="CD9" s="1120" t="s">
        <v>477</v>
      </c>
      <c r="CE9" s="1120"/>
      <c r="CF9" s="1120" t="s">
        <v>476</v>
      </c>
      <c r="CG9" s="1120"/>
      <c r="CH9" s="1120" t="s">
        <v>480</v>
      </c>
      <c r="CI9" s="1120"/>
      <c r="CZ9" s="542"/>
    </row>
    <row r="10" spans="1:104" ht="15" customHeight="1" x14ac:dyDescent="0.25">
      <c r="B10" s="1094" t="s">
        <v>118</v>
      </c>
      <c r="C10" s="1095"/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5"/>
      <c r="O10" s="1096"/>
      <c r="P10" s="488"/>
      <c r="Q10" s="1093"/>
      <c r="R10" s="1097"/>
      <c r="S10" s="468" t="s">
        <v>802</v>
      </c>
      <c r="T10" s="468" t="s">
        <v>803</v>
      </c>
      <c r="U10" s="468" t="s">
        <v>804</v>
      </c>
      <c r="V10" s="475"/>
      <c r="W10" s="1120"/>
      <c r="X10" s="482" t="s">
        <v>286</v>
      </c>
      <c r="Y10" s="482" t="s">
        <v>99</v>
      </c>
      <c r="Z10" s="482" t="s">
        <v>286</v>
      </c>
      <c r="AA10" s="482" t="s">
        <v>99</v>
      </c>
      <c r="AB10" s="482" t="s">
        <v>286</v>
      </c>
      <c r="AC10" s="482" t="s">
        <v>99</v>
      </c>
      <c r="AD10" s="482" t="s">
        <v>286</v>
      </c>
      <c r="AE10" s="482" t="s">
        <v>99</v>
      </c>
      <c r="AF10" s="482" t="s">
        <v>286</v>
      </c>
      <c r="AG10" s="482" t="s">
        <v>99</v>
      </c>
      <c r="AH10" s="482" t="s">
        <v>286</v>
      </c>
      <c r="AI10" s="482" t="s">
        <v>99</v>
      </c>
      <c r="AJ10" s="482" t="s">
        <v>286</v>
      </c>
      <c r="AK10" s="482" t="s">
        <v>99</v>
      </c>
      <c r="AL10" s="482" t="s">
        <v>286</v>
      </c>
      <c r="AM10" s="482" t="s">
        <v>99</v>
      </c>
      <c r="AN10" s="482" t="s">
        <v>286</v>
      </c>
      <c r="AO10" s="482" t="s">
        <v>99</v>
      </c>
      <c r="AP10" s="482" t="s">
        <v>286</v>
      </c>
      <c r="AQ10" s="482" t="s">
        <v>99</v>
      </c>
      <c r="AR10" s="82"/>
      <c r="AS10" s="1139"/>
      <c r="AT10" s="479" t="s">
        <v>286</v>
      </c>
      <c r="AU10" s="479" t="s">
        <v>99</v>
      </c>
      <c r="AV10" s="479" t="s">
        <v>286</v>
      </c>
      <c r="AW10" s="479" t="s">
        <v>99</v>
      </c>
      <c r="AX10" s="479" t="s">
        <v>286</v>
      </c>
      <c r="AY10" s="479" t="s">
        <v>99</v>
      </c>
      <c r="AZ10" s="479" t="s">
        <v>286</v>
      </c>
      <c r="BA10" s="479" t="s">
        <v>99</v>
      </c>
      <c r="BB10" s="479" t="s">
        <v>286</v>
      </c>
      <c r="BC10" s="479" t="s">
        <v>99</v>
      </c>
      <c r="BD10" s="479" t="s">
        <v>286</v>
      </c>
      <c r="BE10" s="479" t="s">
        <v>99</v>
      </c>
      <c r="BF10" s="479" t="s">
        <v>286</v>
      </c>
      <c r="BG10" s="479" t="s">
        <v>99</v>
      </c>
      <c r="BH10" s="479" t="s">
        <v>286</v>
      </c>
      <c r="BI10" s="479" t="s">
        <v>99</v>
      </c>
      <c r="BJ10" s="479" t="s">
        <v>286</v>
      </c>
      <c r="BK10" s="479" t="s">
        <v>99</v>
      </c>
      <c r="BL10" s="479" t="s">
        <v>286</v>
      </c>
      <c r="BM10" s="479" t="s">
        <v>99</v>
      </c>
      <c r="BN10" s="82"/>
      <c r="BO10" s="1139"/>
      <c r="BP10" s="479" t="s">
        <v>286</v>
      </c>
      <c r="BQ10" s="479" t="s">
        <v>99</v>
      </c>
      <c r="BR10" s="479" t="s">
        <v>286</v>
      </c>
      <c r="BS10" s="479" t="s">
        <v>99</v>
      </c>
      <c r="BT10" s="479" t="s">
        <v>286</v>
      </c>
      <c r="BU10" s="479" t="s">
        <v>99</v>
      </c>
      <c r="BV10" s="479" t="s">
        <v>286</v>
      </c>
      <c r="BW10" s="479" t="s">
        <v>99</v>
      </c>
      <c r="BX10" s="479" t="s">
        <v>286</v>
      </c>
      <c r="BY10" s="479" t="s">
        <v>99</v>
      </c>
      <c r="BZ10" s="479" t="s">
        <v>286</v>
      </c>
      <c r="CA10" s="479" t="s">
        <v>99</v>
      </c>
      <c r="CB10" s="479" t="s">
        <v>286</v>
      </c>
      <c r="CC10" s="479" t="s">
        <v>99</v>
      </c>
      <c r="CD10" s="479" t="s">
        <v>286</v>
      </c>
      <c r="CE10" s="479" t="s">
        <v>99</v>
      </c>
      <c r="CF10" s="479" t="s">
        <v>286</v>
      </c>
      <c r="CG10" s="479" t="s">
        <v>99</v>
      </c>
      <c r="CH10" s="479" t="s">
        <v>286</v>
      </c>
      <c r="CI10" s="479" t="s">
        <v>99</v>
      </c>
      <c r="CZ10" s="542"/>
    </row>
    <row r="11" spans="1:104" s="77" customFormat="1" ht="18" customHeight="1" x14ac:dyDescent="0.25">
      <c r="B11" s="924" t="str">
        <f>_xlfn.IFNA(IF(VLOOKUP(Бланк!B11,'Замена SE на LS'!$A$2:$B$70,2,FALSE)=0,"замена не найдена",VLOOKUP(Бланк!B11,'Замена SE на LS'!$A$2:$B$70,2,FALSE)),"")</f>
        <v>TS250N</v>
      </c>
      <c r="C11" s="923">
        <f>IF(ISBLANK(Бланк!C11),"",Бланк!C11)</f>
        <v>3</v>
      </c>
      <c r="D11" s="923">
        <f>IF(ISBLANK(Бланк!D11),"",Бланк!D11)</f>
        <v>250</v>
      </c>
      <c r="E11" s="923" t="s">
        <v>1188</v>
      </c>
      <c r="F11" s="923">
        <v>250</v>
      </c>
      <c r="G11" s="923">
        <v>2500</v>
      </c>
      <c r="H11" s="923" t="str">
        <f>IF(ISBLANK(Бланк!H11),"",Бланк!H11)</f>
        <v/>
      </c>
      <c r="I11" s="923" t="str">
        <f>IF(ISBLANK(Бланк!I11),"",Бланк!I11)</f>
        <v/>
      </c>
      <c r="J11" s="923" t="str">
        <f>IF(ISBLANK(Бланк!J11),"",Бланк!J11)</f>
        <v/>
      </c>
      <c r="K11" s="923" t="str">
        <f>IF(ISBLANK(Бланк!K11),"",Бланк!K11)</f>
        <v/>
      </c>
      <c r="L11" s="923" t="str">
        <f>IF(ISBLANK(Бланк!L11),"",Бланк!L11)</f>
        <v/>
      </c>
      <c r="M11" s="923" t="str">
        <f>IF(ISBLANK(Бланк!M11),"",Бланк!M11)</f>
        <v/>
      </c>
      <c r="N11" s="923" t="str">
        <f>IF(ISBLANK(Бланк!N11),"",Бланк!N11)</f>
        <v>сверху</v>
      </c>
      <c r="O11" s="925">
        <f>IF(ISBLANK(Бланк!O11),"",Бланк!O11)</f>
        <v>1</v>
      </c>
      <c r="P11" s="489"/>
      <c r="Q11" s="504" t="str">
        <f>IF($R11="","",IF(D!EQ3=0,"Тип кабеля не найден","Тип кабеля найден"))</f>
        <v>Тип кабеля не найден</v>
      </c>
      <c r="R11" s="504" t="str">
        <f>IF(D!$ES$3&gt;0,D!$ES$3,"")</f>
        <v>MG63</v>
      </c>
      <c r="S11" s="504">
        <v>0</v>
      </c>
      <c r="T11" s="504">
        <v>0</v>
      </c>
      <c r="U11" s="504">
        <v>0</v>
      </c>
      <c r="V11" s="475"/>
      <c r="W11" s="482" t="s">
        <v>864</v>
      </c>
      <c r="X11" s="504">
        <f>Габариты!CK6</f>
        <v>0</v>
      </c>
      <c r="Y11" s="504">
        <f>Габариты!CL6</f>
        <v>0</v>
      </c>
      <c r="Z11" s="504">
        <f>Габариты!CN6</f>
        <v>0</v>
      </c>
      <c r="AA11" s="504">
        <f>Габариты!CO6</f>
        <v>0</v>
      </c>
      <c r="AB11" s="504">
        <f>Габариты!CQ6</f>
        <v>0</v>
      </c>
      <c r="AC11" s="504">
        <f>Габариты!CR6</f>
        <v>0</v>
      </c>
      <c r="AD11" s="504">
        <f>Габариты!CT6</f>
        <v>0</v>
      </c>
      <c r="AE11" s="504">
        <f>Габариты!CU6</f>
        <v>0</v>
      </c>
      <c r="AF11" s="504">
        <f>Габариты!CW6</f>
        <v>0</v>
      </c>
      <c r="AG11" s="504">
        <f>Габариты!CX6</f>
        <v>0</v>
      </c>
      <c r="AH11" s="504">
        <f>Габариты!CZ6</f>
        <v>0</v>
      </c>
      <c r="AI11" s="504">
        <f>Габариты!DA6</f>
        <v>0</v>
      </c>
      <c r="AJ11" s="504">
        <f>Габариты!DC6</f>
        <v>0</v>
      </c>
      <c r="AK11" s="504">
        <f>Габариты!DD6</f>
        <v>0</v>
      </c>
      <c r="AL11" s="504">
        <f>Габариты!DF6</f>
        <v>0</v>
      </c>
      <c r="AM11" s="504">
        <f>Габариты!DG6</f>
        <v>0</v>
      </c>
      <c r="AN11" s="504">
        <f>Габариты!DI6</f>
        <v>0</v>
      </c>
      <c r="AO11" s="504">
        <f>Габариты!DJ6</f>
        <v>0</v>
      </c>
      <c r="AP11" s="504">
        <f>Габариты!DL6</f>
        <v>0</v>
      </c>
      <c r="AQ11" s="504">
        <f>Габариты!DM6</f>
        <v>0</v>
      </c>
      <c r="AR11" s="480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0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K11" s="979">
        <f>_xlfn.IFNA(VLOOKUP(Бланк!E11,'Замена SE на LS'!$C:$E,3,FALSE),"")</f>
        <v>0</v>
      </c>
      <c r="CZ11" s="542"/>
    </row>
    <row r="12" spans="1:104" ht="18" x14ac:dyDescent="0.25">
      <c r="B12" s="1094" t="s">
        <v>17</v>
      </c>
      <c r="C12" s="1095"/>
      <c r="D12" s="1095"/>
      <c r="E12" s="1095"/>
      <c r="F12" s="1095"/>
      <c r="G12" s="1095"/>
      <c r="H12" s="1095"/>
      <c r="I12" s="1095"/>
      <c r="J12" s="1095"/>
      <c r="K12" s="1095"/>
      <c r="L12" s="1095"/>
      <c r="M12" s="1095"/>
      <c r="N12" s="1095"/>
      <c r="O12" s="1096"/>
      <c r="P12" s="488"/>
      <c r="Q12" s="478"/>
      <c r="R12" s="434"/>
      <c r="U12" s="71"/>
      <c r="V12" s="476"/>
      <c r="W12" s="482" t="s">
        <v>684</v>
      </c>
      <c r="X12" s="504" t="e">
        <f>Габариты!#REF!</f>
        <v>#REF!</v>
      </c>
      <c r="Y12" s="504" t="e">
        <f>Габариты!#REF!</f>
        <v>#REF!</v>
      </c>
      <c r="Z12" s="504" t="e">
        <f>Габариты!#REF!</f>
        <v>#REF!</v>
      </c>
      <c r="AA12" s="504" t="e">
        <f>Габариты!#REF!</f>
        <v>#REF!</v>
      </c>
      <c r="AB12" s="504" t="e">
        <f>Габариты!#REF!</f>
        <v>#REF!</v>
      </c>
      <c r="AC12" s="504" t="e">
        <f>Габариты!#REF!</f>
        <v>#REF!</v>
      </c>
      <c r="AD12" s="504" t="e">
        <f>Габариты!#REF!</f>
        <v>#REF!</v>
      </c>
      <c r="AE12" s="504" t="e">
        <f>Габариты!#REF!</f>
        <v>#REF!</v>
      </c>
      <c r="AF12" s="504" t="e">
        <f>Габариты!#REF!</f>
        <v>#REF!</v>
      </c>
      <c r="AG12" s="504" t="e">
        <f>Габариты!#REF!</f>
        <v>#REF!</v>
      </c>
      <c r="AH12" s="504" t="e">
        <f>Габариты!#REF!</f>
        <v>#REF!</v>
      </c>
      <c r="AI12" s="504" t="e">
        <f>Габариты!#REF!</f>
        <v>#REF!</v>
      </c>
      <c r="AJ12" s="504" t="e">
        <f>Габариты!#REF!</f>
        <v>#REF!</v>
      </c>
      <c r="AK12" s="504" t="e">
        <f>Габариты!#REF!</f>
        <v>#REF!</v>
      </c>
      <c r="AL12" s="504" t="e">
        <f>Габариты!#REF!</f>
        <v>#REF!</v>
      </c>
      <c r="AM12" s="504" t="e">
        <f>Габариты!#REF!</f>
        <v>#REF!</v>
      </c>
      <c r="AN12" s="504" t="e">
        <f>Габариты!#REF!</f>
        <v>#REF!</v>
      </c>
      <c r="AO12" s="504" t="e">
        <f>Габариты!#REF!</f>
        <v>#REF!</v>
      </c>
      <c r="AP12" s="504" t="e">
        <f>Габариты!#REF!</f>
        <v>#REF!</v>
      </c>
      <c r="AQ12" s="504" t="e">
        <f>Габариты!#REF!</f>
        <v>#REF!</v>
      </c>
      <c r="AR12" s="82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82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Z12" s="542"/>
    </row>
    <row r="13" spans="1:104" ht="18" x14ac:dyDescent="0.25">
      <c r="A13" s="434">
        <v>1</v>
      </c>
      <c r="B13" s="924" t="str">
        <f>_xlfn.IFNA(IF(VLOOKUP(Бланк!B13,'Замена SE на LS'!$A$2:$B$70,2,FALSE)=0,"замена не найдена",VLOOKUP(Бланк!B13,'Замена SE на LS'!$A$2:$B$70,2,FALSE)),"")</f>
        <v>BKN-b</v>
      </c>
      <c r="C13" s="923" t="str">
        <f>IF(ISBLANK(Бланк!C13),"",Бланк!C13)</f>
        <v>1 (пофазно)</v>
      </c>
      <c r="D13" s="923">
        <f>IF(ISBLANK(Бланк!D13),"",Бланк!D13)</f>
        <v>40</v>
      </c>
      <c r="E13" s="923" t="str">
        <f>_xlfn.IFNA(IF(VLOOKUP(Бланк!E13,'Замена SE на LS'!$C:$D,2,FALSE)=0,"замена не найдена",VLOOKUP(Бланк!E13,'Замена SE на LS'!$C:$D,2,FALSE)),"")</f>
        <v>D</v>
      </c>
      <c r="F13" s="923"/>
      <c r="G13" s="923"/>
      <c r="H13" s="923" t="str">
        <f>IF(ISBLANK(Бланк!H13),"",Бланк!H13)</f>
        <v/>
      </c>
      <c r="I13" s="923" t="str">
        <f>IF(ISBLANK(Бланк!I13),"",Бланк!I13)</f>
        <v/>
      </c>
      <c r="J13" s="923" t="str">
        <f>IF(ISBLANK(Бланк!J13),"",Бланк!J13)</f>
        <v/>
      </c>
      <c r="K13" s="923" t="str">
        <f>IF(ISBLANK(Бланк!K13),"",Бланк!K13)</f>
        <v/>
      </c>
      <c r="L13" s="923" t="str">
        <f>IF(ISBLANK(Бланк!L13),"",Бланк!L13)</f>
        <v/>
      </c>
      <c r="M13" s="923" t="str">
        <f>IF(ISBLANK(Бланк!M13),"",Бланк!M13)</f>
        <v/>
      </c>
      <c r="N13" s="923" t="str">
        <f>IF(ISBLANK(Бланк!N13),"",Бланк!N13)</f>
        <v>сверху</v>
      </c>
      <c r="O13" s="925">
        <f>IF(ISBLANK(Бланк!O13),"",Бланк!O13)</f>
        <v>3</v>
      </c>
      <c r="P13" s="489"/>
      <c r="Q13" s="504" t="str">
        <f>IF($R13="","",IF(D!EQ4=0,"Тип кабеля не найден","Тип кабеля найден"))</f>
        <v>Тип кабеля не найден</v>
      </c>
      <c r="R13" s="504" t="str">
        <f>IF(D!$ES4&gt;0,D!$ES4,"")</f>
        <v>PG21</v>
      </c>
      <c r="S13" s="504">
        <f ca="1">IF(ISERR(FIND("пофазно",$C13)),0,D!BS85+D!BV85)</f>
        <v>0</v>
      </c>
      <c r="T13" s="504">
        <f ca="1">IF(ISERR(FIND("пофазно",$C13)),0,D!BT85+D!BW85)</f>
        <v>0</v>
      </c>
      <c r="U13" s="504">
        <f ca="1">IF(ISERR(FIND("пофазно",$C13)),0,D!BU85+D!BX85)</f>
        <v>0</v>
      </c>
      <c r="V13" s="475"/>
      <c r="W13" s="482" t="s">
        <v>85</v>
      </c>
      <c r="X13" s="504">
        <f>Габариты!CK7</f>
        <v>3</v>
      </c>
      <c r="Y13" s="504">
        <f>Габариты!CL7</f>
        <v>54</v>
      </c>
      <c r="Z13" s="504">
        <f>Габариты!CN7</f>
        <v>0</v>
      </c>
      <c r="AA13" s="504">
        <f>Габариты!CO7</f>
        <v>0</v>
      </c>
      <c r="AB13" s="504">
        <f>Габариты!CQ7</f>
        <v>0</v>
      </c>
      <c r="AC13" s="504">
        <f>Габариты!CR7</f>
        <v>0</v>
      </c>
      <c r="AD13" s="504">
        <f>Габариты!CT7</f>
        <v>0</v>
      </c>
      <c r="AE13" s="504">
        <f>Габариты!CU7</f>
        <v>0</v>
      </c>
      <c r="AF13" s="504">
        <f>Габариты!CW7</f>
        <v>0</v>
      </c>
      <c r="AG13" s="504">
        <f>Габариты!CX7</f>
        <v>0</v>
      </c>
      <c r="AH13" s="504">
        <f>Габариты!CZ7</f>
        <v>0</v>
      </c>
      <c r="AI13" s="504">
        <f>Габариты!DA7</f>
        <v>0</v>
      </c>
      <c r="AJ13" s="504">
        <f>Габариты!DC7</f>
        <v>0</v>
      </c>
      <c r="AK13" s="504">
        <f>Габариты!DD7</f>
        <v>0</v>
      </c>
      <c r="AL13" s="504">
        <f>Габариты!DF7</f>
        <v>0</v>
      </c>
      <c r="AM13" s="504">
        <f>Габариты!DG7</f>
        <v>0</v>
      </c>
      <c r="AN13" s="504">
        <f>Габариты!DI7</f>
        <v>0</v>
      </c>
      <c r="AO13" s="504">
        <f>Габариты!DJ7</f>
        <v>0</v>
      </c>
      <c r="AP13" s="504">
        <f>Габариты!DL7</f>
        <v>0</v>
      </c>
      <c r="AQ13" s="504">
        <f>Габариты!DM7</f>
        <v>0</v>
      </c>
      <c r="AR13" s="82"/>
      <c r="AS13" s="482" t="s">
        <v>85</v>
      </c>
      <c r="AT13" s="504">
        <f>Габариты!CK36</f>
        <v>0</v>
      </c>
      <c r="AU13" s="504">
        <f>Габариты!CL36</f>
        <v>0</v>
      </c>
      <c r="AV13" s="504">
        <f>Габариты!CN36</f>
        <v>0</v>
      </c>
      <c r="AW13" s="504">
        <f>Габариты!CO36</f>
        <v>0</v>
      </c>
      <c r="AX13" s="504">
        <f>Габариты!CQ36</f>
        <v>0</v>
      </c>
      <c r="AY13" s="504">
        <f>Габариты!CR36</f>
        <v>0</v>
      </c>
      <c r="AZ13" s="504">
        <f>Габариты!CT36</f>
        <v>0</v>
      </c>
      <c r="BA13" s="504">
        <f>Габариты!CU36</f>
        <v>0</v>
      </c>
      <c r="BB13" s="504">
        <f>Габариты!CW36</f>
        <v>0</v>
      </c>
      <c r="BC13" s="504">
        <f>Габариты!CX36</f>
        <v>0</v>
      </c>
      <c r="BD13" s="504">
        <f>Габариты!CZ36</f>
        <v>0</v>
      </c>
      <c r="BE13" s="504">
        <f>Габариты!DA36</f>
        <v>0</v>
      </c>
      <c r="BF13" s="504">
        <f>Габариты!DC36</f>
        <v>0</v>
      </c>
      <c r="BG13" s="504">
        <f>Габариты!DD36</f>
        <v>0</v>
      </c>
      <c r="BH13" s="504">
        <f>Габариты!DF36</f>
        <v>0</v>
      </c>
      <c r="BI13" s="504">
        <f>Габариты!DG36</f>
        <v>0</v>
      </c>
      <c r="BJ13" s="504">
        <f>Габариты!DI36</f>
        <v>0</v>
      </c>
      <c r="BK13" s="504">
        <f>Габариты!DJ36</f>
        <v>0</v>
      </c>
      <c r="BL13" s="504">
        <f>Габариты!DL36</f>
        <v>0</v>
      </c>
      <c r="BM13" s="504">
        <f>Габариты!DM36</f>
        <v>0</v>
      </c>
      <c r="BN13" s="82"/>
      <c r="BO13" s="482" t="s">
        <v>85</v>
      </c>
      <c r="BP13" s="507">
        <f>Габариты!CK63</f>
        <v>0</v>
      </c>
      <c r="BQ13" s="507">
        <f>Габариты!CL63</f>
        <v>0</v>
      </c>
      <c r="BR13" s="507">
        <f>Габариты!CN63</f>
        <v>0</v>
      </c>
      <c r="BS13" s="507">
        <f>Габариты!CO63</f>
        <v>0</v>
      </c>
      <c r="BT13" s="507">
        <f>Габариты!CQ63</f>
        <v>0</v>
      </c>
      <c r="BU13" s="507">
        <f>Габариты!CR63</f>
        <v>0</v>
      </c>
      <c r="BV13" s="507">
        <f>Габариты!CT63</f>
        <v>0</v>
      </c>
      <c r="BW13" s="507">
        <f>Габариты!CU63</f>
        <v>0</v>
      </c>
      <c r="BX13" s="507">
        <f>Габариты!CW63</f>
        <v>0</v>
      </c>
      <c r="BY13" s="507">
        <f>Габариты!CX63</f>
        <v>0</v>
      </c>
      <c r="BZ13" s="507">
        <f>Габариты!CZ63</f>
        <v>0</v>
      </c>
      <c r="CA13" s="507">
        <f>Габариты!DA63</f>
        <v>0</v>
      </c>
      <c r="CB13" s="507">
        <f>Габариты!DC63</f>
        <v>0</v>
      </c>
      <c r="CC13" s="507">
        <f>Габариты!DD63</f>
        <v>0</v>
      </c>
      <c r="CD13" s="507">
        <f>Габариты!DF63</f>
        <v>0</v>
      </c>
      <c r="CE13" s="507">
        <f>Габариты!DG63</f>
        <v>0</v>
      </c>
      <c r="CF13" s="507">
        <f>Габариты!DI63</f>
        <v>0</v>
      </c>
      <c r="CG13" s="507">
        <f>Габариты!DJ63</f>
        <v>0</v>
      </c>
      <c r="CH13" s="507">
        <f>Габариты!DL63</f>
        <v>0</v>
      </c>
      <c r="CI13" s="507">
        <f>Габариты!DM63</f>
        <v>0</v>
      </c>
      <c r="CK13" s="979">
        <f>_xlfn.IFNA(VLOOKUP(Бланк!E13,'Замена SE на LS'!$C:$E,3,FALSE),"")</f>
        <v>0</v>
      </c>
      <c r="CZ13" s="542"/>
    </row>
    <row r="14" spans="1:104" ht="18" x14ac:dyDescent="0.25">
      <c r="A14" s="434">
        <v>2</v>
      </c>
      <c r="B14" s="924" t="str">
        <f>_xlfn.IFNA(IF(VLOOKUP(Бланк!B14,'Замена SE на LS'!$A$2:$B$70,2,FALSE)=0,"замена не найдена",VLOOKUP(Бланк!B14,'Замена SE на LS'!$A$2:$B$70,2,FALSE)),"")</f>
        <v>BKN-b</v>
      </c>
      <c r="C14" s="923" t="str">
        <f>IF(ISBLANK(Бланк!C14),"",Бланк!C14)</f>
        <v>1 (пофазно)</v>
      </c>
      <c r="D14" s="923">
        <f>IF(ISBLANK(Бланк!D14),"",Бланк!D14)</f>
        <v>16</v>
      </c>
      <c r="E14" s="923" t="str">
        <f>_xlfn.IFNA(IF(VLOOKUP(Бланк!E14,'Замена SE на LS'!$C:$D,2,FALSE)=0,"замена не найдена",VLOOKUP(Бланк!E14,'Замена SE на LS'!$C:$D,2,FALSE)),"")</f>
        <v>C</v>
      </c>
      <c r="F14" s="923"/>
      <c r="G14" s="923"/>
      <c r="H14" s="923" t="str">
        <f>IF(ISBLANK(Бланк!H14),"",Бланк!H14)</f>
        <v/>
      </c>
      <c r="I14" s="923" t="str">
        <f>IF(ISBLANK(Бланк!I14),"",Бланк!I14)</f>
        <v/>
      </c>
      <c r="J14" s="923" t="str">
        <f>IF(ISBLANK(Бланк!J14),"",Бланк!J14)</f>
        <v/>
      </c>
      <c r="K14" s="923" t="str">
        <f>IF(ISBLANK(Бланк!K14),"",Бланк!K14)</f>
        <v/>
      </c>
      <c r="L14" s="923" t="str">
        <f>IF(ISBLANK(Бланк!L14),"",Бланк!L14)</f>
        <v/>
      </c>
      <c r="M14" s="923" t="str">
        <f>IF(ISBLANK(Бланк!M14),"",Бланк!M14)</f>
        <v/>
      </c>
      <c r="N14" s="923" t="str">
        <f>IF(ISBLANK(Бланк!N14),"",Бланк!N14)</f>
        <v>сверху</v>
      </c>
      <c r="O14" s="925">
        <f>IF(ISBLANK(Бланк!O14),"",Бланк!O14)</f>
        <v>9</v>
      </c>
      <c r="P14" s="489"/>
      <c r="Q14" s="504" t="str">
        <f>IF($R14="","",IF(D!EQ5=0,"Тип кабеля не найден","Тип кабеля найден"))</f>
        <v>Тип кабеля не найден</v>
      </c>
      <c r="R14" s="504" t="str">
        <f>IF(D!$ES5&gt;0,D!$ES5,"")</f>
        <v>PG13</v>
      </c>
      <c r="S14" s="504">
        <f ca="1">IF(ISERR(FIND("пофазно",$C14)),0,D!BS86+D!BV86)</f>
        <v>0</v>
      </c>
      <c r="T14" s="504">
        <f ca="1">IF(ISERR(FIND("пофазно",$C14)),0,D!BT86+D!BW86)</f>
        <v>0</v>
      </c>
      <c r="U14" s="504">
        <f ca="1">IF(ISERR(FIND("пофазно",$C14)),0,D!BU86+D!BX86)</f>
        <v>0</v>
      </c>
      <c r="V14" s="475"/>
      <c r="W14" s="482" t="s">
        <v>86</v>
      </c>
      <c r="X14" s="504">
        <f>Габариты!CK8</f>
        <v>9</v>
      </c>
      <c r="Y14" s="504">
        <f>Габариты!CL8</f>
        <v>162</v>
      </c>
      <c r="Z14" s="504">
        <f>Габариты!CN8</f>
        <v>0</v>
      </c>
      <c r="AA14" s="504">
        <f>Габариты!CO8</f>
        <v>0</v>
      </c>
      <c r="AB14" s="504">
        <f>Габариты!CQ8</f>
        <v>0</v>
      </c>
      <c r="AC14" s="504">
        <f>Габариты!CR8</f>
        <v>0</v>
      </c>
      <c r="AD14" s="504">
        <f>Габариты!CT8</f>
        <v>0</v>
      </c>
      <c r="AE14" s="504">
        <f>Габариты!CU8</f>
        <v>0</v>
      </c>
      <c r="AF14" s="504">
        <f>Габариты!CW8</f>
        <v>0</v>
      </c>
      <c r="AG14" s="504">
        <f>Габариты!CX8</f>
        <v>0</v>
      </c>
      <c r="AH14" s="504">
        <f>Габариты!CZ8</f>
        <v>0</v>
      </c>
      <c r="AI14" s="504">
        <f>Габариты!DA8</f>
        <v>0</v>
      </c>
      <c r="AJ14" s="504">
        <f>Габариты!DC8</f>
        <v>0</v>
      </c>
      <c r="AK14" s="504">
        <f>Габариты!DD8</f>
        <v>0</v>
      </c>
      <c r="AL14" s="504">
        <f>Габариты!DF8</f>
        <v>0</v>
      </c>
      <c r="AM14" s="504">
        <f>Габариты!DG8</f>
        <v>0</v>
      </c>
      <c r="AN14" s="504">
        <f>Габариты!DI8</f>
        <v>0</v>
      </c>
      <c r="AO14" s="504">
        <f>Габариты!DJ8</f>
        <v>0</v>
      </c>
      <c r="AP14" s="504">
        <f>Габариты!DL8</f>
        <v>0</v>
      </c>
      <c r="AQ14" s="504">
        <f>Габариты!DM8</f>
        <v>0</v>
      </c>
      <c r="AR14" s="82"/>
      <c r="AS14" s="482" t="s">
        <v>86</v>
      </c>
      <c r="AT14" s="504">
        <f>Габариты!CK37</f>
        <v>0</v>
      </c>
      <c r="AU14" s="504">
        <f>Габариты!CL37</f>
        <v>0</v>
      </c>
      <c r="AV14" s="504">
        <f>Габариты!CN37</f>
        <v>0</v>
      </c>
      <c r="AW14" s="504">
        <f>Габариты!CO37</f>
        <v>0</v>
      </c>
      <c r="AX14" s="504">
        <f>Габариты!CQ37</f>
        <v>0</v>
      </c>
      <c r="AY14" s="504">
        <f>Габариты!CR37</f>
        <v>0</v>
      </c>
      <c r="AZ14" s="504">
        <f>Габариты!CT37</f>
        <v>0</v>
      </c>
      <c r="BA14" s="504">
        <f>Габариты!CU37</f>
        <v>0</v>
      </c>
      <c r="BB14" s="504">
        <f>Габариты!CW37</f>
        <v>0</v>
      </c>
      <c r="BC14" s="504">
        <f>Габариты!CX37</f>
        <v>0</v>
      </c>
      <c r="BD14" s="504">
        <f>Габариты!CZ37</f>
        <v>0</v>
      </c>
      <c r="BE14" s="504">
        <f>Габариты!DA37</f>
        <v>0</v>
      </c>
      <c r="BF14" s="504">
        <f>Габариты!DC37</f>
        <v>0</v>
      </c>
      <c r="BG14" s="504">
        <f>Габариты!DD37</f>
        <v>0</v>
      </c>
      <c r="BH14" s="504">
        <f>Габариты!DF37</f>
        <v>0</v>
      </c>
      <c r="BI14" s="504">
        <f>Габариты!DG37</f>
        <v>0</v>
      </c>
      <c r="BJ14" s="504">
        <f>Габариты!DI37</f>
        <v>0</v>
      </c>
      <c r="BK14" s="504">
        <f>Габариты!DJ37</f>
        <v>0</v>
      </c>
      <c r="BL14" s="504">
        <f>Габариты!DL37</f>
        <v>0</v>
      </c>
      <c r="BM14" s="504">
        <f>Габариты!DM37</f>
        <v>0</v>
      </c>
      <c r="BN14" s="82"/>
      <c r="BO14" s="482" t="s">
        <v>86</v>
      </c>
      <c r="BP14" s="507">
        <f>Габариты!CK64</f>
        <v>0</v>
      </c>
      <c r="BQ14" s="507">
        <f>Габариты!CL64</f>
        <v>0</v>
      </c>
      <c r="BR14" s="507">
        <f>Габариты!CN64</f>
        <v>0</v>
      </c>
      <c r="BS14" s="507">
        <f>Габариты!CO64</f>
        <v>0</v>
      </c>
      <c r="BT14" s="507">
        <f>Габариты!CQ64</f>
        <v>0</v>
      </c>
      <c r="BU14" s="507">
        <f>Габариты!CR64</f>
        <v>0</v>
      </c>
      <c r="BV14" s="507">
        <f>Габариты!CT64</f>
        <v>0</v>
      </c>
      <c r="BW14" s="507">
        <f>Габариты!CU64</f>
        <v>0</v>
      </c>
      <c r="BX14" s="507">
        <f>Габариты!CW64</f>
        <v>0</v>
      </c>
      <c r="BY14" s="507">
        <f>Габариты!CX64</f>
        <v>0</v>
      </c>
      <c r="BZ14" s="507">
        <f>Габариты!CZ64</f>
        <v>0</v>
      </c>
      <c r="CA14" s="507">
        <f>Габариты!DA64</f>
        <v>0</v>
      </c>
      <c r="CB14" s="507">
        <f>Габариты!DC64</f>
        <v>0</v>
      </c>
      <c r="CC14" s="507">
        <f>Габариты!DD64</f>
        <v>0</v>
      </c>
      <c r="CD14" s="507">
        <f>Габариты!DF64</f>
        <v>0</v>
      </c>
      <c r="CE14" s="507">
        <f>Габариты!DG64</f>
        <v>0</v>
      </c>
      <c r="CF14" s="507">
        <f>Габариты!DI64</f>
        <v>0</v>
      </c>
      <c r="CG14" s="507">
        <f>Габариты!DJ64</f>
        <v>0</v>
      </c>
      <c r="CH14" s="507">
        <f>Габариты!DL64</f>
        <v>0</v>
      </c>
      <c r="CI14" s="507">
        <f>Габариты!DM64</f>
        <v>0</v>
      </c>
      <c r="CK14" s="979">
        <f>_xlfn.IFNA(VLOOKUP(Бланк!E14,'Замена SE на LS'!$C:$E,3,FALSE),"")</f>
        <v>0</v>
      </c>
      <c r="CZ14" s="542"/>
    </row>
    <row r="15" spans="1:104" ht="18" x14ac:dyDescent="0.25">
      <c r="A15" s="434">
        <v>3</v>
      </c>
      <c r="B15" s="924" t="str">
        <f>_xlfn.IFNA(IF(VLOOKUP(Бланк!B15,'Замена SE на LS'!$A$2:$B$70,2,FALSE)=0,"замена не найдена",VLOOKUP(Бланк!B15,'Замена SE на LS'!$A$2:$B$70,2,FALSE)),"")</f>
        <v/>
      </c>
      <c r="C15" s="923" t="str">
        <f>IF(ISBLANK(Бланк!C15),"",Бланк!C15)</f>
        <v/>
      </c>
      <c r="D15" s="923" t="str">
        <f>IF(ISBLANK(Бланк!D15),"",Бланк!D15)</f>
        <v/>
      </c>
      <c r="E15" s="923" t="str">
        <f>_xlfn.IFNA(IF(VLOOKUP(Бланк!E15,'Замена SE на LS'!$C:$D,2,FALSE)=0,"замена не найдена",VLOOKUP(Бланк!E15,'Замена SE на LS'!$C:$D,2,FALSE)),"")</f>
        <v/>
      </c>
      <c r="F15" s="923"/>
      <c r="G15" s="923"/>
      <c r="H15" s="923" t="str">
        <f>IF(ISBLANK(Бланк!H15),"",Бланк!H15)</f>
        <v/>
      </c>
      <c r="I15" s="923" t="str">
        <f>IF(ISBLANK(Бланк!I15),"",Бланк!I15)</f>
        <v/>
      </c>
      <c r="J15" s="923" t="str">
        <f>IF(ISBLANK(Бланк!J15),"",Бланк!J15)</f>
        <v/>
      </c>
      <c r="K15" s="923" t="str">
        <f>IF(ISBLANK(Бланк!K15),"",Бланк!K15)</f>
        <v/>
      </c>
      <c r="L15" s="923" t="str">
        <f>IF(ISBLANK(Бланк!L15),"",Бланк!L15)</f>
        <v/>
      </c>
      <c r="M15" s="923" t="str">
        <f>IF(ISBLANK(Бланк!M15),"",Бланк!M15)</f>
        <v/>
      </c>
      <c r="N15" s="923" t="str">
        <f>IF(ISBLANK(Бланк!N15),"",Бланк!N15)</f>
        <v/>
      </c>
      <c r="O15" s="925" t="str">
        <f>IF(ISBLANK(Бланк!O15),"",Бланк!O15)</f>
        <v/>
      </c>
      <c r="P15" s="489"/>
      <c r="Q15" s="504" t="str">
        <f>IF($R15="","",IF(D!EQ6=0,"Тип кабеля не найден","Тип кабеля найден"))</f>
        <v/>
      </c>
      <c r="R15" s="504" t="str">
        <f>IF(D!$ES6&gt;0,D!$ES6,"")</f>
        <v/>
      </c>
      <c r="S15" s="504">
        <f>IF(ISERR(FIND("пофазно",$C15)),0,D!BS87+D!BV87)</f>
        <v>0</v>
      </c>
      <c r="T15" s="504">
        <f>IF(ISERR(FIND("пофазно",$C15)),0,D!BT87+D!BW87)</f>
        <v>0</v>
      </c>
      <c r="U15" s="504">
        <f>IF(ISERR(FIND("пофазно",$C15)),0,D!BU87+D!BX87)</f>
        <v>0</v>
      </c>
      <c r="V15" s="475"/>
      <c r="W15" s="482" t="s">
        <v>87</v>
      </c>
      <c r="X15" s="504">
        <f>Габариты!CK9</f>
        <v>0</v>
      </c>
      <c r="Y15" s="504">
        <f>Габариты!CL9</f>
        <v>0</v>
      </c>
      <c r="Z15" s="504">
        <f>Габариты!CN9</f>
        <v>0</v>
      </c>
      <c r="AA15" s="504">
        <f>Габариты!CO9</f>
        <v>0</v>
      </c>
      <c r="AB15" s="504">
        <f>Габариты!CQ9</f>
        <v>0</v>
      </c>
      <c r="AC15" s="504">
        <f>Габариты!CR9</f>
        <v>0</v>
      </c>
      <c r="AD15" s="504">
        <f>Габариты!CT9</f>
        <v>0</v>
      </c>
      <c r="AE15" s="504">
        <f>Габариты!CU9</f>
        <v>0</v>
      </c>
      <c r="AF15" s="504">
        <f>Габариты!CW9</f>
        <v>0</v>
      </c>
      <c r="AG15" s="504">
        <f>Габариты!CX9</f>
        <v>0</v>
      </c>
      <c r="AH15" s="504">
        <f>Габариты!CZ9</f>
        <v>0</v>
      </c>
      <c r="AI15" s="504">
        <f>Габариты!DA9</f>
        <v>0</v>
      </c>
      <c r="AJ15" s="504">
        <f>Габариты!DC9</f>
        <v>0</v>
      </c>
      <c r="AK15" s="504">
        <f>Габариты!DD9</f>
        <v>0</v>
      </c>
      <c r="AL15" s="504">
        <f>Габариты!DF9</f>
        <v>0</v>
      </c>
      <c r="AM15" s="504">
        <f>Габариты!DG9</f>
        <v>0</v>
      </c>
      <c r="AN15" s="504">
        <f>Габариты!DI9</f>
        <v>0</v>
      </c>
      <c r="AO15" s="504">
        <f>Габариты!DJ9</f>
        <v>0</v>
      </c>
      <c r="AP15" s="504">
        <f>Габариты!DL9</f>
        <v>0</v>
      </c>
      <c r="AQ15" s="504">
        <f>Габариты!DM9</f>
        <v>0</v>
      </c>
      <c r="AR15" s="82"/>
      <c r="AS15" s="482" t="s">
        <v>87</v>
      </c>
      <c r="AT15" s="504">
        <f>Габариты!CK38</f>
        <v>0</v>
      </c>
      <c r="AU15" s="504">
        <f>Габариты!CL38</f>
        <v>0</v>
      </c>
      <c r="AV15" s="504">
        <f>Габариты!CN38</f>
        <v>0</v>
      </c>
      <c r="AW15" s="504">
        <f>Габариты!CO38</f>
        <v>0</v>
      </c>
      <c r="AX15" s="504">
        <f>Габариты!CQ38</f>
        <v>0</v>
      </c>
      <c r="AY15" s="504">
        <f>Габариты!CR38</f>
        <v>0</v>
      </c>
      <c r="AZ15" s="504">
        <f>Габариты!CT38</f>
        <v>0</v>
      </c>
      <c r="BA15" s="504">
        <f>Габариты!CU38</f>
        <v>0</v>
      </c>
      <c r="BB15" s="504">
        <f>Габариты!CW38</f>
        <v>0</v>
      </c>
      <c r="BC15" s="504">
        <f>Габариты!CX38</f>
        <v>0</v>
      </c>
      <c r="BD15" s="504">
        <f>Габариты!CZ38</f>
        <v>0</v>
      </c>
      <c r="BE15" s="504">
        <f>Габариты!DA38</f>
        <v>0</v>
      </c>
      <c r="BF15" s="504">
        <f>Габариты!DC38</f>
        <v>0</v>
      </c>
      <c r="BG15" s="504">
        <f>Габариты!DD38</f>
        <v>0</v>
      </c>
      <c r="BH15" s="504">
        <f>Габариты!DF38</f>
        <v>0</v>
      </c>
      <c r="BI15" s="504">
        <f>Габариты!DG38</f>
        <v>0</v>
      </c>
      <c r="BJ15" s="504">
        <f>Габариты!DI38</f>
        <v>0</v>
      </c>
      <c r="BK15" s="504">
        <f>Габариты!DJ38</f>
        <v>0</v>
      </c>
      <c r="BL15" s="504">
        <f>Габариты!DL38</f>
        <v>0</v>
      </c>
      <c r="BM15" s="504">
        <f>Габариты!DM38</f>
        <v>0</v>
      </c>
      <c r="BN15" s="82"/>
      <c r="BO15" s="482" t="s">
        <v>87</v>
      </c>
      <c r="BP15" s="507">
        <f>Габариты!CK65</f>
        <v>0</v>
      </c>
      <c r="BQ15" s="507">
        <f>Габариты!CL65</f>
        <v>0</v>
      </c>
      <c r="BR15" s="507">
        <f>Габариты!CN65</f>
        <v>0</v>
      </c>
      <c r="BS15" s="507">
        <f>Габариты!CO65</f>
        <v>0</v>
      </c>
      <c r="BT15" s="507">
        <f>Габариты!CQ65</f>
        <v>0</v>
      </c>
      <c r="BU15" s="507">
        <f>Габариты!CR65</f>
        <v>0</v>
      </c>
      <c r="BV15" s="507">
        <f>Габариты!CT65</f>
        <v>0</v>
      </c>
      <c r="BW15" s="507">
        <f>Габариты!CU65</f>
        <v>0</v>
      </c>
      <c r="BX15" s="507">
        <f>Габариты!CW65</f>
        <v>0</v>
      </c>
      <c r="BY15" s="507">
        <f>Габариты!CX65</f>
        <v>0</v>
      </c>
      <c r="BZ15" s="507">
        <f>Габариты!CZ65</f>
        <v>0</v>
      </c>
      <c r="CA15" s="507">
        <f>Габариты!DA65</f>
        <v>0</v>
      </c>
      <c r="CB15" s="507">
        <f>Габариты!DC65</f>
        <v>0</v>
      </c>
      <c r="CC15" s="507">
        <f>Габариты!DD65</f>
        <v>0</v>
      </c>
      <c r="CD15" s="507">
        <f>Габариты!DF65</f>
        <v>0</v>
      </c>
      <c r="CE15" s="507">
        <f>Габариты!DG65</f>
        <v>0</v>
      </c>
      <c r="CF15" s="507">
        <f>Габариты!DI65</f>
        <v>0</v>
      </c>
      <c r="CG15" s="507">
        <f>Габариты!DJ65</f>
        <v>0</v>
      </c>
      <c r="CH15" s="507">
        <f>Габариты!DL65</f>
        <v>0</v>
      </c>
      <c r="CI15" s="507">
        <f>Габариты!DM65</f>
        <v>0</v>
      </c>
      <c r="CK15" s="979" t="str">
        <f>_xlfn.IFNA(VLOOKUP(Бланк!E15,'Замена SE на LS'!$C:$E,3,FALSE),"")</f>
        <v/>
      </c>
      <c r="CZ15" s="542"/>
    </row>
    <row r="16" spans="1:104" ht="18" x14ac:dyDescent="0.25">
      <c r="A16" s="434">
        <v>4</v>
      </c>
      <c r="B16" s="924" t="str">
        <f>_xlfn.IFNA(IF(VLOOKUP(Бланк!B16,'Замена SE на LS'!$A$2:$B$70,2,FALSE)=0,"замена не найдена",VLOOKUP(Бланк!B16,'Замена SE на LS'!$A$2:$B$70,2,FALSE)),"")</f>
        <v/>
      </c>
      <c r="C16" s="923" t="str">
        <f>IF(ISBLANK(Бланк!C16),"",Бланк!C16)</f>
        <v/>
      </c>
      <c r="D16" s="923" t="str">
        <f>IF(ISBLANK(Бланк!D16),"",Бланк!D16)</f>
        <v/>
      </c>
      <c r="E16" s="923" t="str">
        <f>_xlfn.IFNA(IF(VLOOKUP(Бланк!E16,'Замена SE на LS'!$C:$D,2,FALSE)=0,"замена не найдена",VLOOKUP(Бланк!E16,'Замена SE на LS'!$C:$D,2,FALSE)),"")</f>
        <v/>
      </c>
      <c r="F16" s="923"/>
      <c r="G16" s="923"/>
      <c r="H16" s="923" t="str">
        <f>IF(ISBLANK(Бланк!H16),"",Бланк!H16)</f>
        <v/>
      </c>
      <c r="I16" s="923" t="str">
        <f>IF(ISBLANK(Бланк!I16),"",Бланк!I16)</f>
        <v/>
      </c>
      <c r="J16" s="923" t="str">
        <f>IF(ISBLANK(Бланк!J16),"",Бланк!J16)</f>
        <v/>
      </c>
      <c r="K16" s="923" t="str">
        <f>IF(ISBLANK(Бланк!K16),"",Бланк!K16)</f>
        <v/>
      </c>
      <c r="L16" s="923" t="str">
        <f>IF(ISBLANK(Бланк!L16),"",Бланк!L16)</f>
        <v/>
      </c>
      <c r="M16" s="923" t="str">
        <f>IF(ISBLANK(Бланк!M16),"",Бланк!M16)</f>
        <v/>
      </c>
      <c r="N16" s="923" t="str">
        <f>IF(ISBLANK(Бланк!N16),"",Бланк!N16)</f>
        <v/>
      </c>
      <c r="O16" s="925" t="str">
        <f>IF(ISBLANK(Бланк!O16),"",Бланк!O16)</f>
        <v/>
      </c>
      <c r="P16" s="489"/>
      <c r="Q16" s="504" t="str">
        <f>IF($R16="","",IF(D!EQ7=0,"Тип кабеля не найден","Тип кабеля найден"))</f>
        <v/>
      </c>
      <c r="R16" s="504" t="str">
        <f>IF(D!$ES7&gt;0,D!$ES7,"")</f>
        <v/>
      </c>
      <c r="S16" s="504">
        <f>IF(ISERR(FIND("пофазно",$C16)),0,D!BS88+D!BV88)</f>
        <v>0</v>
      </c>
      <c r="T16" s="504">
        <f>IF(ISERR(FIND("пофазно",$C16)),0,D!BT88+D!BW88)</f>
        <v>0</v>
      </c>
      <c r="U16" s="504">
        <f>IF(ISERR(FIND("пофазно",$C16)),0,D!BU88+D!BX88)</f>
        <v>0</v>
      </c>
      <c r="V16" s="475"/>
      <c r="W16" s="482" t="s">
        <v>88</v>
      </c>
      <c r="X16" s="504">
        <f>Габариты!CK10</f>
        <v>0</v>
      </c>
      <c r="Y16" s="504">
        <f>Габариты!CL10</f>
        <v>0</v>
      </c>
      <c r="Z16" s="504">
        <f>Габариты!CN10</f>
        <v>0</v>
      </c>
      <c r="AA16" s="504">
        <f>Габариты!CO10</f>
        <v>0</v>
      </c>
      <c r="AB16" s="504">
        <f>Габариты!CQ10</f>
        <v>0</v>
      </c>
      <c r="AC16" s="504">
        <f>Габариты!CR10</f>
        <v>0</v>
      </c>
      <c r="AD16" s="504">
        <f>Габариты!CT10</f>
        <v>0</v>
      </c>
      <c r="AE16" s="504">
        <f>Габариты!CU10</f>
        <v>0</v>
      </c>
      <c r="AF16" s="504">
        <f>Габариты!CW10</f>
        <v>0</v>
      </c>
      <c r="AG16" s="504">
        <f>Габариты!CX10</f>
        <v>0</v>
      </c>
      <c r="AH16" s="504">
        <f>Габариты!CZ10</f>
        <v>0</v>
      </c>
      <c r="AI16" s="504">
        <f>Габариты!DA10</f>
        <v>0</v>
      </c>
      <c r="AJ16" s="504">
        <f>Габариты!DC10</f>
        <v>0</v>
      </c>
      <c r="AK16" s="504">
        <f>Габариты!DD10</f>
        <v>0</v>
      </c>
      <c r="AL16" s="504">
        <f>Габариты!DF10</f>
        <v>0</v>
      </c>
      <c r="AM16" s="504">
        <f>Габариты!DG10</f>
        <v>0</v>
      </c>
      <c r="AN16" s="504">
        <f>Габариты!DI10</f>
        <v>0</v>
      </c>
      <c r="AO16" s="504">
        <f>Габариты!DJ10</f>
        <v>0</v>
      </c>
      <c r="AP16" s="504">
        <f>Габариты!DL10</f>
        <v>0</v>
      </c>
      <c r="AQ16" s="504">
        <f>Габариты!DM10</f>
        <v>0</v>
      </c>
      <c r="AR16" s="82"/>
      <c r="AS16" s="482" t="s">
        <v>88</v>
      </c>
      <c r="AT16" s="504">
        <f>Габариты!CK39</f>
        <v>0</v>
      </c>
      <c r="AU16" s="504">
        <f>Габариты!CL39</f>
        <v>0</v>
      </c>
      <c r="AV16" s="504">
        <f>Габариты!CN39</f>
        <v>0</v>
      </c>
      <c r="AW16" s="504">
        <f>Габариты!CO39</f>
        <v>0</v>
      </c>
      <c r="AX16" s="504">
        <f>Габариты!CQ39</f>
        <v>0</v>
      </c>
      <c r="AY16" s="504">
        <f>Габариты!CR39</f>
        <v>0</v>
      </c>
      <c r="AZ16" s="504">
        <f>Габариты!CT39</f>
        <v>0</v>
      </c>
      <c r="BA16" s="504">
        <f>Габариты!CU39</f>
        <v>0</v>
      </c>
      <c r="BB16" s="504">
        <f>Габариты!CW39</f>
        <v>0</v>
      </c>
      <c r="BC16" s="504">
        <f>Габариты!CX39</f>
        <v>0</v>
      </c>
      <c r="BD16" s="504">
        <f>Габариты!CZ39</f>
        <v>0</v>
      </c>
      <c r="BE16" s="504">
        <f>Габариты!DA39</f>
        <v>0</v>
      </c>
      <c r="BF16" s="504">
        <f>Габариты!DC39</f>
        <v>0</v>
      </c>
      <c r="BG16" s="504">
        <f>Габариты!DD39</f>
        <v>0</v>
      </c>
      <c r="BH16" s="504">
        <f>Габариты!DF39</f>
        <v>0</v>
      </c>
      <c r="BI16" s="504">
        <f>Габариты!DG39</f>
        <v>0</v>
      </c>
      <c r="BJ16" s="504">
        <f>Габариты!DI39</f>
        <v>0</v>
      </c>
      <c r="BK16" s="504">
        <f>Габариты!DJ39</f>
        <v>0</v>
      </c>
      <c r="BL16" s="504">
        <f>Габариты!DL39</f>
        <v>0</v>
      </c>
      <c r="BM16" s="504">
        <f>Габариты!DM39</f>
        <v>0</v>
      </c>
      <c r="BN16" s="82"/>
      <c r="BO16" s="482" t="s">
        <v>88</v>
      </c>
      <c r="BP16" s="507">
        <f>Габариты!CK66</f>
        <v>0</v>
      </c>
      <c r="BQ16" s="507">
        <f>Габариты!CL66</f>
        <v>0</v>
      </c>
      <c r="BR16" s="507">
        <f>Габариты!CN66</f>
        <v>0</v>
      </c>
      <c r="BS16" s="507">
        <f>Габариты!CO66</f>
        <v>0</v>
      </c>
      <c r="BT16" s="507">
        <f>Габариты!CQ66</f>
        <v>0</v>
      </c>
      <c r="BU16" s="507">
        <f>Габариты!CR66</f>
        <v>0</v>
      </c>
      <c r="BV16" s="507">
        <f>Габариты!CT66</f>
        <v>0</v>
      </c>
      <c r="BW16" s="507">
        <f>Габариты!CU66</f>
        <v>0</v>
      </c>
      <c r="BX16" s="507">
        <f>Габариты!CW66</f>
        <v>0</v>
      </c>
      <c r="BY16" s="507">
        <f>Габариты!CX66</f>
        <v>0</v>
      </c>
      <c r="BZ16" s="507">
        <f>Габариты!CZ66</f>
        <v>0</v>
      </c>
      <c r="CA16" s="507">
        <f>Габариты!DA66</f>
        <v>0</v>
      </c>
      <c r="CB16" s="507">
        <f>Габариты!DC66</f>
        <v>0</v>
      </c>
      <c r="CC16" s="507">
        <f>Габариты!DD66</f>
        <v>0</v>
      </c>
      <c r="CD16" s="507">
        <f>Габариты!DF66</f>
        <v>0</v>
      </c>
      <c r="CE16" s="507">
        <f>Габариты!DG66</f>
        <v>0</v>
      </c>
      <c r="CF16" s="507">
        <f>Габариты!DI66</f>
        <v>0</v>
      </c>
      <c r="CG16" s="507">
        <f>Габариты!DJ66</f>
        <v>0</v>
      </c>
      <c r="CH16" s="507">
        <f>Габариты!DL66</f>
        <v>0</v>
      </c>
      <c r="CI16" s="507">
        <f>Габариты!DM66</f>
        <v>0</v>
      </c>
      <c r="CK16" s="979" t="str">
        <f>_xlfn.IFNA(VLOOKUP(Бланк!E16,'Замена SE на LS'!$C:$E,3,FALSE),"")</f>
        <v/>
      </c>
      <c r="CZ16" s="542"/>
    </row>
    <row r="17" spans="1:104" ht="18" x14ac:dyDescent="0.25">
      <c r="A17" s="434">
        <v>5</v>
      </c>
      <c r="B17" s="924" t="str">
        <f>_xlfn.IFNA(IF(VLOOKUP(Бланк!B17,'Замена SE на LS'!$A$2:$B$70,2,FALSE)=0,"замена не найдена",VLOOKUP(Бланк!B17,'Замена SE на LS'!$A$2:$B$70,2,FALSE)),"")</f>
        <v/>
      </c>
      <c r="C17" s="923" t="str">
        <f>IF(ISBLANK(Бланк!C17),"",Бланк!C17)</f>
        <v/>
      </c>
      <c r="D17" s="923" t="str">
        <f>IF(ISBLANK(Бланк!D17),"",Бланк!D17)</f>
        <v/>
      </c>
      <c r="E17" s="923" t="str">
        <f>_xlfn.IFNA(IF(VLOOKUP(Бланк!E17,'Замена SE на LS'!$C:$D,2,FALSE)=0,"замена не найдена",VLOOKUP(Бланк!E17,'Замена SE на LS'!$C:$D,2,FALSE)),"")</f>
        <v/>
      </c>
      <c r="F17" s="923"/>
      <c r="G17" s="923"/>
      <c r="H17" s="923" t="str">
        <f>IF(ISBLANK(Бланк!H17),"",Бланк!H17)</f>
        <v/>
      </c>
      <c r="I17" s="923" t="str">
        <f>IF(ISBLANK(Бланк!I17),"",Бланк!I17)</f>
        <v/>
      </c>
      <c r="J17" s="923" t="str">
        <f>IF(ISBLANK(Бланк!J17),"",Бланк!J17)</f>
        <v/>
      </c>
      <c r="K17" s="923" t="str">
        <f>IF(ISBLANK(Бланк!K17),"",Бланк!K17)</f>
        <v/>
      </c>
      <c r="L17" s="923" t="str">
        <f>IF(ISBLANK(Бланк!L17),"",Бланк!L17)</f>
        <v/>
      </c>
      <c r="M17" s="923" t="str">
        <f>IF(ISBLANK(Бланк!M17),"",Бланк!M17)</f>
        <v/>
      </c>
      <c r="N17" s="923" t="str">
        <f>IF(ISBLANK(Бланк!N17),"",Бланк!N17)</f>
        <v/>
      </c>
      <c r="O17" s="925" t="str">
        <f>IF(ISBLANK(Бланк!O17),"",Бланк!O17)</f>
        <v/>
      </c>
      <c r="P17" s="489"/>
      <c r="Q17" s="504" t="str">
        <f>IF($R17="","",IF(D!EQ8=0,"Тип кабеля не найден","Тип кабеля найден"))</f>
        <v/>
      </c>
      <c r="R17" s="504" t="str">
        <f>IF(D!$ES8&gt;0,D!$ES8,"")</f>
        <v/>
      </c>
      <c r="S17" s="504">
        <f>IF(ISERR(FIND("пофазно",$C17)),0,D!BS89+D!BV89)</f>
        <v>0</v>
      </c>
      <c r="T17" s="504">
        <f>IF(ISERR(FIND("пофазно",$C17)),0,D!BT89+D!BW89)</f>
        <v>0</v>
      </c>
      <c r="U17" s="504">
        <f>IF(ISERR(FIND("пофазно",$C17)),0,D!BU89+D!BX89)</f>
        <v>0</v>
      </c>
      <c r="V17" s="475"/>
      <c r="W17" s="482" t="s">
        <v>89</v>
      </c>
      <c r="X17" s="504">
        <f>Габариты!CK11</f>
        <v>0</v>
      </c>
      <c r="Y17" s="504">
        <f>Габариты!CL11</f>
        <v>0</v>
      </c>
      <c r="Z17" s="504">
        <f>Габариты!CN11</f>
        <v>0</v>
      </c>
      <c r="AA17" s="504">
        <f>Габариты!CO11</f>
        <v>0</v>
      </c>
      <c r="AB17" s="504">
        <f>Габариты!CQ11</f>
        <v>0</v>
      </c>
      <c r="AC17" s="504">
        <f>Габариты!CR11</f>
        <v>0</v>
      </c>
      <c r="AD17" s="504">
        <f>Габариты!CT11</f>
        <v>0</v>
      </c>
      <c r="AE17" s="504">
        <f>Габариты!CU11</f>
        <v>0</v>
      </c>
      <c r="AF17" s="504">
        <f>Габариты!CW11</f>
        <v>0</v>
      </c>
      <c r="AG17" s="504">
        <f>Габариты!CX11</f>
        <v>0</v>
      </c>
      <c r="AH17" s="504">
        <f>Габариты!CZ11</f>
        <v>0</v>
      </c>
      <c r="AI17" s="504">
        <f>Габариты!DA11</f>
        <v>0</v>
      </c>
      <c r="AJ17" s="504">
        <f>Габариты!DC11</f>
        <v>0</v>
      </c>
      <c r="AK17" s="504">
        <f>Габариты!DD11</f>
        <v>0</v>
      </c>
      <c r="AL17" s="504">
        <f>Габариты!DF11</f>
        <v>0</v>
      </c>
      <c r="AM17" s="504">
        <f>Габариты!DG11</f>
        <v>0</v>
      </c>
      <c r="AN17" s="504">
        <f>Габариты!DI11</f>
        <v>0</v>
      </c>
      <c r="AO17" s="504">
        <f>Габариты!DJ11</f>
        <v>0</v>
      </c>
      <c r="AP17" s="504">
        <f>Габариты!DL11</f>
        <v>0</v>
      </c>
      <c r="AQ17" s="504">
        <f>Габариты!DM11</f>
        <v>0</v>
      </c>
      <c r="AR17" s="82"/>
      <c r="AS17" s="482" t="s">
        <v>89</v>
      </c>
      <c r="AT17" s="504">
        <f>Габариты!CK40</f>
        <v>0</v>
      </c>
      <c r="AU17" s="504">
        <f>Габариты!CL40</f>
        <v>0</v>
      </c>
      <c r="AV17" s="504">
        <f>Габариты!CN40</f>
        <v>0</v>
      </c>
      <c r="AW17" s="504">
        <f>Габариты!CO40</f>
        <v>0</v>
      </c>
      <c r="AX17" s="504">
        <f>Габариты!CQ40</f>
        <v>0</v>
      </c>
      <c r="AY17" s="504">
        <f>Габариты!CR40</f>
        <v>0</v>
      </c>
      <c r="AZ17" s="504">
        <f>Габариты!CT40</f>
        <v>0</v>
      </c>
      <c r="BA17" s="504">
        <f>Габариты!CU40</f>
        <v>0</v>
      </c>
      <c r="BB17" s="504">
        <f>Габариты!CW40</f>
        <v>0</v>
      </c>
      <c r="BC17" s="504">
        <f>Габариты!CX40</f>
        <v>0</v>
      </c>
      <c r="BD17" s="504">
        <f>Габариты!CZ40</f>
        <v>0</v>
      </c>
      <c r="BE17" s="504">
        <f>Габариты!DA40</f>
        <v>0</v>
      </c>
      <c r="BF17" s="504">
        <f>Габариты!DC40</f>
        <v>0</v>
      </c>
      <c r="BG17" s="504">
        <f>Габариты!DD40</f>
        <v>0</v>
      </c>
      <c r="BH17" s="504">
        <f>Габариты!DF40</f>
        <v>0</v>
      </c>
      <c r="BI17" s="504">
        <f>Габариты!DG40</f>
        <v>0</v>
      </c>
      <c r="BJ17" s="504">
        <f>Габариты!DI40</f>
        <v>0</v>
      </c>
      <c r="BK17" s="504">
        <f>Габариты!DJ40</f>
        <v>0</v>
      </c>
      <c r="BL17" s="504">
        <f>Габариты!DL40</f>
        <v>0</v>
      </c>
      <c r="BM17" s="504">
        <f>Габариты!DM40</f>
        <v>0</v>
      </c>
      <c r="BN17" s="82"/>
      <c r="BO17" s="482" t="s">
        <v>89</v>
      </c>
      <c r="BP17" s="507">
        <f>Габариты!CK67</f>
        <v>0</v>
      </c>
      <c r="BQ17" s="507">
        <f>Габариты!CL67</f>
        <v>0</v>
      </c>
      <c r="BR17" s="507">
        <f>Габариты!CN67</f>
        <v>0</v>
      </c>
      <c r="BS17" s="507">
        <f>Габариты!CO67</f>
        <v>0</v>
      </c>
      <c r="BT17" s="507">
        <f>Габариты!CQ67</f>
        <v>0</v>
      </c>
      <c r="BU17" s="507">
        <f>Габариты!CR67</f>
        <v>0</v>
      </c>
      <c r="BV17" s="507">
        <f>Габариты!CT67</f>
        <v>0</v>
      </c>
      <c r="BW17" s="507">
        <f>Габариты!CU67</f>
        <v>0</v>
      </c>
      <c r="BX17" s="507">
        <f>Габариты!CW67</f>
        <v>0</v>
      </c>
      <c r="BY17" s="507">
        <f>Габариты!CX67</f>
        <v>0</v>
      </c>
      <c r="BZ17" s="507">
        <f>Габариты!CZ67</f>
        <v>0</v>
      </c>
      <c r="CA17" s="507">
        <f>Габариты!DA67</f>
        <v>0</v>
      </c>
      <c r="CB17" s="507">
        <f>Габариты!DC67</f>
        <v>0</v>
      </c>
      <c r="CC17" s="507">
        <f>Габариты!DD67</f>
        <v>0</v>
      </c>
      <c r="CD17" s="507">
        <f>Габариты!DF67</f>
        <v>0</v>
      </c>
      <c r="CE17" s="507">
        <f>Габариты!DG67</f>
        <v>0</v>
      </c>
      <c r="CF17" s="507">
        <f>Габариты!DI67</f>
        <v>0</v>
      </c>
      <c r="CG17" s="507">
        <f>Габариты!DJ67</f>
        <v>0</v>
      </c>
      <c r="CH17" s="507">
        <f>Габариты!DL67</f>
        <v>0</v>
      </c>
      <c r="CI17" s="507">
        <f>Габариты!DM67</f>
        <v>0</v>
      </c>
      <c r="CK17" s="979" t="str">
        <f>_xlfn.IFNA(VLOOKUP(Бланк!E17,'Замена SE на LS'!$C:$E,3,FALSE),"")</f>
        <v/>
      </c>
      <c r="CZ17"/>
    </row>
    <row r="18" spans="1:104" ht="18" x14ac:dyDescent="0.25">
      <c r="A18" s="434">
        <v>6</v>
      </c>
      <c r="B18" s="924" t="str">
        <f>_xlfn.IFNA(IF(VLOOKUP(Бланк!B18,'Замена SE на LS'!$A$2:$B$70,2,FALSE)=0,"замена не найдена",VLOOKUP(Бланк!B18,'Замена SE на LS'!$A$2:$B$70,2,FALSE)),"")</f>
        <v/>
      </c>
      <c r="C18" s="923" t="str">
        <f>IF(ISBLANK(Бланк!C18),"",Бланк!C18)</f>
        <v/>
      </c>
      <c r="D18" s="923" t="str">
        <f>IF(ISBLANK(Бланк!D18),"",Бланк!D18)</f>
        <v/>
      </c>
      <c r="E18" s="923" t="str">
        <f>_xlfn.IFNA(IF(VLOOKUP(Бланк!E18,'Замена SE на LS'!$C:$D,2,FALSE)=0,"замена не найдена",VLOOKUP(Бланк!E18,'Замена SE на LS'!$C:$D,2,FALSE)),"")</f>
        <v/>
      </c>
      <c r="F18" s="923" t="str">
        <f>IF(ISBLANK(Бланк!F18),"",Бланк!F18)</f>
        <v/>
      </c>
      <c r="G18" s="923" t="str">
        <f>IF(ISBLANK(Бланк!G18),"",Бланк!G18)</f>
        <v/>
      </c>
      <c r="H18" s="923" t="str">
        <f>IF(ISBLANK(Бланк!H18),"",Бланк!H18)</f>
        <v/>
      </c>
      <c r="I18" s="923" t="str">
        <f>IF(ISBLANK(Бланк!I18),"",Бланк!I18)</f>
        <v/>
      </c>
      <c r="J18" s="923" t="str">
        <f>IF(ISBLANK(Бланк!J18),"",Бланк!J18)</f>
        <v/>
      </c>
      <c r="K18" s="923" t="str">
        <f>IF(ISBLANK(Бланк!K18),"",Бланк!K18)</f>
        <v/>
      </c>
      <c r="L18" s="923" t="str">
        <f>IF(ISBLANK(Бланк!L18),"",Бланк!L18)</f>
        <v/>
      </c>
      <c r="M18" s="923" t="str">
        <f>IF(ISBLANK(Бланк!M18),"",Бланк!M18)</f>
        <v/>
      </c>
      <c r="N18" s="923" t="str">
        <f>IF(ISBLANK(Бланк!N18),"",Бланк!N18)</f>
        <v/>
      </c>
      <c r="O18" s="925" t="str">
        <f>IF(ISBLANK(Бланк!O18),"",Бланк!O18)</f>
        <v/>
      </c>
      <c r="P18" s="489"/>
      <c r="Q18" s="504" t="str">
        <f>IF($R18="","",IF(D!EQ9=0,"Тип кабеля не найден","Тип кабеля найден"))</f>
        <v/>
      </c>
      <c r="R18" s="504" t="str">
        <f>IF(D!$ES9&gt;0,D!$ES9,"")</f>
        <v/>
      </c>
      <c r="S18" s="504">
        <f>IF(ISERR(FIND("пофазно",$C18)),0,D!BS90+D!BV90)</f>
        <v>0</v>
      </c>
      <c r="T18" s="504">
        <f>IF(ISERR(FIND("пофазно",$C18)),0,D!BT90+D!BW90)</f>
        <v>0</v>
      </c>
      <c r="U18" s="504">
        <f>IF(ISERR(FIND("пофазно",$C18)),0,D!BU90+D!BX90)</f>
        <v>0</v>
      </c>
      <c r="V18" s="475"/>
      <c r="W18" s="482" t="s">
        <v>90</v>
      </c>
      <c r="X18" s="504">
        <f>Габариты!CK12</f>
        <v>0</v>
      </c>
      <c r="Y18" s="504">
        <f>Габариты!CL12</f>
        <v>0</v>
      </c>
      <c r="Z18" s="504">
        <f>Габариты!CN12</f>
        <v>0</v>
      </c>
      <c r="AA18" s="504">
        <f>Габариты!CO12</f>
        <v>0</v>
      </c>
      <c r="AB18" s="504">
        <f>Габариты!CQ12</f>
        <v>0</v>
      </c>
      <c r="AC18" s="504">
        <f>Габариты!CR12</f>
        <v>0</v>
      </c>
      <c r="AD18" s="504">
        <f>Габариты!CT12</f>
        <v>0</v>
      </c>
      <c r="AE18" s="504">
        <f>Габариты!CU12</f>
        <v>0</v>
      </c>
      <c r="AF18" s="504">
        <f>Габариты!CW12</f>
        <v>0</v>
      </c>
      <c r="AG18" s="504">
        <f>Габариты!CX12</f>
        <v>0</v>
      </c>
      <c r="AH18" s="504">
        <f>Габариты!CZ12</f>
        <v>0</v>
      </c>
      <c r="AI18" s="504">
        <f>Габариты!DA12</f>
        <v>0</v>
      </c>
      <c r="AJ18" s="504">
        <f>Габариты!DC12</f>
        <v>0</v>
      </c>
      <c r="AK18" s="504">
        <f>Габариты!DD12</f>
        <v>0</v>
      </c>
      <c r="AL18" s="504">
        <f>Габариты!DF12</f>
        <v>0</v>
      </c>
      <c r="AM18" s="504">
        <f>Габариты!DG12</f>
        <v>0</v>
      </c>
      <c r="AN18" s="504">
        <f>Габариты!DI12</f>
        <v>0</v>
      </c>
      <c r="AO18" s="504">
        <f>Габариты!DJ12</f>
        <v>0</v>
      </c>
      <c r="AP18" s="504">
        <f>Габариты!DL12</f>
        <v>0</v>
      </c>
      <c r="AQ18" s="504">
        <f>Габариты!DM12</f>
        <v>0</v>
      </c>
      <c r="AR18" s="82"/>
      <c r="AS18" s="482" t="s">
        <v>90</v>
      </c>
      <c r="AT18" s="504">
        <f>Габариты!CK41</f>
        <v>0</v>
      </c>
      <c r="AU18" s="504">
        <f>Габариты!CL41</f>
        <v>0</v>
      </c>
      <c r="AV18" s="504">
        <f>Габариты!CN41</f>
        <v>0</v>
      </c>
      <c r="AW18" s="504">
        <f>Габариты!CO41</f>
        <v>0</v>
      </c>
      <c r="AX18" s="504">
        <f>Габариты!CQ41</f>
        <v>0</v>
      </c>
      <c r="AY18" s="504">
        <f>Габариты!CR41</f>
        <v>0</v>
      </c>
      <c r="AZ18" s="504">
        <f>Габариты!CT41</f>
        <v>0</v>
      </c>
      <c r="BA18" s="504">
        <f>Габариты!CU41</f>
        <v>0</v>
      </c>
      <c r="BB18" s="504">
        <f>Габариты!CW41</f>
        <v>0</v>
      </c>
      <c r="BC18" s="504">
        <f>Габариты!CX41</f>
        <v>0</v>
      </c>
      <c r="BD18" s="504">
        <f>Габариты!CZ41</f>
        <v>0</v>
      </c>
      <c r="BE18" s="504">
        <f>Габариты!DA41</f>
        <v>0</v>
      </c>
      <c r="BF18" s="504">
        <f>Габариты!DC41</f>
        <v>0</v>
      </c>
      <c r="BG18" s="504">
        <f>Габариты!DD41</f>
        <v>0</v>
      </c>
      <c r="BH18" s="504">
        <f>Габариты!DF41</f>
        <v>0</v>
      </c>
      <c r="BI18" s="504">
        <f>Габариты!DG41</f>
        <v>0</v>
      </c>
      <c r="BJ18" s="504">
        <f>Габариты!DI41</f>
        <v>0</v>
      </c>
      <c r="BK18" s="504">
        <f>Габариты!DJ41</f>
        <v>0</v>
      </c>
      <c r="BL18" s="504">
        <f>Габариты!DL41</f>
        <v>0</v>
      </c>
      <c r="BM18" s="504">
        <f>Габариты!DM41</f>
        <v>0</v>
      </c>
      <c r="BN18" s="82"/>
      <c r="BO18" s="482" t="s">
        <v>90</v>
      </c>
      <c r="BP18" s="507">
        <f>Габариты!CK68</f>
        <v>0</v>
      </c>
      <c r="BQ18" s="507">
        <f>Габариты!CL68</f>
        <v>0</v>
      </c>
      <c r="BR18" s="507">
        <f>Габариты!CN68</f>
        <v>0</v>
      </c>
      <c r="BS18" s="507">
        <f>Габариты!CO68</f>
        <v>0</v>
      </c>
      <c r="BT18" s="507">
        <f>Габариты!CQ68</f>
        <v>0</v>
      </c>
      <c r="BU18" s="507">
        <f>Габариты!CR68</f>
        <v>0</v>
      </c>
      <c r="BV18" s="507">
        <f>Габариты!CT68</f>
        <v>0</v>
      </c>
      <c r="BW18" s="507">
        <f>Габариты!CU68</f>
        <v>0</v>
      </c>
      <c r="BX18" s="507">
        <f>Габариты!CW68</f>
        <v>0</v>
      </c>
      <c r="BY18" s="507">
        <f>Габариты!CX68</f>
        <v>0</v>
      </c>
      <c r="BZ18" s="507">
        <f>Габариты!CZ68</f>
        <v>0</v>
      </c>
      <c r="CA18" s="507">
        <f>Габариты!DA68</f>
        <v>0</v>
      </c>
      <c r="CB18" s="507">
        <f>Габариты!DC68</f>
        <v>0</v>
      </c>
      <c r="CC18" s="507">
        <f>Габариты!DD68</f>
        <v>0</v>
      </c>
      <c r="CD18" s="507">
        <f>Габариты!DF68</f>
        <v>0</v>
      </c>
      <c r="CE18" s="507">
        <f>Габариты!DG68</f>
        <v>0</v>
      </c>
      <c r="CF18" s="507">
        <f>Габариты!DI68</f>
        <v>0</v>
      </c>
      <c r="CG18" s="507">
        <f>Габариты!DJ68</f>
        <v>0</v>
      </c>
      <c r="CH18" s="507">
        <f>Габариты!DL68</f>
        <v>0</v>
      </c>
      <c r="CI18" s="507">
        <f>Габариты!DM68</f>
        <v>0</v>
      </c>
      <c r="CK18" s="979" t="str">
        <f>_xlfn.IFNA(VLOOKUP(Бланк!E18,'Замена SE на LS'!$C:$E,3,FALSE),"")</f>
        <v/>
      </c>
      <c r="CZ18"/>
    </row>
    <row r="19" spans="1:104" ht="18" x14ac:dyDescent="0.25">
      <c r="A19" s="434">
        <v>7</v>
      </c>
      <c r="B19" s="924" t="str">
        <f>_xlfn.IFNA(IF(VLOOKUP(Бланк!B19,'Замена SE на LS'!$A$2:$B$70,2,FALSE)=0,"замена не найдена",VLOOKUP(Бланк!B19,'Замена SE на LS'!$A$2:$B$70,2,FALSE)),"")</f>
        <v/>
      </c>
      <c r="C19" s="923" t="str">
        <f>IF(ISBLANK(Бланк!C19),"",Бланк!C19)</f>
        <v/>
      </c>
      <c r="D19" s="923" t="str">
        <f>IF(ISBLANK(Бланк!D19),"",Бланк!D19)</f>
        <v/>
      </c>
      <c r="E19" s="923" t="str">
        <f>_xlfn.IFNA(IF(VLOOKUP(Бланк!E19,'Замена SE на LS'!$C:$D,2,FALSE)=0,"замена не найдена",VLOOKUP(Бланк!E19,'Замена SE на LS'!$C:$D,2,FALSE)),"")</f>
        <v/>
      </c>
      <c r="F19" s="923" t="str">
        <f>IF(ISBLANK(Бланк!F19),"",Бланк!F19)</f>
        <v/>
      </c>
      <c r="G19" s="923" t="str">
        <f>IF(ISBLANK(Бланк!G19),"",Бланк!G19)</f>
        <v/>
      </c>
      <c r="H19" s="923" t="str">
        <f>IF(ISBLANK(Бланк!H19),"",Бланк!H19)</f>
        <v/>
      </c>
      <c r="I19" s="923" t="str">
        <f>IF(ISBLANK(Бланк!I19),"",Бланк!I19)</f>
        <v/>
      </c>
      <c r="J19" s="923" t="str">
        <f>IF(ISBLANK(Бланк!J19),"",Бланк!J19)</f>
        <v/>
      </c>
      <c r="K19" s="923" t="str">
        <f>IF(ISBLANK(Бланк!K19),"",Бланк!K19)</f>
        <v/>
      </c>
      <c r="L19" s="923" t="str">
        <f>IF(ISBLANK(Бланк!L19),"",Бланк!L19)</f>
        <v/>
      </c>
      <c r="M19" s="923" t="str">
        <f>IF(ISBLANK(Бланк!M19),"",Бланк!M19)</f>
        <v/>
      </c>
      <c r="N19" s="923" t="str">
        <f>IF(ISBLANK(Бланк!N19),"",Бланк!N19)</f>
        <v/>
      </c>
      <c r="O19" s="925" t="str">
        <f>IF(ISBLANK(Бланк!O19),"",Бланк!O19)</f>
        <v/>
      </c>
      <c r="P19" s="489"/>
      <c r="Q19" s="504" t="str">
        <f>IF($R19="","",IF(D!EQ10=0,"Тип кабеля не найден","Тип кабеля найден"))</f>
        <v/>
      </c>
      <c r="R19" s="504" t="str">
        <f>IF(D!$ES10&gt;0,D!$ES10,"")</f>
        <v/>
      </c>
      <c r="S19" s="504">
        <f>IF(ISERR(FIND("пофазно",$C19)),0,D!BS91+D!BV91)</f>
        <v>0</v>
      </c>
      <c r="T19" s="504">
        <f>IF(ISERR(FIND("пофазно",$C19)),0,D!BT91+D!BW91)</f>
        <v>0</v>
      </c>
      <c r="U19" s="504">
        <f>IF(ISERR(FIND("пофазно",$C19)),0,D!BU91+D!BX91)</f>
        <v>0</v>
      </c>
      <c r="V19" s="475"/>
      <c r="W19" s="482" t="s">
        <v>91</v>
      </c>
      <c r="X19" s="504">
        <f>Габариты!CK13</f>
        <v>0</v>
      </c>
      <c r="Y19" s="504">
        <f>Габариты!CL13</f>
        <v>0</v>
      </c>
      <c r="Z19" s="504">
        <f>Габариты!CN13</f>
        <v>0</v>
      </c>
      <c r="AA19" s="504">
        <f>Габариты!CO13</f>
        <v>0</v>
      </c>
      <c r="AB19" s="504">
        <f>Габариты!CQ13</f>
        <v>0</v>
      </c>
      <c r="AC19" s="504">
        <f>Габариты!CR13</f>
        <v>0</v>
      </c>
      <c r="AD19" s="504">
        <f>Габариты!CT13</f>
        <v>0</v>
      </c>
      <c r="AE19" s="504">
        <f>Габариты!CU13</f>
        <v>0</v>
      </c>
      <c r="AF19" s="504">
        <f>Габариты!CW13</f>
        <v>0</v>
      </c>
      <c r="AG19" s="504">
        <f>Габариты!CX13</f>
        <v>0</v>
      </c>
      <c r="AH19" s="504">
        <f>Габариты!CZ13</f>
        <v>0</v>
      </c>
      <c r="AI19" s="504">
        <f>Габариты!DA13</f>
        <v>0</v>
      </c>
      <c r="AJ19" s="504">
        <f>Габариты!DC13</f>
        <v>0</v>
      </c>
      <c r="AK19" s="504">
        <f>Габариты!DD13</f>
        <v>0</v>
      </c>
      <c r="AL19" s="504">
        <f>Габариты!DF13</f>
        <v>0</v>
      </c>
      <c r="AM19" s="504">
        <f>Габариты!DG13</f>
        <v>0</v>
      </c>
      <c r="AN19" s="504">
        <f>Габариты!DI13</f>
        <v>0</v>
      </c>
      <c r="AO19" s="504">
        <f>Габариты!DJ13</f>
        <v>0</v>
      </c>
      <c r="AP19" s="504">
        <f>Габариты!DL13</f>
        <v>0</v>
      </c>
      <c r="AQ19" s="504">
        <f>Габариты!DM13</f>
        <v>0</v>
      </c>
      <c r="AR19" s="82"/>
      <c r="AS19" s="482" t="s">
        <v>91</v>
      </c>
      <c r="AT19" s="504">
        <f>Габариты!CK42</f>
        <v>0</v>
      </c>
      <c r="AU19" s="504">
        <f>Габариты!CL42</f>
        <v>0</v>
      </c>
      <c r="AV19" s="504">
        <f>Габариты!CN42</f>
        <v>0</v>
      </c>
      <c r="AW19" s="504">
        <f>Габариты!CO42</f>
        <v>0</v>
      </c>
      <c r="AX19" s="504">
        <f>Габариты!CQ42</f>
        <v>0</v>
      </c>
      <c r="AY19" s="504">
        <f>Габариты!CR42</f>
        <v>0</v>
      </c>
      <c r="AZ19" s="504">
        <f>Габариты!CT42</f>
        <v>0</v>
      </c>
      <c r="BA19" s="504">
        <f>Габариты!CU42</f>
        <v>0</v>
      </c>
      <c r="BB19" s="504">
        <f>Габариты!CW42</f>
        <v>0</v>
      </c>
      <c r="BC19" s="504">
        <f>Габариты!CX42</f>
        <v>0</v>
      </c>
      <c r="BD19" s="504">
        <f>Габариты!CZ42</f>
        <v>0</v>
      </c>
      <c r="BE19" s="504">
        <f>Габариты!DA42</f>
        <v>0</v>
      </c>
      <c r="BF19" s="504">
        <f>Габариты!DC42</f>
        <v>0</v>
      </c>
      <c r="BG19" s="504">
        <f>Габариты!DD42</f>
        <v>0</v>
      </c>
      <c r="BH19" s="504">
        <f>Габариты!DF42</f>
        <v>0</v>
      </c>
      <c r="BI19" s="504">
        <f>Габариты!DG42</f>
        <v>0</v>
      </c>
      <c r="BJ19" s="504">
        <f>Габариты!DI42</f>
        <v>0</v>
      </c>
      <c r="BK19" s="504">
        <f>Габариты!DJ42</f>
        <v>0</v>
      </c>
      <c r="BL19" s="504">
        <f>Габариты!DL42</f>
        <v>0</v>
      </c>
      <c r="BM19" s="504">
        <f>Габариты!DM42</f>
        <v>0</v>
      </c>
      <c r="BN19" s="82"/>
      <c r="BO19" s="482" t="s">
        <v>91</v>
      </c>
      <c r="BP19" s="507">
        <f>Габариты!CK69</f>
        <v>0</v>
      </c>
      <c r="BQ19" s="507">
        <f>Габариты!CL69</f>
        <v>0</v>
      </c>
      <c r="BR19" s="507">
        <f>Габариты!CN69</f>
        <v>0</v>
      </c>
      <c r="BS19" s="507">
        <f>Габариты!CO69</f>
        <v>0</v>
      </c>
      <c r="BT19" s="507">
        <f>Габариты!CQ69</f>
        <v>0</v>
      </c>
      <c r="BU19" s="507">
        <f>Габариты!CR69</f>
        <v>0</v>
      </c>
      <c r="BV19" s="507">
        <f>Габариты!CT69</f>
        <v>0</v>
      </c>
      <c r="BW19" s="507">
        <f>Габариты!CU69</f>
        <v>0</v>
      </c>
      <c r="BX19" s="507">
        <f>Габариты!CW69</f>
        <v>0</v>
      </c>
      <c r="BY19" s="507">
        <f>Габариты!CX69</f>
        <v>0</v>
      </c>
      <c r="BZ19" s="507">
        <f>Габариты!CZ69</f>
        <v>0</v>
      </c>
      <c r="CA19" s="507">
        <f>Габариты!DA69</f>
        <v>0</v>
      </c>
      <c r="CB19" s="507">
        <f>Габариты!DC69</f>
        <v>0</v>
      </c>
      <c r="CC19" s="507">
        <f>Габариты!DD69</f>
        <v>0</v>
      </c>
      <c r="CD19" s="507">
        <f>Габариты!DF69</f>
        <v>0</v>
      </c>
      <c r="CE19" s="507">
        <f>Габариты!DG69</f>
        <v>0</v>
      </c>
      <c r="CF19" s="507">
        <f>Габариты!DI69</f>
        <v>0</v>
      </c>
      <c r="CG19" s="507">
        <f>Габариты!DJ69</f>
        <v>0</v>
      </c>
      <c r="CH19" s="507">
        <f>Габариты!DL69</f>
        <v>0</v>
      </c>
      <c r="CI19" s="507">
        <f>Габариты!DM69</f>
        <v>0</v>
      </c>
      <c r="CK19" s="979" t="str">
        <f>_xlfn.IFNA(VLOOKUP(Бланк!E19,'Замена SE на LS'!$C:$E,3,FALSE),"")</f>
        <v/>
      </c>
      <c r="CZ19"/>
    </row>
    <row r="20" spans="1:104" ht="18" x14ac:dyDescent="0.25">
      <c r="A20" s="434">
        <v>8</v>
      </c>
      <c r="B20" s="924" t="str">
        <f>_xlfn.IFNA(IF(VLOOKUP(Бланк!B20,'Замена SE на LS'!$A$2:$B$70,2,FALSE)=0,"замена не найдена",VLOOKUP(Бланк!B20,'Замена SE на LS'!$A$2:$B$70,2,FALSE)),"")</f>
        <v/>
      </c>
      <c r="C20" s="923" t="str">
        <f>IF(ISBLANK(Бланк!C20),"",Бланк!C20)</f>
        <v/>
      </c>
      <c r="D20" s="923" t="str">
        <f>IF(ISBLANK(Бланк!D20),"",Бланк!D20)</f>
        <v/>
      </c>
      <c r="E20" s="923" t="str">
        <f>_xlfn.IFNA(IF(VLOOKUP(Бланк!E20,'Замена SE на LS'!$C:$D,2,FALSE)=0,"замена не найдена",VLOOKUP(Бланк!E20,'Замена SE на LS'!$C:$D,2,FALSE)),"")</f>
        <v/>
      </c>
      <c r="F20" s="923" t="str">
        <f>IF(ISBLANK(Бланк!F20),"",Бланк!F20)</f>
        <v/>
      </c>
      <c r="G20" s="923" t="str">
        <f>IF(ISBLANK(Бланк!G20),"",Бланк!G20)</f>
        <v/>
      </c>
      <c r="H20" s="923" t="str">
        <f>IF(ISBLANK(Бланк!H20),"",Бланк!H20)</f>
        <v/>
      </c>
      <c r="I20" s="923" t="str">
        <f>IF(ISBLANK(Бланк!I20),"",Бланк!I20)</f>
        <v/>
      </c>
      <c r="J20" s="923" t="str">
        <f>IF(ISBLANK(Бланк!J20),"",Бланк!J20)</f>
        <v/>
      </c>
      <c r="K20" s="923" t="str">
        <f>IF(ISBLANK(Бланк!K20),"",Бланк!K20)</f>
        <v/>
      </c>
      <c r="L20" s="923" t="str">
        <f>IF(ISBLANK(Бланк!L20),"",Бланк!L20)</f>
        <v/>
      </c>
      <c r="M20" s="923" t="str">
        <f>IF(ISBLANK(Бланк!M20),"",Бланк!M20)</f>
        <v/>
      </c>
      <c r="N20" s="923" t="str">
        <f>IF(ISBLANK(Бланк!N20),"",Бланк!N20)</f>
        <v/>
      </c>
      <c r="O20" s="925" t="str">
        <f>IF(ISBLANK(Бланк!O20),"",Бланк!O20)</f>
        <v/>
      </c>
      <c r="P20" s="489"/>
      <c r="Q20" s="504" t="str">
        <f>IF($R20="","",IF(D!EQ11=0,"Тип кабеля не найден","Тип кабеля найден"))</f>
        <v/>
      </c>
      <c r="R20" s="504" t="str">
        <f>IF(D!$ES11&gt;0,D!$ES11,"")</f>
        <v/>
      </c>
      <c r="S20" s="504">
        <f>IF(ISERR(FIND("пофазно",$C20)),0,D!BS92+D!BV92)</f>
        <v>0</v>
      </c>
      <c r="T20" s="504">
        <f>IF(ISERR(FIND("пофазно",$C20)),0,D!BT92+D!BW92)</f>
        <v>0</v>
      </c>
      <c r="U20" s="504">
        <f>IF(ISERR(FIND("пофазно",$C20)),0,D!BU92+D!BX92)</f>
        <v>0</v>
      </c>
      <c r="V20" s="475"/>
      <c r="W20" s="482" t="s">
        <v>92</v>
      </c>
      <c r="X20" s="504">
        <f>Габариты!CK14</f>
        <v>0</v>
      </c>
      <c r="Y20" s="504">
        <f>Габариты!CL14</f>
        <v>0</v>
      </c>
      <c r="Z20" s="504">
        <f>Габариты!CN14</f>
        <v>0</v>
      </c>
      <c r="AA20" s="504">
        <f>Габариты!CO14</f>
        <v>0</v>
      </c>
      <c r="AB20" s="504">
        <f>Габариты!CQ14</f>
        <v>0</v>
      </c>
      <c r="AC20" s="504">
        <f>Габариты!CR14</f>
        <v>0</v>
      </c>
      <c r="AD20" s="504">
        <f>Габариты!CT14</f>
        <v>0</v>
      </c>
      <c r="AE20" s="504">
        <f>Габариты!CU14</f>
        <v>0</v>
      </c>
      <c r="AF20" s="504">
        <f>Габариты!CW14</f>
        <v>0</v>
      </c>
      <c r="AG20" s="504">
        <f>Габариты!CX14</f>
        <v>0</v>
      </c>
      <c r="AH20" s="504">
        <f>Габариты!CZ14</f>
        <v>0</v>
      </c>
      <c r="AI20" s="504">
        <f>Габариты!DA14</f>
        <v>0</v>
      </c>
      <c r="AJ20" s="504">
        <f>Габариты!DC14</f>
        <v>0</v>
      </c>
      <c r="AK20" s="504">
        <f>Габариты!DD14</f>
        <v>0</v>
      </c>
      <c r="AL20" s="504">
        <f>Габариты!DF14</f>
        <v>0</v>
      </c>
      <c r="AM20" s="504">
        <f>Габариты!DG14</f>
        <v>0</v>
      </c>
      <c r="AN20" s="504">
        <f>Габариты!DI14</f>
        <v>0</v>
      </c>
      <c r="AO20" s="504">
        <f>Габариты!DJ14</f>
        <v>0</v>
      </c>
      <c r="AP20" s="504">
        <f>Габариты!DL14</f>
        <v>0</v>
      </c>
      <c r="AQ20" s="504">
        <f>Габариты!DM14</f>
        <v>0</v>
      </c>
      <c r="AR20" s="82"/>
      <c r="AS20" s="482" t="s">
        <v>92</v>
      </c>
      <c r="AT20" s="504">
        <f>Габариты!CK43</f>
        <v>0</v>
      </c>
      <c r="AU20" s="504">
        <f>Габариты!CL43</f>
        <v>0</v>
      </c>
      <c r="AV20" s="504">
        <f>Габариты!CN43</f>
        <v>0</v>
      </c>
      <c r="AW20" s="504">
        <f>Габариты!CO43</f>
        <v>0</v>
      </c>
      <c r="AX20" s="504">
        <f>Габариты!CQ43</f>
        <v>0</v>
      </c>
      <c r="AY20" s="504">
        <f>Габариты!CR43</f>
        <v>0</v>
      </c>
      <c r="AZ20" s="504">
        <f>Габариты!CT43</f>
        <v>0</v>
      </c>
      <c r="BA20" s="504">
        <f>Габариты!CU43</f>
        <v>0</v>
      </c>
      <c r="BB20" s="504">
        <f>Габариты!CW43</f>
        <v>0</v>
      </c>
      <c r="BC20" s="504">
        <f>Габариты!CX43</f>
        <v>0</v>
      </c>
      <c r="BD20" s="504">
        <f>Габариты!CZ43</f>
        <v>0</v>
      </c>
      <c r="BE20" s="504">
        <f>Габариты!DA43</f>
        <v>0</v>
      </c>
      <c r="BF20" s="504">
        <f>Габариты!DC43</f>
        <v>0</v>
      </c>
      <c r="BG20" s="504">
        <f>Габариты!DD43</f>
        <v>0</v>
      </c>
      <c r="BH20" s="504">
        <f>Габариты!DF43</f>
        <v>0</v>
      </c>
      <c r="BI20" s="504">
        <f>Габариты!DG43</f>
        <v>0</v>
      </c>
      <c r="BJ20" s="504">
        <f>Габариты!DI43</f>
        <v>0</v>
      </c>
      <c r="BK20" s="504">
        <f>Габариты!DJ43</f>
        <v>0</v>
      </c>
      <c r="BL20" s="504">
        <f>Габариты!DL43</f>
        <v>0</v>
      </c>
      <c r="BM20" s="504">
        <f>Габариты!DM43</f>
        <v>0</v>
      </c>
      <c r="BN20" s="82"/>
      <c r="BO20" s="482" t="s">
        <v>92</v>
      </c>
      <c r="BP20" s="507">
        <f>Габариты!CK70</f>
        <v>0</v>
      </c>
      <c r="BQ20" s="507">
        <f>Габариты!CL70</f>
        <v>0</v>
      </c>
      <c r="BR20" s="507">
        <f>Габариты!CN70</f>
        <v>0</v>
      </c>
      <c r="BS20" s="507">
        <f>Габариты!CO70</f>
        <v>0</v>
      </c>
      <c r="BT20" s="507">
        <f>Габариты!CQ70</f>
        <v>0</v>
      </c>
      <c r="BU20" s="507">
        <f>Габариты!CR70</f>
        <v>0</v>
      </c>
      <c r="BV20" s="507">
        <f>Габариты!CT70</f>
        <v>0</v>
      </c>
      <c r="BW20" s="507">
        <f>Габариты!CU70</f>
        <v>0</v>
      </c>
      <c r="BX20" s="507">
        <f>Габариты!CW70</f>
        <v>0</v>
      </c>
      <c r="BY20" s="507">
        <f>Габариты!CX70</f>
        <v>0</v>
      </c>
      <c r="BZ20" s="507">
        <f>Габариты!CZ70</f>
        <v>0</v>
      </c>
      <c r="CA20" s="507">
        <f>Габариты!DA70</f>
        <v>0</v>
      </c>
      <c r="CB20" s="507">
        <f>Габариты!DC70</f>
        <v>0</v>
      </c>
      <c r="CC20" s="507">
        <f>Габариты!DD70</f>
        <v>0</v>
      </c>
      <c r="CD20" s="507">
        <f>Габариты!DF70</f>
        <v>0</v>
      </c>
      <c r="CE20" s="507">
        <f>Габариты!DG70</f>
        <v>0</v>
      </c>
      <c r="CF20" s="507">
        <f>Габариты!DI70</f>
        <v>0</v>
      </c>
      <c r="CG20" s="507">
        <f>Габариты!DJ70</f>
        <v>0</v>
      </c>
      <c r="CH20" s="507">
        <f>Габариты!DL70</f>
        <v>0</v>
      </c>
      <c r="CI20" s="507">
        <f>Габариты!DM70</f>
        <v>0</v>
      </c>
      <c r="CK20" s="979" t="str">
        <f>_xlfn.IFNA(VLOOKUP(Бланк!E20,'Замена SE на LS'!$C:$E,3,FALSE),"")</f>
        <v/>
      </c>
      <c r="CZ20"/>
    </row>
    <row r="21" spans="1:104" ht="18" x14ac:dyDescent="0.25">
      <c r="A21" s="434">
        <v>9</v>
      </c>
      <c r="B21" s="924" t="str">
        <f>_xlfn.IFNA(IF(VLOOKUP(Бланк!B21,'Замена SE на LS'!$A$2:$B$70,2,FALSE)=0,"замена не найдена",VLOOKUP(Бланк!B21,'Замена SE на LS'!$A$2:$B$70,2,FALSE)),"")</f>
        <v/>
      </c>
      <c r="C21" s="923" t="str">
        <f>IF(ISBLANK(Бланк!C21),"",Бланк!C21)</f>
        <v/>
      </c>
      <c r="D21" s="923" t="str">
        <f>IF(ISBLANK(Бланк!D21),"",Бланк!D21)</f>
        <v/>
      </c>
      <c r="E21" s="923" t="str">
        <f>_xlfn.IFNA(IF(VLOOKUP(Бланк!E21,'Замена SE на LS'!$C:$D,2,FALSE)=0,"замена не найдена",VLOOKUP(Бланк!E21,'Замена SE на LS'!$C:$D,2,FALSE)),"")</f>
        <v/>
      </c>
      <c r="F21" s="923" t="str">
        <f>IF(ISBLANK(Бланк!F21),"",Бланк!F21)</f>
        <v/>
      </c>
      <c r="G21" s="923" t="str">
        <f>IF(ISBLANK(Бланк!G21),"",Бланк!G21)</f>
        <v/>
      </c>
      <c r="H21" s="923" t="str">
        <f>IF(ISBLANK(Бланк!H21),"",Бланк!H21)</f>
        <v/>
      </c>
      <c r="I21" s="923" t="str">
        <f>IF(ISBLANK(Бланк!I21),"",Бланк!I21)</f>
        <v/>
      </c>
      <c r="J21" s="923" t="str">
        <f>IF(ISBLANK(Бланк!J21),"",Бланк!J21)</f>
        <v/>
      </c>
      <c r="K21" s="923" t="str">
        <f>IF(ISBLANK(Бланк!K21),"",Бланк!K21)</f>
        <v/>
      </c>
      <c r="L21" s="923" t="str">
        <f>IF(ISBLANK(Бланк!L21),"",Бланк!L21)</f>
        <v/>
      </c>
      <c r="M21" s="923" t="str">
        <f>IF(ISBLANK(Бланк!M21),"",Бланк!M21)</f>
        <v/>
      </c>
      <c r="N21" s="923" t="str">
        <f>IF(ISBLANK(Бланк!N21),"",Бланк!N21)</f>
        <v/>
      </c>
      <c r="O21" s="925" t="str">
        <f>IF(ISBLANK(Бланк!O21),"",Бланк!O21)</f>
        <v/>
      </c>
      <c r="P21" s="489"/>
      <c r="Q21" s="504" t="str">
        <f>IF($R21="","",IF(D!EQ12=0,"Тип кабеля не найден","Тип кабеля найден"))</f>
        <v/>
      </c>
      <c r="R21" s="504" t="str">
        <f>IF(D!$ES12&gt;0,D!$ES12,"")</f>
        <v/>
      </c>
      <c r="S21" s="504">
        <f>IF(ISERR(FIND("пофазно",$C21)),0,D!BS93+D!BV93)</f>
        <v>0</v>
      </c>
      <c r="T21" s="504">
        <f>IF(ISERR(FIND("пофазно",$C21)),0,D!BT93+D!BW93)</f>
        <v>0</v>
      </c>
      <c r="U21" s="504">
        <f>IF(ISERR(FIND("пофазно",$C21)),0,D!BU93+D!BX93)</f>
        <v>0</v>
      </c>
      <c r="V21" s="475"/>
      <c r="W21" s="482" t="s">
        <v>93</v>
      </c>
      <c r="X21" s="504">
        <f>Габариты!CK15</f>
        <v>0</v>
      </c>
      <c r="Y21" s="504">
        <f>Габариты!CL15</f>
        <v>0</v>
      </c>
      <c r="Z21" s="504">
        <f>Габариты!CN15</f>
        <v>0</v>
      </c>
      <c r="AA21" s="504">
        <f>Габариты!CO15</f>
        <v>0</v>
      </c>
      <c r="AB21" s="504">
        <f>Габариты!CQ15</f>
        <v>0</v>
      </c>
      <c r="AC21" s="504">
        <f>Габариты!CR15</f>
        <v>0</v>
      </c>
      <c r="AD21" s="504">
        <f>Габариты!CT15</f>
        <v>0</v>
      </c>
      <c r="AE21" s="504">
        <f>Габариты!CU15</f>
        <v>0</v>
      </c>
      <c r="AF21" s="504">
        <f>Габариты!CW15</f>
        <v>0</v>
      </c>
      <c r="AG21" s="504">
        <f>Габариты!CX15</f>
        <v>0</v>
      </c>
      <c r="AH21" s="504">
        <f>Габариты!CZ15</f>
        <v>0</v>
      </c>
      <c r="AI21" s="504">
        <f>Габариты!DA15</f>
        <v>0</v>
      </c>
      <c r="AJ21" s="504">
        <f>Габариты!DC15</f>
        <v>0</v>
      </c>
      <c r="AK21" s="504">
        <f>Габариты!DD15</f>
        <v>0</v>
      </c>
      <c r="AL21" s="504">
        <f>Габариты!DF15</f>
        <v>0</v>
      </c>
      <c r="AM21" s="504">
        <f>Габариты!DG15</f>
        <v>0</v>
      </c>
      <c r="AN21" s="504">
        <f>Габариты!DI15</f>
        <v>0</v>
      </c>
      <c r="AO21" s="504">
        <f>Габариты!DJ15</f>
        <v>0</v>
      </c>
      <c r="AP21" s="504">
        <f>Габариты!DL15</f>
        <v>0</v>
      </c>
      <c r="AQ21" s="504">
        <f>Габариты!DM15</f>
        <v>0</v>
      </c>
      <c r="AR21" s="82"/>
      <c r="AS21" s="482" t="s">
        <v>93</v>
      </c>
      <c r="AT21" s="504">
        <f>Габариты!CK44</f>
        <v>0</v>
      </c>
      <c r="AU21" s="504">
        <f>Габариты!CL44</f>
        <v>0</v>
      </c>
      <c r="AV21" s="504">
        <f>Габариты!CN44</f>
        <v>0</v>
      </c>
      <c r="AW21" s="504">
        <f>Габариты!CO44</f>
        <v>0</v>
      </c>
      <c r="AX21" s="504">
        <f>Габариты!CQ44</f>
        <v>0</v>
      </c>
      <c r="AY21" s="504">
        <f>Габариты!CR44</f>
        <v>0</v>
      </c>
      <c r="AZ21" s="504">
        <f>Габариты!CT44</f>
        <v>0</v>
      </c>
      <c r="BA21" s="504">
        <f>Габариты!CU44</f>
        <v>0</v>
      </c>
      <c r="BB21" s="504">
        <f>Габариты!CW44</f>
        <v>0</v>
      </c>
      <c r="BC21" s="504">
        <f>Габариты!CX44</f>
        <v>0</v>
      </c>
      <c r="BD21" s="504">
        <f>Габариты!CZ44</f>
        <v>0</v>
      </c>
      <c r="BE21" s="504">
        <f>Габариты!DA44</f>
        <v>0</v>
      </c>
      <c r="BF21" s="504">
        <f>Габариты!DC44</f>
        <v>0</v>
      </c>
      <c r="BG21" s="504">
        <f>Габариты!DD44</f>
        <v>0</v>
      </c>
      <c r="BH21" s="504">
        <f>Габариты!DF44</f>
        <v>0</v>
      </c>
      <c r="BI21" s="504">
        <f>Габариты!DG44</f>
        <v>0</v>
      </c>
      <c r="BJ21" s="504">
        <f>Габариты!DI44</f>
        <v>0</v>
      </c>
      <c r="BK21" s="504">
        <f>Габариты!DJ44</f>
        <v>0</v>
      </c>
      <c r="BL21" s="504">
        <f>Габариты!DL44</f>
        <v>0</v>
      </c>
      <c r="BM21" s="504">
        <f>Габариты!DM44</f>
        <v>0</v>
      </c>
      <c r="BN21" s="82"/>
      <c r="BO21" s="482" t="s">
        <v>93</v>
      </c>
      <c r="BP21" s="507">
        <f>Габариты!CK71</f>
        <v>0</v>
      </c>
      <c r="BQ21" s="507">
        <f>Габариты!CL71</f>
        <v>0</v>
      </c>
      <c r="BR21" s="507">
        <f>Габариты!CN71</f>
        <v>0</v>
      </c>
      <c r="BS21" s="507">
        <f>Габариты!CO71</f>
        <v>0</v>
      </c>
      <c r="BT21" s="507">
        <f>Габариты!CQ71</f>
        <v>0</v>
      </c>
      <c r="BU21" s="507">
        <f>Габариты!CR71</f>
        <v>0</v>
      </c>
      <c r="BV21" s="507">
        <f>Габариты!CT71</f>
        <v>0</v>
      </c>
      <c r="BW21" s="507">
        <f>Габариты!CU71</f>
        <v>0</v>
      </c>
      <c r="BX21" s="507">
        <f>Габариты!CW71</f>
        <v>0</v>
      </c>
      <c r="BY21" s="507">
        <f>Габариты!CX71</f>
        <v>0</v>
      </c>
      <c r="BZ21" s="507">
        <f>Габариты!CZ71</f>
        <v>0</v>
      </c>
      <c r="CA21" s="507">
        <f>Габариты!DA71</f>
        <v>0</v>
      </c>
      <c r="CB21" s="507">
        <f>Габариты!DC71</f>
        <v>0</v>
      </c>
      <c r="CC21" s="507">
        <f>Габариты!DD71</f>
        <v>0</v>
      </c>
      <c r="CD21" s="507">
        <f>Габариты!DF71</f>
        <v>0</v>
      </c>
      <c r="CE21" s="507">
        <f>Габариты!DG71</f>
        <v>0</v>
      </c>
      <c r="CF21" s="507">
        <f>Габариты!DI71</f>
        <v>0</v>
      </c>
      <c r="CG21" s="507">
        <f>Габариты!DJ71</f>
        <v>0</v>
      </c>
      <c r="CH21" s="507">
        <f>Габариты!DL71</f>
        <v>0</v>
      </c>
      <c r="CI21" s="507">
        <f>Габариты!DM71</f>
        <v>0</v>
      </c>
      <c r="CK21" s="979" t="str">
        <f>_xlfn.IFNA(VLOOKUP(Бланк!E21,'Замена SE на LS'!$C:$E,3,FALSE),"")</f>
        <v/>
      </c>
      <c r="CZ21"/>
    </row>
    <row r="22" spans="1:104" ht="18" x14ac:dyDescent="0.25">
      <c r="A22" s="434">
        <v>10</v>
      </c>
      <c r="B22" s="924" t="str">
        <f>_xlfn.IFNA(IF(VLOOKUP(Бланк!B22,'Замена SE на LS'!$A$2:$B$70,2,FALSE)=0,"замена не найдена",VLOOKUP(Бланк!B22,'Замена SE на LS'!$A$2:$B$70,2,FALSE)),"")</f>
        <v/>
      </c>
      <c r="C22" s="923" t="str">
        <f>IF(ISBLANK(Бланк!C22),"",Бланк!C22)</f>
        <v/>
      </c>
      <c r="D22" s="923" t="str">
        <f>IF(ISBLANK(Бланк!D22),"",Бланк!D22)</f>
        <v/>
      </c>
      <c r="E22" s="923" t="str">
        <f>_xlfn.IFNA(IF(VLOOKUP(Бланк!E22,'Замена SE на LS'!$C:$D,2,FALSE)=0,"замена не найдена",VLOOKUP(Бланк!E22,'Замена SE на LS'!$C:$D,2,FALSE)),"")</f>
        <v/>
      </c>
      <c r="F22" s="923" t="str">
        <f>IF(ISBLANK(Бланк!F22),"",Бланк!F22)</f>
        <v/>
      </c>
      <c r="G22" s="923" t="str">
        <f>IF(ISBLANK(Бланк!G22),"",Бланк!G22)</f>
        <v/>
      </c>
      <c r="H22" s="923" t="str">
        <f>IF(ISBLANK(Бланк!H22),"",Бланк!H22)</f>
        <v/>
      </c>
      <c r="I22" s="923" t="str">
        <f>IF(ISBLANK(Бланк!I22),"",Бланк!I22)</f>
        <v/>
      </c>
      <c r="J22" s="923" t="str">
        <f>IF(ISBLANK(Бланк!J22),"",Бланк!J22)</f>
        <v/>
      </c>
      <c r="K22" s="923" t="str">
        <f>IF(ISBLANK(Бланк!K22),"",Бланк!K22)</f>
        <v/>
      </c>
      <c r="L22" s="923" t="str">
        <f>IF(ISBLANK(Бланк!L22),"",Бланк!L22)</f>
        <v/>
      </c>
      <c r="M22" s="923" t="str">
        <f>IF(ISBLANK(Бланк!M22),"",Бланк!M22)</f>
        <v/>
      </c>
      <c r="N22" s="923" t="str">
        <f>IF(ISBLANK(Бланк!N22),"",Бланк!N22)</f>
        <v/>
      </c>
      <c r="O22" s="925" t="str">
        <f>IF(ISBLANK(Бланк!O22),"",Бланк!O22)</f>
        <v/>
      </c>
      <c r="P22" s="489"/>
      <c r="Q22" s="504" t="str">
        <f>IF($R22="","",IF(D!EQ13=0,"Тип кабеля не найден","Тип кабеля найден"))</f>
        <v/>
      </c>
      <c r="R22" s="504" t="str">
        <f>IF(D!$ES13&gt;0,D!$ES13,"")</f>
        <v/>
      </c>
      <c r="S22" s="504">
        <f>IF(ISERR(FIND("пофазно",$C22)),0,D!BS94+D!BV94)</f>
        <v>0</v>
      </c>
      <c r="T22" s="504">
        <f>IF(ISERR(FIND("пофазно",$C22)),0,D!BT94+D!BW94)</f>
        <v>0</v>
      </c>
      <c r="U22" s="504">
        <f>IF(ISERR(FIND("пофазно",$C22)),0,D!BU94+D!BX94)</f>
        <v>0</v>
      </c>
      <c r="V22" s="475"/>
      <c r="W22" s="482" t="s">
        <v>94</v>
      </c>
      <c r="X22" s="504">
        <f>Габариты!CK16</f>
        <v>0</v>
      </c>
      <c r="Y22" s="504">
        <f>Габариты!CL16</f>
        <v>0</v>
      </c>
      <c r="Z22" s="504">
        <f>Габариты!CN16</f>
        <v>0</v>
      </c>
      <c r="AA22" s="504">
        <f>Габариты!CO16</f>
        <v>0</v>
      </c>
      <c r="AB22" s="504">
        <f>Габариты!CQ16</f>
        <v>0</v>
      </c>
      <c r="AC22" s="504">
        <f>Габариты!CR16</f>
        <v>0</v>
      </c>
      <c r="AD22" s="504">
        <f>Габариты!CT16</f>
        <v>0</v>
      </c>
      <c r="AE22" s="504">
        <f>Габариты!CU16</f>
        <v>0</v>
      </c>
      <c r="AF22" s="504">
        <f>Габариты!CW16</f>
        <v>0</v>
      </c>
      <c r="AG22" s="504">
        <f>Габариты!CX16</f>
        <v>0</v>
      </c>
      <c r="AH22" s="504">
        <f>Габариты!CZ16</f>
        <v>0</v>
      </c>
      <c r="AI22" s="504">
        <f>Габариты!DA16</f>
        <v>0</v>
      </c>
      <c r="AJ22" s="504">
        <f>Габариты!DC16</f>
        <v>0</v>
      </c>
      <c r="AK22" s="504">
        <f>Габариты!DD16</f>
        <v>0</v>
      </c>
      <c r="AL22" s="504">
        <f>Габариты!DF16</f>
        <v>0</v>
      </c>
      <c r="AM22" s="504">
        <f>Габариты!DG16</f>
        <v>0</v>
      </c>
      <c r="AN22" s="504">
        <f>Габариты!DI16</f>
        <v>0</v>
      </c>
      <c r="AO22" s="504">
        <f>Габариты!DJ16</f>
        <v>0</v>
      </c>
      <c r="AP22" s="504">
        <f>Габариты!DL16</f>
        <v>0</v>
      </c>
      <c r="AQ22" s="504">
        <f>Габариты!DM16</f>
        <v>0</v>
      </c>
      <c r="AR22" s="82"/>
      <c r="AS22" s="482" t="s">
        <v>94</v>
      </c>
      <c r="AT22" s="504">
        <f>Габариты!CK45</f>
        <v>0</v>
      </c>
      <c r="AU22" s="504">
        <f>Габариты!CL45</f>
        <v>0</v>
      </c>
      <c r="AV22" s="504">
        <f>Габариты!CN45</f>
        <v>0</v>
      </c>
      <c r="AW22" s="504">
        <f>Габариты!CO45</f>
        <v>0</v>
      </c>
      <c r="AX22" s="504">
        <f>Габариты!CQ45</f>
        <v>0</v>
      </c>
      <c r="AY22" s="504">
        <f>Габариты!CR45</f>
        <v>0</v>
      </c>
      <c r="AZ22" s="504">
        <f>Габариты!CT45</f>
        <v>0</v>
      </c>
      <c r="BA22" s="504">
        <f>Габариты!CU45</f>
        <v>0</v>
      </c>
      <c r="BB22" s="504">
        <f>Габариты!CW45</f>
        <v>0</v>
      </c>
      <c r="BC22" s="504">
        <f>Габариты!CX45</f>
        <v>0</v>
      </c>
      <c r="BD22" s="504">
        <f>Габариты!CZ45</f>
        <v>0</v>
      </c>
      <c r="BE22" s="504">
        <f>Габариты!DA45</f>
        <v>0</v>
      </c>
      <c r="BF22" s="504">
        <f>Габариты!DC45</f>
        <v>0</v>
      </c>
      <c r="BG22" s="504">
        <f>Габариты!DD45</f>
        <v>0</v>
      </c>
      <c r="BH22" s="504">
        <f>Габариты!DF45</f>
        <v>0</v>
      </c>
      <c r="BI22" s="504">
        <f>Габариты!DG45</f>
        <v>0</v>
      </c>
      <c r="BJ22" s="504">
        <f>Габариты!DI45</f>
        <v>0</v>
      </c>
      <c r="BK22" s="504">
        <f>Габариты!DJ45</f>
        <v>0</v>
      </c>
      <c r="BL22" s="504">
        <f>Габариты!DL45</f>
        <v>0</v>
      </c>
      <c r="BM22" s="504">
        <f>Габариты!DM45</f>
        <v>0</v>
      </c>
      <c r="BN22" s="82"/>
      <c r="BO22" s="482" t="s">
        <v>94</v>
      </c>
      <c r="BP22" s="507">
        <f>Габариты!CK72</f>
        <v>0</v>
      </c>
      <c r="BQ22" s="507">
        <f>Габариты!CL72</f>
        <v>0</v>
      </c>
      <c r="BR22" s="507">
        <f>Габариты!CN72</f>
        <v>0</v>
      </c>
      <c r="BS22" s="507">
        <f>Габариты!CO72</f>
        <v>0</v>
      </c>
      <c r="BT22" s="507">
        <f>Габариты!CQ72</f>
        <v>0</v>
      </c>
      <c r="BU22" s="507">
        <f>Габариты!CR72</f>
        <v>0</v>
      </c>
      <c r="BV22" s="507">
        <f>Габариты!CT72</f>
        <v>0</v>
      </c>
      <c r="BW22" s="507">
        <f>Габариты!CU72</f>
        <v>0</v>
      </c>
      <c r="BX22" s="507">
        <f>Габариты!CW72</f>
        <v>0</v>
      </c>
      <c r="BY22" s="507">
        <f>Габариты!CX72</f>
        <v>0</v>
      </c>
      <c r="BZ22" s="507">
        <f>Габариты!CZ72</f>
        <v>0</v>
      </c>
      <c r="CA22" s="507">
        <f>Габариты!DA72</f>
        <v>0</v>
      </c>
      <c r="CB22" s="507">
        <f>Габариты!DC72</f>
        <v>0</v>
      </c>
      <c r="CC22" s="507">
        <f>Габариты!DD72</f>
        <v>0</v>
      </c>
      <c r="CD22" s="507">
        <f>Габариты!DF72</f>
        <v>0</v>
      </c>
      <c r="CE22" s="507">
        <f>Габариты!DG72</f>
        <v>0</v>
      </c>
      <c r="CF22" s="507">
        <f>Габариты!DI72</f>
        <v>0</v>
      </c>
      <c r="CG22" s="507">
        <f>Габариты!DJ72</f>
        <v>0</v>
      </c>
      <c r="CH22" s="507">
        <f>Габариты!DL72</f>
        <v>0</v>
      </c>
      <c r="CI22" s="507">
        <f>Габариты!DM72</f>
        <v>0</v>
      </c>
      <c r="CK22" s="979" t="str">
        <f>_xlfn.IFNA(VLOOKUP(Бланк!E22,'Замена SE на LS'!$C:$E,3,FALSE),"")</f>
        <v/>
      </c>
      <c r="CZ22"/>
    </row>
    <row r="23" spans="1:104" ht="18" x14ac:dyDescent="0.25">
      <c r="A23" s="434">
        <v>11</v>
      </c>
      <c r="B23" s="924" t="str">
        <f>_xlfn.IFNA(IF(VLOOKUP(Бланк!B23,'Замена SE на LS'!$A$2:$B$70,2,FALSE)=0,"замена не найдена",VLOOKUP(Бланк!B23,'Замена SE на LS'!$A$2:$B$70,2,FALSE)),"")</f>
        <v/>
      </c>
      <c r="C23" s="923" t="str">
        <f>IF(ISBLANK(Бланк!C23),"",Бланк!C23)</f>
        <v/>
      </c>
      <c r="D23" s="923" t="str">
        <f>IF(ISBLANK(Бланк!D23),"",Бланк!D23)</f>
        <v/>
      </c>
      <c r="E23" s="923" t="str">
        <f>_xlfn.IFNA(IF(VLOOKUP(Бланк!E23,'Замена SE на LS'!$C:$D,2,FALSE)=0,"замена не найдена",VLOOKUP(Бланк!E23,'Замена SE на LS'!$C:$D,2,FALSE)),"")</f>
        <v/>
      </c>
      <c r="F23" s="923" t="str">
        <f>IF(ISBLANK(Бланк!F23),"",Бланк!F23)</f>
        <v/>
      </c>
      <c r="G23" s="923" t="str">
        <f>IF(ISBLANK(Бланк!G23),"",Бланк!G23)</f>
        <v/>
      </c>
      <c r="H23" s="923" t="str">
        <f>IF(ISBLANK(Бланк!H23),"",Бланк!H23)</f>
        <v/>
      </c>
      <c r="I23" s="923" t="str">
        <f>IF(ISBLANK(Бланк!I23),"",Бланк!I23)</f>
        <v/>
      </c>
      <c r="J23" s="923" t="str">
        <f>IF(ISBLANK(Бланк!J23),"",Бланк!J23)</f>
        <v/>
      </c>
      <c r="K23" s="923" t="str">
        <f>IF(ISBLANK(Бланк!K23),"",Бланк!K23)</f>
        <v/>
      </c>
      <c r="L23" s="923" t="str">
        <f>IF(ISBLANK(Бланк!L23),"",Бланк!L23)</f>
        <v/>
      </c>
      <c r="M23" s="923" t="str">
        <f>IF(ISBLANK(Бланк!M23),"",Бланк!M23)</f>
        <v/>
      </c>
      <c r="N23" s="923" t="str">
        <f>IF(ISBLANK(Бланк!N23),"",Бланк!N23)</f>
        <v/>
      </c>
      <c r="O23" s="925" t="str">
        <f>IF(ISBLANK(Бланк!O23),"",Бланк!O23)</f>
        <v/>
      </c>
      <c r="P23" s="489"/>
      <c r="Q23" s="504" t="str">
        <f>IF($R23="","",IF(D!EQ14=0,"Тип кабеля не найден","Тип кабеля найден"))</f>
        <v/>
      </c>
      <c r="R23" s="504" t="str">
        <f>IF(D!$ES14&gt;0,D!$ES14,"")</f>
        <v/>
      </c>
      <c r="S23" s="504">
        <f>IF(ISERR(FIND("пофазно",$C23)),0,D!BS95+D!BV95)</f>
        <v>0</v>
      </c>
      <c r="T23" s="504">
        <f>IF(ISERR(FIND("пофазно",$C23)),0,D!BT95+D!BW95)</f>
        <v>0</v>
      </c>
      <c r="U23" s="504">
        <f>IF(ISERR(FIND("пофазно",$C23)),0,D!BU95+D!BX95)</f>
        <v>0</v>
      </c>
      <c r="V23" s="475"/>
      <c r="W23" s="482" t="s">
        <v>162</v>
      </c>
      <c r="X23" s="504">
        <f>Габариты!CK17</f>
        <v>0</v>
      </c>
      <c r="Y23" s="504">
        <f>Габариты!CL17</f>
        <v>0</v>
      </c>
      <c r="Z23" s="504">
        <f>Габариты!CN17</f>
        <v>0</v>
      </c>
      <c r="AA23" s="504">
        <f>Габариты!CO17</f>
        <v>0</v>
      </c>
      <c r="AB23" s="504">
        <f>Габариты!CQ17</f>
        <v>0</v>
      </c>
      <c r="AC23" s="504">
        <f>Габариты!CR17</f>
        <v>0</v>
      </c>
      <c r="AD23" s="504">
        <f>Габариты!CT17</f>
        <v>0</v>
      </c>
      <c r="AE23" s="504">
        <f>Габариты!CU17</f>
        <v>0</v>
      </c>
      <c r="AF23" s="504">
        <f>Габариты!CW17</f>
        <v>0</v>
      </c>
      <c r="AG23" s="504">
        <f>Габариты!CX17</f>
        <v>0</v>
      </c>
      <c r="AH23" s="504">
        <f>Габариты!CZ17</f>
        <v>0</v>
      </c>
      <c r="AI23" s="504">
        <f>Габариты!DA17</f>
        <v>0</v>
      </c>
      <c r="AJ23" s="504">
        <f>Габариты!DC17</f>
        <v>0</v>
      </c>
      <c r="AK23" s="504">
        <f>Габариты!DD17</f>
        <v>0</v>
      </c>
      <c r="AL23" s="504">
        <f>Габариты!DF17</f>
        <v>0</v>
      </c>
      <c r="AM23" s="504">
        <f>Габариты!DG17</f>
        <v>0</v>
      </c>
      <c r="AN23" s="504">
        <f>Габариты!DI17</f>
        <v>0</v>
      </c>
      <c r="AO23" s="504">
        <f>Габариты!DJ17</f>
        <v>0</v>
      </c>
      <c r="AP23" s="504">
        <f>Габариты!DL17</f>
        <v>0</v>
      </c>
      <c r="AQ23" s="504">
        <f>Габариты!DM17</f>
        <v>0</v>
      </c>
      <c r="AR23" s="82"/>
      <c r="AS23" s="482" t="s">
        <v>162</v>
      </c>
      <c r="AT23" s="504">
        <f>Габариты!CK46</f>
        <v>0</v>
      </c>
      <c r="AU23" s="504">
        <f>Габариты!CL46</f>
        <v>0</v>
      </c>
      <c r="AV23" s="504">
        <f>Габариты!CN46</f>
        <v>0</v>
      </c>
      <c r="AW23" s="504">
        <f>Габариты!CO46</f>
        <v>0</v>
      </c>
      <c r="AX23" s="504">
        <f>Габариты!CQ46</f>
        <v>0</v>
      </c>
      <c r="AY23" s="504">
        <f>Габариты!CR46</f>
        <v>0</v>
      </c>
      <c r="AZ23" s="504">
        <f>Габариты!CT46</f>
        <v>0</v>
      </c>
      <c r="BA23" s="504">
        <f>Габариты!CU46</f>
        <v>0</v>
      </c>
      <c r="BB23" s="504">
        <f>Габариты!CW46</f>
        <v>0</v>
      </c>
      <c r="BC23" s="504">
        <f>Габариты!CX46</f>
        <v>0</v>
      </c>
      <c r="BD23" s="504">
        <f>Габариты!CZ46</f>
        <v>0</v>
      </c>
      <c r="BE23" s="504">
        <f>Габариты!DA46</f>
        <v>0</v>
      </c>
      <c r="BF23" s="504">
        <f>Габариты!DC46</f>
        <v>0</v>
      </c>
      <c r="BG23" s="504">
        <f>Габариты!DD46</f>
        <v>0</v>
      </c>
      <c r="BH23" s="504">
        <f>Габариты!DF46</f>
        <v>0</v>
      </c>
      <c r="BI23" s="504">
        <f>Габариты!DG46</f>
        <v>0</v>
      </c>
      <c r="BJ23" s="504">
        <f>Габариты!DI46</f>
        <v>0</v>
      </c>
      <c r="BK23" s="504">
        <f>Габариты!DJ46</f>
        <v>0</v>
      </c>
      <c r="BL23" s="504">
        <f>Габариты!DL46</f>
        <v>0</v>
      </c>
      <c r="BM23" s="504">
        <f>Габариты!DM46</f>
        <v>0</v>
      </c>
      <c r="BN23" s="82"/>
      <c r="BO23" s="482" t="s">
        <v>162</v>
      </c>
      <c r="BP23" s="507">
        <f>Габариты!CK73</f>
        <v>0</v>
      </c>
      <c r="BQ23" s="507">
        <f>Габариты!CL73</f>
        <v>0</v>
      </c>
      <c r="BR23" s="507">
        <f>Габариты!CN73</f>
        <v>0</v>
      </c>
      <c r="BS23" s="507">
        <f>Габариты!CO73</f>
        <v>0</v>
      </c>
      <c r="BT23" s="507">
        <f>Габариты!CQ73</f>
        <v>0</v>
      </c>
      <c r="BU23" s="507">
        <f>Габариты!CR73</f>
        <v>0</v>
      </c>
      <c r="BV23" s="507">
        <f>Габариты!CT73</f>
        <v>0</v>
      </c>
      <c r="BW23" s="507">
        <f>Габариты!CU73</f>
        <v>0</v>
      </c>
      <c r="BX23" s="507">
        <f>Габариты!CW73</f>
        <v>0</v>
      </c>
      <c r="BY23" s="507">
        <f>Габариты!CX73</f>
        <v>0</v>
      </c>
      <c r="BZ23" s="507">
        <f>Габариты!CZ73</f>
        <v>0</v>
      </c>
      <c r="CA23" s="507">
        <f>Габариты!DA73</f>
        <v>0</v>
      </c>
      <c r="CB23" s="507">
        <f>Габариты!DC73</f>
        <v>0</v>
      </c>
      <c r="CC23" s="507">
        <f>Габариты!DD73</f>
        <v>0</v>
      </c>
      <c r="CD23" s="507">
        <f>Габариты!DF73</f>
        <v>0</v>
      </c>
      <c r="CE23" s="507">
        <f>Габариты!DG73</f>
        <v>0</v>
      </c>
      <c r="CF23" s="507">
        <f>Габариты!DI73</f>
        <v>0</v>
      </c>
      <c r="CG23" s="507">
        <f>Габариты!DJ73</f>
        <v>0</v>
      </c>
      <c r="CH23" s="507">
        <f>Габариты!DL73</f>
        <v>0</v>
      </c>
      <c r="CI23" s="507">
        <f>Габариты!DM73</f>
        <v>0</v>
      </c>
      <c r="CK23" s="979" t="str">
        <f>_xlfn.IFNA(VLOOKUP(Бланк!E23,'Замена SE на LS'!$C:$E,3,FALSE),"")</f>
        <v/>
      </c>
      <c r="CZ23"/>
    </row>
    <row r="24" spans="1:104" ht="18" x14ac:dyDescent="0.25">
      <c r="A24" s="434">
        <v>12</v>
      </c>
      <c r="B24" s="924" t="str">
        <f>_xlfn.IFNA(IF(VLOOKUP(Бланк!B24,'Замена SE на LS'!$A$2:$B$70,2,FALSE)=0,"замена не найдена",VLOOKUP(Бланк!B24,'Замена SE на LS'!$A$2:$B$70,2,FALSE)),"")</f>
        <v/>
      </c>
      <c r="C24" s="923" t="str">
        <f>IF(ISBLANK(Бланк!C24),"",Бланк!C24)</f>
        <v/>
      </c>
      <c r="D24" s="923" t="str">
        <f>IF(ISBLANK(Бланк!D24),"",Бланк!D24)</f>
        <v/>
      </c>
      <c r="E24" s="923" t="str">
        <f>_xlfn.IFNA(IF(VLOOKUP(Бланк!E24,'Замена SE на LS'!$C:$D,2,FALSE)=0,"замена не найдена",VLOOKUP(Бланк!E24,'Замена SE на LS'!$C:$D,2,FALSE)),"")</f>
        <v/>
      </c>
      <c r="F24" s="923" t="str">
        <f>IF(ISBLANK(Бланк!F24),"",Бланк!F24)</f>
        <v/>
      </c>
      <c r="G24" s="923" t="str">
        <f>IF(ISBLANK(Бланк!G24),"",Бланк!G24)</f>
        <v/>
      </c>
      <c r="H24" s="923" t="str">
        <f>IF(ISBLANK(Бланк!H24),"",Бланк!H24)</f>
        <v/>
      </c>
      <c r="I24" s="923" t="str">
        <f>IF(ISBLANK(Бланк!I24),"",Бланк!I24)</f>
        <v/>
      </c>
      <c r="J24" s="923" t="str">
        <f>IF(ISBLANK(Бланк!J24),"",Бланк!J24)</f>
        <v/>
      </c>
      <c r="K24" s="923" t="str">
        <f>IF(ISBLANK(Бланк!K24),"",Бланк!K24)</f>
        <v/>
      </c>
      <c r="L24" s="923" t="str">
        <f>IF(ISBLANK(Бланк!L24),"",Бланк!L24)</f>
        <v/>
      </c>
      <c r="M24" s="923" t="str">
        <f>IF(ISBLANK(Бланк!M24),"",Бланк!M24)</f>
        <v/>
      </c>
      <c r="N24" s="923" t="str">
        <f>IF(ISBLANK(Бланк!N24),"",Бланк!N24)</f>
        <v/>
      </c>
      <c r="O24" s="925" t="str">
        <f>IF(ISBLANK(Бланк!O24),"",Бланк!O24)</f>
        <v/>
      </c>
      <c r="P24" s="489"/>
      <c r="Q24" s="504" t="str">
        <f>IF($R24="","",IF(D!EQ15=0,"Тип кабеля не найден","Тип кабеля найден"))</f>
        <v/>
      </c>
      <c r="R24" s="504" t="str">
        <f>IF(D!$ES15&gt;0,D!$ES15,"")</f>
        <v/>
      </c>
      <c r="S24" s="504">
        <f>IF(ISERR(FIND("пофазно",$C24)),0,D!BS96+D!BV96)</f>
        <v>0</v>
      </c>
      <c r="T24" s="504">
        <f>IF(ISERR(FIND("пофазно",$C24)),0,D!BT96+D!BW96)</f>
        <v>0</v>
      </c>
      <c r="U24" s="504">
        <f>IF(ISERR(FIND("пофазно",$C24)),0,D!BU96+D!BX96)</f>
        <v>0</v>
      </c>
      <c r="V24" s="475"/>
      <c r="W24" s="482" t="s">
        <v>163</v>
      </c>
      <c r="X24" s="504">
        <f>Габариты!CK18</f>
        <v>0</v>
      </c>
      <c r="Y24" s="504">
        <f>Габариты!CL18</f>
        <v>0</v>
      </c>
      <c r="Z24" s="504">
        <f>Габариты!CN18</f>
        <v>0</v>
      </c>
      <c r="AA24" s="504">
        <f>Габариты!CO18</f>
        <v>0</v>
      </c>
      <c r="AB24" s="504">
        <f>Габариты!CQ18</f>
        <v>0</v>
      </c>
      <c r="AC24" s="504">
        <f>Габариты!CR18</f>
        <v>0</v>
      </c>
      <c r="AD24" s="504">
        <f>Габариты!CT18</f>
        <v>0</v>
      </c>
      <c r="AE24" s="504">
        <f>Габариты!CU18</f>
        <v>0</v>
      </c>
      <c r="AF24" s="504">
        <f>Габариты!CW18</f>
        <v>0</v>
      </c>
      <c r="AG24" s="504">
        <f>Габариты!CX18</f>
        <v>0</v>
      </c>
      <c r="AH24" s="504">
        <f>Габариты!CZ18</f>
        <v>0</v>
      </c>
      <c r="AI24" s="504">
        <f>Габариты!DA18</f>
        <v>0</v>
      </c>
      <c r="AJ24" s="504">
        <f>Габариты!DC18</f>
        <v>0</v>
      </c>
      <c r="AK24" s="504">
        <f>Габариты!DD18</f>
        <v>0</v>
      </c>
      <c r="AL24" s="504">
        <f>Габариты!DF18</f>
        <v>0</v>
      </c>
      <c r="AM24" s="504">
        <f>Габариты!DG18</f>
        <v>0</v>
      </c>
      <c r="AN24" s="504">
        <f>Габариты!DI18</f>
        <v>0</v>
      </c>
      <c r="AO24" s="504">
        <f>Габариты!DJ18</f>
        <v>0</v>
      </c>
      <c r="AP24" s="504">
        <f>Габариты!DL18</f>
        <v>0</v>
      </c>
      <c r="AQ24" s="504">
        <f>Габариты!DM18</f>
        <v>0</v>
      </c>
      <c r="AR24" s="82"/>
      <c r="AS24" s="482" t="s">
        <v>163</v>
      </c>
      <c r="AT24" s="504">
        <f>Габариты!CK47</f>
        <v>0</v>
      </c>
      <c r="AU24" s="504">
        <f>Габариты!CL47</f>
        <v>0</v>
      </c>
      <c r="AV24" s="504">
        <f>Габариты!CN47</f>
        <v>0</v>
      </c>
      <c r="AW24" s="504">
        <f>Габариты!CO47</f>
        <v>0</v>
      </c>
      <c r="AX24" s="504">
        <f>Габариты!CQ47</f>
        <v>0</v>
      </c>
      <c r="AY24" s="504">
        <f>Габариты!CR47</f>
        <v>0</v>
      </c>
      <c r="AZ24" s="504">
        <f>Габариты!CT47</f>
        <v>0</v>
      </c>
      <c r="BA24" s="504">
        <f>Габариты!CU47</f>
        <v>0</v>
      </c>
      <c r="BB24" s="504">
        <f>Габариты!CW47</f>
        <v>0</v>
      </c>
      <c r="BC24" s="504">
        <f>Габариты!CX47</f>
        <v>0</v>
      </c>
      <c r="BD24" s="504">
        <f>Габариты!CZ47</f>
        <v>0</v>
      </c>
      <c r="BE24" s="504">
        <f>Габариты!DA47</f>
        <v>0</v>
      </c>
      <c r="BF24" s="504">
        <f>Габариты!DC47</f>
        <v>0</v>
      </c>
      <c r="BG24" s="504">
        <f>Габариты!DD47</f>
        <v>0</v>
      </c>
      <c r="BH24" s="504">
        <f>Габариты!DF47</f>
        <v>0</v>
      </c>
      <c r="BI24" s="504">
        <f>Габариты!DG47</f>
        <v>0</v>
      </c>
      <c r="BJ24" s="504">
        <f>Габариты!DI47</f>
        <v>0</v>
      </c>
      <c r="BK24" s="504">
        <f>Габариты!DJ47</f>
        <v>0</v>
      </c>
      <c r="BL24" s="504">
        <f>Габариты!DL47</f>
        <v>0</v>
      </c>
      <c r="BM24" s="504">
        <f>Габариты!DM47</f>
        <v>0</v>
      </c>
      <c r="BN24" s="82"/>
      <c r="BO24" s="482" t="s">
        <v>163</v>
      </c>
      <c r="BP24" s="507">
        <f>Габариты!CK74</f>
        <v>0</v>
      </c>
      <c r="BQ24" s="507">
        <f>Габариты!CL74</f>
        <v>0</v>
      </c>
      <c r="BR24" s="507">
        <f>Габариты!CN74</f>
        <v>0</v>
      </c>
      <c r="BS24" s="507">
        <f>Габариты!CO74</f>
        <v>0</v>
      </c>
      <c r="BT24" s="507">
        <f>Габариты!CQ74</f>
        <v>0</v>
      </c>
      <c r="BU24" s="507">
        <f>Габариты!CR74</f>
        <v>0</v>
      </c>
      <c r="BV24" s="507">
        <f>Габариты!CT74</f>
        <v>0</v>
      </c>
      <c r="BW24" s="507">
        <f>Габариты!CU74</f>
        <v>0</v>
      </c>
      <c r="BX24" s="507">
        <f>Габариты!CW74</f>
        <v>0</v>
      </c>
      <c r="BY24" s="507">
        <f>Габариты!CX74</f>
        <v>0</v>
      </c>
      <c r="BZ24" s="507">
        <f>Габариты!CZ74</f>
        <v>0</v>
      </c>
      <c r="CA24" s="507">
        <f>Габариты!DA74</f>
        <v>0</v>
      </c>
      <c r="CB24" s="507">
        <f>Габариты!DC74</f>
        <v>0</v>
      </c>
      <c r="CC24" s="507">
        <f>Габариты!DD74</f>
        <v>0</v>
      </c>
      <c r="CD24" s="507">
        <f>Габариты!DF74</f>
        <v>0</v>
      </c>
      <c r="CE24" s="507">
        <f>Габариты!DG74</f>
        <v>0</v>
      </c>
      <c r="CF24" s="507">
        <f>Габариты!DI74</f>
        <v>0</v>
      </c>
      <c r="CG24" s="507">
        <f>Габариты!DJ74</f>
        <v>0</v>
      </c>
      <c r="CH24" s="507">
        <f>Габариты!DL74</f>
        <v>0</v>
      </c>
      <c r="CI24" s="507">
        <f>Габариты!DM74</f>
        <v>0</v>
      </c>
      <c r="CK24" s="979" t="str">
        <f>_xlfn.IFNA(VLOOKUP(Бланк!E24,'Замена SE на LS'!$C:$E,3,FALSE),"")</f>
        <v/>
      </c>
      <c r="CZ24"/>
    </row>
    <row r="25" spans="1:104" ht="18" x14ac:dyDescent="0.25">
      <c r="A25" s="434">
        <v>13</v>
      </c>
      <c r="B25" s="924" t="str">
        <f>_xlfn.IFNA(IF(VLOOKUP(Бланк!B25,'Замена SE на LS'!$A$2:$B$70,2,FALSE)=0,"замена не найдена",VLOOKUP(Бланк!B25,'Замена SE на LS'!$A$2:$B$70,2,FALSE)),"")</f>
        <v/>
      </c>
      <c r="C25" s="923" t="str">
        <f>IF(ISBLANK(Бланк!C25),"",Бланк!C25)</f>
        <v/>
      </c>
      <c r="D25" s="923" t="str">
        <f>IF(ISBLANK(Бланк!D25),"",Бланк!D25)</f>
        <v/>
      </c>
      <c r="E25" s="923" t="str">
        <f>_xlfn.IFNA(IF(VLOOKUP(Бланк!E25,'Замена SE на LS'!$C:$D,2,FALSE)=0,"замена не найдена",VLOOKUP(Бланк!E25,'Замена SE на LS'!$C:$D,2,FALSE)),"")</f>
        <v/>
      </c>
      <c r="F25" s="923" t="str">
        <f>IF(ISBLANK(Бланк!F25),"",Бланк!F25)</f>
        <v/>
      </c>
      <c r="G25" s="923" t="str">
        <f>IF(ISBLANK(Бланк!G25),"",Бланк!G25)</f>
        <v/>
      </c>
      <c r="H25" s="923" t="str">
        <f>IF(ISBLANK(Бланк!H25),"",Бланк!H25)</f>
        <v/>
      </c>
      <c r="I25" s="923" t="str">
        <f>IF(ISBLANK(Бланк!I25),"",Бланк!I25)</f>
        <v/>
      </c>
      <c r="J25" s="923" t="str">
        <f>IF(ISBLANK(Бланк!J25),"",Бланк!J25)</f>
        <v/>
      </c>
      <c r="K25" s="923" t="str">
        <f>IF(ISBLANK(Бланк!K25),"",Бланк!K25)</f>
        <v/>
      </c>
      <c r="L25" s="923" t="str">
        <f>IF(ISBLANK(Бланк!L25),"",Бланк!L25)</f>
        <v/>
      </c>
      <c r="M25" s="923" t="str">
        <f>IF(ISBLANK(Бланк!M25),"",Бланк!M25)</f>
        <v/>
      </c>
      <c r="N25" s="923" t="str">
        <f>IF(ISBLANK(Бланк!N25),"",Бланк!N25)</f>
        <v/>
      </c>
      <c r="O25" s="925" t="str">
        <f>IF(ISBLANK(Бланк!O25),"",Бланк!O25)</f>
        <v/>
      </c>
      <c r="P25" s="489"/>
      <c r="Q25" s="504" t="str">
        <f>IF($R25="","",IF(D!EQ16=0,"Тип кабеля не найден","Тип кабеля найден"))</f>
        <v/>
      </c>
      <c r="R25" s="504" t="str">
        <f>IF(D!$ES16&gt;0,D!$ES16,"")</f>
        <v/>
      </c>
      <c r="S25" s="504">
        <f>IF(ISERR(FIND("пофазно",$C25)),0,D!BS97+D!BV97)</f>
        <v>0</v>
      </c>
      <c r="T25" s="504">
        <f>IF(ISERR(FIND("пофазно",$C25)),0,D!BT97+D!BW97)</f>
        <v>0</v>
      </c>
      <c r="U25" s="504">
        <f>IF(ISERR(FIND("пофазно",$C25)),0,D!BU97+D!BX97)</f>
        <v>0</v>
      </c>
      <c r="V25" s="475"/>
      <c r="W25" s="482" t="s">
        <v>164</v>
      </c>
      <c r="X25" s="504">
        <f>Габариты!CK19</f>
        <v>0</v>
      </c>
      <c r="Y25" s="504">
        <f>Габариты!CL19</f>
        <v>0</v>
      </c>
      <c r="Z25" s="504">
        <f>Габариты!CN19</f>
        <v>0</v>
      </c>
      <c r="AA25" s="504">
        <f>Габариты!CO19</f>
        <v>0</v>
      </c>
      <c r="AB25" s="504">
        <f>Габариты!CQ19</f>
        <v>0</v>
      </c>
      <c r="AC25" s="504">
        <f>Габариты!CR19</f>
        <v>0</v>
      </c>
      <c r="AD25" s="504">
        <f>Габариты!CT19</f>
        <v>0</v>
      </c>
      <c r="AE25" s="504">
        <f>Габариты!CU19</f>
        <v>0</v>
      </c>
      <c r="AF25" s="504">
        <f>Габариты!CW19</f>
        <v>0</v>
      </c>
      <c r="AG25" s="504">
        <f>Габариты!CX19</f>
        <v>0</v>
      </c>
      <c r="AH25" s="504">
        <f>Габариты!CZ19</f>
        <v>0</v>
      </c>
      <c r="AI25" s="504">
        <f>Габариты!DA19</f>
        <v>0</v>
      </c>
      <c r="AJ25" s="504">
        <f>Габариты!DC19</f>
        <v>0</v>
      </c>
      <c r="AK25" s="504">
        <f>Габариты!DD19</f>
        <v>0</v>
      </c>
      <c r="AL25" s="504">
        <f>Габариты!DF19</f>
        <v>0</v>
      </c>
      <c r="AM25" s="504">
        <f>Габариты!DG19</f>
        <v>0</v>
      </c>
      <c r="AN25" s="504">
        <f>Габариты!DI19</f>
        <v>0</v>
      </c>
      <c r="AO25" s="504">
        <f>Габариты!DJ19</f>
        <v>0</v>
      </c>
      <c r="AP25" s="504">
        <f>Габариты!DL19</f>
        <v>0</v>
      </c>
      <c r="AQ25" s="504">
        <f>Габариты!DM19</f>
        <v>0</v>
      </c>
      <c r="AR25" s="82"/>
      <c r="AS25" s="482" t="s">
        <v>164</v>
      </c>
      <c r="AT25" s="504">
        <f>Габариты!CK48</f>
        <v>0</v>
      </c>
      <c r="AU25" s="504">
        <f>Габариты!CL48</f>
        <v>0</v>
      </c>
      <c r="AV25" s="504">
        <f>Габариты!CN48</f>
        <v>0</v>
      </c>
      <c r="AW25" s="504">
        <f>Габариты!CO48</f>
        <v>0</v>
      </c>
      <c r="AX25" s="504">
        <f>Габариты!CQ48</f>
        <v>0</v>
      </c>
      <c r="AY25" s="504">
        <f>Габариты!CR48</f>
        <v>0</v>
      </c>
      <c r="AZ25" s="504">
        <f>Габариты!CT48</f>
        <v>0</v>
      </c>
      <c r="BA25" s="504">
        <f>Габариты!CU48</f>
        <v>0</v>
      </c>
      <c r="BB25" s="504">
        <f>Габариты!CW48</f>
        <v>0</v>
      </c>
      <c r="BC25" s="504">
        <f>Габариты!CX48</f>
        <v>0</v>
      </c>
      <c r="BD25" s="504">
        <f>Габариты!CZ48</f>
        <v>0</v>
      </c>
      <c r="BE25" s="504">
        <f>Габариты!DA48</f>
        <v>0</v>
      </c>
      <c r="BF25" s="504">
        <f>Габариты!DC48</f>
        <v>0</v>
      </c>
      <c r="BG25" s="504">
        <f>Габариты!DD48</f>
        <v>0</v>
      </c>
      <c r="BH25" s="504">
        <f>Габариты!DF48</f>
        <v>0</v>
      </c>
      <c r="BI25" s="504">
        <f>Габариты!DG48</f>
        <v>0</v>
      </c>
      <c r="BJ25" s="504">
        <f>Габариты!DI48</f>
        <v>0</v>
      </c>
      <c r="BK25" s="504">
        <f>Габариты!DJ48</f>
        <v>0</v>
      </c>
      <c r="BL25" s="504">
        <f>Габариты!DL48</f>
        <v>0</v>
      </c>
      <c r="BM25" s="504">
        <f>Габариты!DM48</f>
        <v>0</v>
      </c>
      <c r="BN25" s="82"/>
      <c r="BO25" s="482" t="s">
        <v>164</v>
      </c>
      <c r="BP25" s="507">
        <f>Габариты!CK75</f>
        <v>0</v>
      </c>
      <c r="BQ25" s="507">
        <f>Габариты!CL75</f>
        <v>0</v>
      </c>
      <c r="BR25" s="507">
        <f>Габариты!CN75</f>
        <v>0</v>
      </c>
      <c r="BS25" s="507">
        <f>Габариты!CO75</f>
        <v>0</v>
      </c>
      <c r="BT25" s="507">
        <f>Габариты!CQ75</f>
        <v>0</v>
      </c>
      <c r="BU25" s="507">
        <f>Габариты!CR75</f>
        <v>0</v>
      </c>
      <c r="BV25" s="507">
        <f>Габариты!CT75</f>
        <v>0</v>
      </c>
      <c r="BW25" s="507">
        <f>Габариты!CU75</f>
        <v>0</v>
      </c>
      <c r="BX25" s="507">
        <f>Габариты!CW75</f>
        <v>0</v>
      </c>
      <c r="BY25" s="507">
        <f>Габариты!CX75</f>
        <v>0</v>
      </c>
      <c r="BZ25" s="507">
        <f>Габариты!CZ75</f>
        <v>0</v>
      </c>
      <c r="CA25" s="507">
        <f>Габариты!DA75</f>
        <v>0</v>
      </c>
      <c r="CB25" s="507">
        <f>Габариты!DC75</f>
        <v>0</v>
      </c>
      <c r="CC25" s="507">
        <f>Габариты!DD75</f>
        <v>0</v>
      </c>
      <c r="CD25" s="507">
        <f>Габариты!DF75</f>
        <v>0</v>
      </c>
      <c r="CE25" s="507">
        <f>Габариты!DG75</f>
        <v>0</v>
      </c>
      <c r="CF25" s="507">
        <f>Габариты!DI75</f>
        <v>0</v>
      </c>
      <c r="CG25" s="507">
        <f>Габариты!DJ75</f>
        <v>0</v>
      </c>
      <c r="CH25" s="507">
        <f>Габариты!DL75</f>
        <v>0</v>
      </c>
      <c r="CI25" s="507">
        <f>Габариты!DM75</f>
        <v>0</v>
      </c>
      <c r="CK25" s="979" t="str">
        <f>_xlfn.IFNA(VLOOKUP(Бланк!E25,'Замена SE на LS'!$C:$E,3,FALSE),"")</f>
        <v/>
      </c>
      <c r="CZ25"/>
    </row>
    <row r="26" spans="1:104" ht="18" x14ac:dyDescent="0.25">
      <c r="A26" s="434">
        <v>14</v>
      </c>
      <c r="B26" s="924" t="str">
        <f>_xlfn.IFNA(IF(VLOOKUP(Бланк!B26,'Замена SE на LS'!$A$2:$B$70,2,FALSE)=0,"замена не найдена",VLOOKUP(Бланк!B26,'Замена SE на LS'!$A$2:$B$70,2,FALSE)),"")</f>
        <v/>
      </c>
      <c r="C26" s="923" t="str">
        <f>IF(ISBLANK(Бланк!C26),"",Бланк!C26)</f>
        <v/>
      </c>
      <c r="D26" s="923" t="str">
        <f>IF(ISBLANK(Бланк!D26),"",Бланк!D26)</f>
        <v/>
      </c>
      <c r="E26" s="923" t="str">
        <f>_xlfn.IFNA(IF(VLOOKUP(Бланк!E26,'Замена SE на LS'!$C:$D,2,FALSE)=0,"замена не найдена",VLOOKUP(Бланк!E26,'Замена SE на LS'!$C:$D,2,FALSE)),"")</f>
        <v/>
      </c>
      <c r="F26" s="923" t="str">
        <f>IF(ISBLANK(Бланк!F26),"",Бланк!F26)</f>
        <v/>
      </c>
      <c r="G26" s="923" t="str">
        <f>IF(ISBLANK(Бланк!G26),"",Бланк!G26)</f>
        <v/>
      </c>
      <c r="H26" s="923" t="str">
        <f>IF(ISBLANK(Бланк!H26),"",Бланк!H26)</f>
        <v/>
      </c>
      <c r="I26" s="923" t="str">
        <f>IF(ISBLANK(Бланк!I26),"",Бланк!I26)</f>
        <v/>
      </c>
      <c r="J26" s="923" t="str">
        <f>IF(ISBLANK(Бланк!J26),"",Бланк!J26)</f>
        <v/>
      </c>
      <c r="K26" s="923" t="str">
        <f>IF(ISBLANK(Бланк!K26),"",Бланк!K26)</f>
        <v/>
      </c>
      <c r="L26" s="923" t="str">
        <f>IF(ISBLANK(Бланк!L26),"",Бланк!L26)</f>
        <v/>
      </c>
      <c r="M26" s="923" t="str">
        <f>IF(ISBLANK(Бланк!M26),"",Бланк!M26)</f>
        <v/>
      </c>
      <c r="N26" s="923" t="str">
        <f>IF(ISBLANK(Бланк!N26),"",Бланк!N26)</f>
        <v/>
      </c>
      <c r="O26" s="925" t="str">
        <f>IF(ISBLANK(Бланк!O26),"",Бланк!O26)</f>
        <v/>
      </c>
      <c r="P26" s="489"/>
      <c r="Q26" s="504" t="str">
        <f>IF($R26="","",IF(D!EQ17=0,"Тип кабеля не найден","Тип кабеля найден"))</f>
        <v/>
      </c>
      <c r="R26" s="504" t="str">
        <f>IF(D!$ES17&gt;0,D!$ES17,"")</f>
        <v/>
      </c>
      <c r="S26" s="504">
        <f>IF(ISERR(FIND("пофазно",$C26)),0,D!BS98+D!BV98)</f>
        <v>0</v>
      </c>
      <c r="T26" s="504">
        <f>IF(ISERR(FIND("пофазно",$C26)),0,D!BT98+D!BW98)</f>
        <v>0</v>
      </c>
      <c r="U26" s="504">
        <f>IF(ISERR(FIND("пофазно",$C26)),0,D!BU98+D!BX98)</f>
        <v>0</v>
      </c>
      <c r="V26" s="475"/>
      <c r="W26" s="482" t="s">
        <v>165</v>
      </c>
      <c r="X26" s="504">
        <f>Габариты!CK20</f>
        <v>0</v>
      </c>
      <c r="Y26" s="504">
        <f>Габариты!CL20</f>
        <v>0</v>
      </c>
      <c r="Z26" s="504">
        <f>Габариты!CN20</f>
        <v>0</v>
      </c>
      <c r="AA26" s="504">
        <f>Габариты!CO20</f>
        <v>0</v>
      </c>
      <c r="AB26" s="504">
        <f>Габариты!CQ20</f>
        <v>0</v>
      </c>
      <c r="AC26" s="504">
        <f>Габариты!CR20</f>
        <v>0</v>
      </c>
      <c r="AD26" s="504">
        <f>Габариты!CT20</f>
        <v>0</v>
      </c>
      <c r="AE26" s="504">
        <f>Габариты!CU20</f>
        <v>0</v>
      </c>
      <c r="AF26" s="504">
        <f>Габариты!CW20</f>
        <v>0</v>
      </c>
      <c r="AG26" s="504">
        <f>Габариты!CX20</f>
        <v>0</v>
      </c>
      <c r="AH26" s="504">
        <f>Габариты!CZ20</f>
        <v>0</v>
      </c>
      <c r="AI26" s="504">
        <f>Габариты!DA20</f>
        <v>0</v>
      </c>
      <c r="AJ26" s="504">
        <f>Габариты!DC20</f>
        <v>0</v>
      </c>
      <c r="AK26" s="504">
        <f>Габариты!DD20</f>
        <v>0</v>
      </c>
      <c r="AL26" s="504">
        <f>Габариты!DF20</f>
        <v>0</v>
      </c>
      <c r="AM26" s="504">
        <f>Габариты!DG20</f>
        <v>0</v>
      </c>
      <c r="AN26" s="504">
        <f>Габариты!DI20</f>
        <v>0</v>
      </c>
      <c r="AO26" s="504">
        <f>Габариты!DJ20</f>
        <v>0</v>
      </c>
      <c r="AP26" s="504">
        <f>Габариты!DL20</f>
        <v>0</v>
      </c>
      <c r="AQ26" s="504">
        <f>Габариты!DM20</f>
        <v>0</v>
      </c>
      <c r="AR26" s="82"/>
      <c r="AS26" s="482" t="s">
        <v>165</v>
      </c>
      <c r="AT26" s="504">
        <f>Габариты!CK49</f>
        <v>0</v>
      </c>
      <c r="AU26" s="504">
        <f>Габариты!CL49</f>
        <v>0</v>
      </c>
      <c r="AV26" s="504">
        <f>Габариты!CN49</f>
        <v>0</v>
      </c>
      <c r="AW26" s="504">
        <f>Габариты!CO49</f>
        <v>0</v>
      </c>
      <c r="AX26" s="504">
        <f>Габариты!CQ49</f>
        <v>0</v>
      </c>
      <c r="AY26" s="504">
        <f>Габариты!CR49</f>
        <v>0</v>
      </c>
      <c r="AZ26" s="504">
        <f>Габариты!CT49</f>
        <v>0</v>
      </c>
      <c r="BA26" s="504">
        <f>Габариты!CU49</f>
        <v>0</v>
      </c>
      <c r="BB26" s="504">
        <f>Габариты!CW49</f>
        <v>0</v>
      </c>
      <c r="BC26" s="504">
        <f>Габариты!CX49</f>
        <v>0</v>
      </c>
      <c r="BD26" s="504">
        <f>Габариты!CZ49</f>
        <v>0</v>
      </c>
      <c r="BE26" s="504">
        <f>Габариты!DA49</f>
        <v>0</v>
      </c>
      <c r="BF26" s="504">
        <f>Габариты!DC49</f>
        <v>0</v>
      </c>
      <c r="BG26" s="504">
        <f>Габариты!DD49</f>
        <v>0</v>
      </c>
      <c r="BH26" s="504">
        <f>Габариты!DF49</f>
        <v>0</v>
      </c>
      <c r="BI26" s="504">
        <f>Габариты!DG49</f>
        <v>0</v>
      </c>
      <c r="BJ26" s="504">
        <f>Габариты!DI49</f>
        <v>0</v>
      </c>
      <c r="BK26" s="504">
        <f>Габариты!DJ49</f>
        <v>0</v>
      </c>
      <c r="BL26" s="504">
        <f>Габариты!DL49</f>
        <v>0</v>
      </c>
      <c r="BM26" s="504">
        <f>Габариты!DM49</f>
        <v>0</v>
      </c>
      <c r="BN26" s="82"/>
      <c r="BO26" s="482" t="s">
        <v>165</v>
      </c>
      <c r="BP26" s="507">
        <f>Габариты!CK76</f>
        <v>0</v>
      </c>
      <c r="BQ26" s="507">
        <f>Габариты!CL76</f>
        <v>0</v>
      </c>
      <c r="BR26" s="507">
        <f>Габариты!CN76</f>
        <v>0</v>
      </c>
      <c r="BS26" s="507">
        <f>Габариты!CO76</f>
        <v>0</v>
      </c>
      <c r="BT26" s="507">
        <f>Габариты!CQ76</f>
        <v>0</v>
      </c>
      <c r="BU26" s="507">
        <f>Габариты!CR76</f>
        <v>0</v>
      </c>
      <c r="BV26" s="507">
        <f>Габариты!CT76</f>
        <v>0</v>
      </c>
      <c r="BW26" s="507">
        <f>Габариты!CU76</f>
        <v>0</v>
      </c>
      <c r="BX26" s="507">
        <f>Габариты!CW76</f>
        <v>0</v>
      </c>
      <c r="BY26" s="507">
        <f>Габариты!CX76</f>
        <v>0</v>
      </c>
      <c r="BZ26" s="507">
        <f>Габариты!CZ76</f>
        <v>0</v>
      </c>
      <c r="CA26" s="507">
        <f>Габариты!DA76</f>
        <v>0</v>
      </c>
      <c r="CB26" s="507">
        <f>Габариты!DC76</f>
        <v>0</v>
      </c>
      <c r="CC26" s="507">
        <f>Габариты!DD76</f>
        <v>0</v>
      </c>
      <c r="CD26" s="507">
        <f>Габариты!DF76</f>
        <v>0</v>
      </c>
      <c r="CE26" s="507">
        <f>Габариты!DG76</f>
        <v>0</v>
      </c>
      <c r="CF26" s="507">
        <f>Габариты!DI76</f>
        <v>0</v>
      </c>
      <c r="CG26" s="507">
        <f>Габариты!DJ76</f>
        <v>0</v>
      </c>
      <c r="CH26" s="507">
        <f>Габариты!DL76</f>
        <v>0</v>
      </c>
      <c r="CI26" s="507">
        <f>Габариты!DM76</f>
        <v>0</v>
      </c>
      <c r="CK26" s="979" t="str">
        <f>_xlfn.IFNA(VLOOKUP(Бланк!E26,'Замена SE на LS'!$C:$E,3,FALSE),"")</f>
        <v/>
      </c>
      <c r="CZ26"/>
    </row>
    <row r="27" spans="1:104" ht="18" x14ac:dyDescent="0.25">
      <c r="A27" s="434">
        <v>15</v>
      </c>
      <c r="B27" s="924" t="str">
        <f>_xlfn.IFNA(IF(VLOOKUP(Бланк!B27,'Замена SE на LS'!$A$2:$B$70,2,FALSE)=0,"замена не найдена",VLOOKUP(Бланк!B27,'Замена SE на LS'!$A$2:$B$70,2,FALSE)),"")</f>
        <v/>
      </c>
      <c r="C27" s="923" t="str">
        <f>IF(ISBLANK(Бланк!C27),"",Бланк!C27)</f>
        <v/>
      </c>
      <c r="D27" s="923" t="str">
        <f>IF(ISBLANK(Бланк!D27),"",Бланк!D27)</f>
        <v/>
      </c>
      <c r="E27" s="923" t="str">
        <f>_xlfn.IFNA(IF(VLOOKUP(Бланк!E27,'Замена SE на LS'!$C:$D,2,FALSE)=0,"замена не найдена",VLOOKUP(Бланк!E27,'Замена SE на LS'!$C:$D,2,FALSE)),"")</f>
        <v/>
      </c>
      <c r="F27" s="923" t="str">
        <f>IF(ISBLANK(Бланк!F27),"",Бланк!F27)</f>
        <v/>
      </c>
      <c r="G27" s="923" t="str">
        <f>IF(ISBLANK(Бланк!G27),"",Бланк!G27)</f>
        <v/>
      </c>
      <c r="H27" s="923" t="str">
        <f>IF(ISBLANK(Бланк!H27),"",Бланк!H27)</f>
        <v/>
      </c>
      <c r="I27" s="923" t="str">
        <f>IF(ISBLANK(Бланк!I27),"",Бланк!I27)</f>
        <v/>
      </c>
      <c r="J27" s="923" t="str">
        <f>IF(ISBLANK(Бланк!J27),"",Бланк!J27)</f>
        <v/>
      </c>
      <c r="K27" s="923" t="str">
        <f>IF(ISBLANK(Бланк!K27),"",Бланк!K27)</f>
        <v/>
      </c>
      <c r="L27" s="923" t="str">
        <f>IF(ISBLANK(Бланк!L27),"",Бланк!L27)</f>
        <v/>
      </c>
      <c r="M27" s="923" t="str">
        <f>IF(ISBLANK(Бланк!M27),"",Бланк!M27)</f>
        <v/>
      </c>
      <c r="N27" s="923" t="str">
        <f>IF(ISBLANK(Бланк!N27),"",Бланк!N27)</f>
        <v/>
      </c>
      <c r="O27" s="925" t="str">
        <f>IF(ISBLANK(Бланк!O27),"",Бланк!O27)</f>
        <v/>
      </c>
      <c r="P27" s="489"/>
      <c r="Q27" s="504" t="str">
        <f>IF($R27="","",IF(D!EQ18=0,"Тип кабеля не найден","Тип кабеля найден"))</f>
        <v/>
      </c>
      <c r="R27" s="504" t="str">
        <f>IF(D!$ES18&gt;0,D!$ES18,"")</f>
        <v/>
      </c>
      <c r="S27" s="504">
        <f>IF(ISERR(FIND("пофазно",$C27)),0,D!BS99+D!BV99)</f>
        <v>0</v>
      </c>
      <c r="T27" s="504">
        <f>IF(ISERR(FIND("пофазно",$C27)),0,D!BT99+D!BW99)</f>
        <v>0</v>
      </c>
      <c r="U27" s="504">
        <f>IF(ISERR(FIND("пофазно",$C27)),0,D!BU99+D!BX99)</f>
        <v>0</v>
      </c>
      <c r="V27" s="475"/>
      <c r="W27" s="1033" t="s">
        <v>166</v>
      </c>
      <c r="X27" s="504">
        <f>Габариты!CK21</f>
        <v>0</v>
      </c>
      <c r="Y27" s="504">
        <f>Габариты!CL21</f>
        <v>0</v>
      </c>
      <c r="Z27" s="504">
        <f>Габариты!CN21</f>
        <v>0</v>
      </c>
      <c r="AA27" s="504">
        <f>Габариты!CO21</f>
        <v>0</v>
      </c>
      <c r="AB27" s="504">
        <f>Габариты!CQ21</f>
        <v>0</v>
      </c>
      <c r="AC27" s="504">
        <f>Габариты!CR21</f>
        <v>0</v>
      </c>
      <c r="AD27" s="504">
        <f>Габариты!CT21</f>
        <v>0</v>
      </c>
      <c r="AE27" s="504">
        <f>Габариты!CU21</f>
        <v>0</v>
      </c>
      <c r="AF27" s="504">
        <f>Габариты!CW21</f>
        <v>0</v>
      </c>
      <c r="AG27" s="504">
        <f>Габариты!CX21</f>
        <v>0</v>
      </c>
      <c r="AH27" s="504">
        <f>Габариты!CZ21</f>
        <v>0</v>
      </c>
      <c r="AI27" s="504">
        <f>Габариты!DA21</f>
        <v>0</v>
      </c>
      <c r="AJ27" s="504">
        <f>Габариты!DC21</f>
        <v>0</v>
      </c>
      <c r="AK27" s="504">
        <f>Габариты!DD21</f>
        <v>0</v>
      </c>
      <c r="AL27" s="504">
        <f>Габариты!DF21</f>
        <v>0</v>
      </c>
      <c r="AM27" s="504">
        <f>Габариты!DG21</f>
        <v>0</v>
      </c>
      <c r="AN27" s="504">
        <f>Габариты!DI21</f>
        <v>0</v>
      </c>
      <c r="AO27" s="504">
        <f>Габариты!DJ21</f>
        <v>0</v>
      </c>
      <c r="AP27" s="504">
        <f>Габариты!DL21</f>
        <v>0</v>
      </c>
      <c r="AQ27" s="504">
        <f>Габариты!DM21</f>
        <v>0</v>
      </c>
      <c r="AR27" s="82"/>
      <c r="AS27" s="1033" t="s">
        <v>166</v>
      </c>
      <c r="AT27" s="504">
        <f>Габариты!CK50</f>
        <v>0</v>
      </c>
      <c r="AU27" s="504">
        <f>Габариты!CL50</f>
        <v>0</v>
      </c>
      <c r="AV27" s="504">
        <f>Габариты!CN50</f>
        <v>0</v>
      </c>
      <c r="AW27" s="504">
        <f>Габариты!CO50</f>
        <v>0</v>
      </c>
      <c r="AX27" s="504">
        <f>Габариты!CQ50</f>
        <v>0</v>
      </c>
      <c r="AY27" s="504">
        <f>Габариты!CR50</f>
        <v>0</v>
      </c>
      <c r="AZ27" s="504">
        <f>Габариты!CT50</f>
        <v>0</v>
      </c>
      <c r="BA27" s="504">
        <f>Габариты!CU50</f>
        <v>0</v>
      </c>
      <c r="BB27" s="504">
        <f>Габариты!CW50</f>
        <v>0</v>
      </c>
      <c r="BC27" s="504">
        <f>Габариты!CX50</f>
        <v>0</v>
      </c>
      <c r="BD27" s="504">
        <f>Габариты!CZ50</f>
        <v>0</v>
      </c>
      <c r="BE27" s="504">
        <f>Габариты!DA50</f>
        <v>0</v>
      </c>
      <c r="BF27" s="504">
        <f>Габариты!DC50</f>
        <v>0</v>
      </c>
      <c r="BG27" s="504">
        <f>Габариты!DD50</f>
        <v>0</v>
      </c>
      <c r="BH27" s="504">
        <f>Габариты!DF50</f>
        <v>0</v>
      </c>
      <c r="BI27" s="504">
        <f>Габариты!DG50</f>
        <v>0</v>
      </c>
      <c r="BJ27" s="504">
        <f>Габариты!DI50</f>
        <v>0</v>
      </c>
      <c r="BK27" s="504">
        <f>Габариты!DJ50</f>
        <v>0</v>
      </c>
      <c r="BL27" s="504">
        <f>Габариты!DL50</f>
        <v>0</v>
      </c>
      <c r="BM27" s="504">
        <f>Габариты!DM50</f>
        <v>0</v>
      </c>
      <c r="BN27" s="82"/>
      <c r="BO27" s="1033" t="s">
        <v>166</v>
      </c>
      <c r="BP27" s="507">
        <f>Габариты!CK77</f>
        <v>0</v>
      </c>
      <c r="BQ27" s="507">
        <f>Габариты!CL77</f>
        <v>0</v>
      </c>
      <c r="BR27" s="507">
        <f>Габариты!CN77</f>
        <v>0</v>
      </c>
      <c r="BS27" s="507">
        <f>Габариты!CO77</f>
        <v>0</v>
      </c>
      <c r="BT27" s="507">
        <f>Габариты!CQ77</f>
        <v>0</v>
      </c>
      <c r="BU27" s="507">
        <f>Габариты!CR77</f>
        <v>0</v>
      </c>
      <c r="BV27" s="507">
        <f>Габариты!CT77</f>
        <v>0</v>
      </c>
      <c r="BW27" s="507">
        <f>Габариты!CU77</f>
        <v>0</v>
      </c>
      <c r="BX27" s="507">
        <f>Габариты!CW77</f>
        <v>0</v>
      </c>
      <c r="BY27" s="507">
        <f>Габариты!CX77</f>
        <v>0</v>
      </c>
      <c r="BZ27" s="507">
        <f>Габариты!CZ77</f>
        <v>0</v>
      </c>
      <c r="CA27" s="507">
        <f>Габариты!DA77</f>
        <v>0</v>
      </c>
      <c r="CB27" s="507">
        <f>Габариты!DC77</f>
        <v>0</v>
      </c>
      <c r="CC27" s="507">
        <f>Габариты!DD77</f>
        <v>0</v>
      </c>
      <c r="CD27" s="507">
        <f>Габариты!DF77</f>
        <v>0</v>
      </c>
      <c r="CE27" s="507">
        <f>Габариты!DG77</f>
        <v>0</v>
      </c>
      <c r="CF27" s="507">
        <f>Габариты!DI77</f>
        <v>0</v>
      </c>
      <c r="CG27" s="507">
        <f>Габариты!DJ77</f>
        <v>0</v>
      </c>
      <c r="CH27" s="507">
        <f>Габариты!DL77</f>
        <v>0</v>
      </c>
      <c r="CI27" s="507">
        <f>Габариты!DM77</f>
        <v>0</v>
      </c>
      <c r="CK27" s="979" t="str">
        <f>_xlfn.IFNA(VLOOKUP(Бланк!E27,'Замена SE на LS'!$C:$E,3,FALSE),"")</f>
        <v/>
      </c>
      <c r="CZ27"/>
    </row>
    <row r="28" spans="1:104" ht="18" x14ac:dyDescent="0.25">
      <c r="A28" s="434">
        <v>16</v>
      </c>
      <c r="B28" s="924" t="str">
        <f>_xlfn.IFNA(IF(VLOOKUP(Бланк!B28,'Замена SE на LS'!$A$2:$B$70,2,FALSE)=0,"замена не найдена",VLOOKUP(Бланк!B28,'Замена SE на LS'!$A$2:$B$70,2,FALSE)),"")</f>
        <v/>
      </c>
      <c r="C28" s="923" t="str">
        <f>IF(ISBLANK(Бланк!C28),"",Бланк!C28)</f>
        <v/>
      </c>
      <c r="D28" s="923" t="str">
        <f>IF(ISBLANK(Бланк!D28),"",Бланк!D28)</f>
        <v/>
      </c>
      <c r="E28" s="923" t="str">
        <f>_xlfn.IFNA(IF(VLOOKUP(Бланк!E28,'Замена SE на LS'!$C:$D,2,FALSE)=0,"замена не найдена",VLOOKUP(Бланк!E28,'Замена SE на LS'!$C:$D,2,FALSE)),"")</f>
        <v/>
      </c>
      <c r="F28" s="923" t="str">
        <f>IF(ISBLANK(Бланк!F28),"",Бланк!F28)</f>
        <v/>
      </c>
      <c r="G28" s="923" t="str">
        <f>IF(ISBLANK(Бланк!G28),"",Бланк!G28)</f>
        <v/>
      </c>
      <c r="H28" s="923" t="str">
        <f>IF(ISBLANK(Бланк!H28),"",Бланк!H28)</f>
        <v/>
      </c>
      <c r="I28" s="923" t="str">
        <f>IF(ISBLANK(Бланк!I28),"",Бланк!I28)</f>
        <v/>
      </c>
      <c r="J28" s="923" t="str">
        <f>IF(ISBLANK(Бланк!J28),"",Бланк!J28)</f>
        <v/>
      </c>
      <c r="K28" s="923" t="str">
        <f>IF(ISBLANK(Бланк!K28),"",Бланк!K28)</f>
        <v/>
      </c>
      <c r="L28" s="923" t="str">
        <f>IF(ISBLANK(Бланк!L28),"",Бланк!L28)</f>
        <v/>
      </c>
      <c r="M28" s="923" t="str">
        <f>IF(ISBLANK(Бланк!M28),"",Бланк!M28)</f>
        <v/>
      </c>
      <c r="N28" s="923" t="str">
        <f>IF(ISBLANK(Бланк!N28),"",Бланк!N28)</f>
        <v/>
      </c>
      <c r="O28" s="925" t="str">
        <f>IF(ISBLANK(Бланк!O28),"",Бланк!O28)</f>
        <v/>
      </c>
      <c r="P28" s="489"/>
      <c r="Q28" s="504" t="str">
        <f>IF($R28="","",IF(D!EQ19=0,"Тип кабеля не найден","Тип кабеля найден"))</f>
        <v/>
      </c>
      <c r="R28" s="504" t="str">
        <f>IF(D!$ES19&gt;0,D!$ES19,"")</f>
        <v/>
      </c>
      <c r="S28" s="504">
        <f>IF(ISERR(FIND("пофазно",$C28)),0,D!BS100+D!BV100)</f>
        <v>0</v>
      </c>
      <c r="T28" s="504">
        <f>IF(ISERR(FIND("пофазно",$C28)),0,D!BT100+D!BW100)</f>
        <v>0</v>
      </c>
      <c r="U28" s="504">
        <f>IF(ISERR(FIND("пофазно",$C28)),0,D!BU100+D!BX100)</f>
        <v>0</v>
      </c>
      <c r="V28" s="475"/>
      <c r="W28" s="1033" t="s">
        <v>1305</v>
      </c>
      <c r="X28" s="504">
        <f>Габариты!CK22</f>
        <v>0</v>
      </c>
      <c r="Y28" s="504">
        <f>Габариты!CL22</f>
        <v>0</v>
      </c>
      <c r="Z28" s="504">
        <f>Габариты!CN22</f>
        <v>0</v>
      </c>
      <c r="AA28" s="504">
        <f>Габариты!CO22</f>
        <v>0</v>
      </c>
      <c r="AB28" s="504">
        <f>Габариты!CQ22</f>
        <v>0</v>
      </c>
      <c r="AC28" s="504">
        <f>Габариты!CR22</f>
        <v>0</v>
      </c>
      <c r="AD28" s="504">
        <f>Габариты!CT22</f>
        <v>0</v>
      </c>
      <c r="AE28" s="504">
        <f>Габариты!CU22</f>
        <v>0</v>
      </c>
      <c r="AF28" s="504">
        <f>Габариты!CW22</f>
        <v>0</v>
      </c>
      <c r="AG28" s="504">
        <f>Габариты!CX22</f>
        <v>0</v>
      </c>
      <c r="AH28" s="504">
        <f>Габариты!CZ22</f>
        <v>0</v>
      </c>
      <c r="AI28" s="504">
        <f>Габариты!DA22</f>
        <v>0</v>
      </c>
      <c r="AJ28" s="504">
        <f>Габариты!DC22</f>
        <v>0</v>
      </c>
      <c r="AK28" s="504">
        <f>Габариты!DD22</f>
        <v>0</v>
      </c>
      <c r="AL28" s="504">
        <f>Габариты!DF22</f>
        <v>0</v>
      </c>
      <c r="AM28" s="504">
        <f>Габариты!DG22</f>
        <v>0</v>
      </c>
      <c r="AN28" s="504">
        <f>Габариты!DI22</f>
        <v>0</v>
      </c>
      <c r="AO28" s="504">
        <f>Габариты!DJ22</f>
        <v>0</v>
      </c>
      <c r="AP28" s="504">
        <f>Габариты!DL22</f>
        <v>0</v>
      </c>
      <c r="AQ28" s="504">
        <f>Габариты!DM22</f>
        <v>0</v>
      </c>
      <c r="AR28" s="82"/>
      <c r="AS28" s="1033" t="s">
        <v>1305</v>
      </c>
      <c r="AT28" s="504">
        <f>Габариты!CK51</f>
        <v>0</v>
      </c>
      <c r="AU28" s="504">
        <f>Габариты!CL51</f>
        <v>0</v>
      </c>
      <c r="AV28" s="504">
        <f>Габариты!CN51</f>
        <v>0</v>
      </c>
      <c r="AW28" s="504">
        <f>Габариты!CO51</f>
        <v>0</v>
      </c>
      <c r="AX28" s="504">
        <f>Габариты!CQ51</f>
        <v>0</v>
      </c>
      <c r="AY28" s="504">
        <f>Габариты!CR51</f>
        <v>0</v>
      </c>
      <c r="AZ28" s="504">
        <f>Габариты!CT51</f>
        <v>0</v>
      </c>
      <c r="BA28" s="504">
        <f>Габариты!CU51</f>
        <v>0</v>
      </c>
      <c r="BB28" s="504">
        <f>Габариты!CW51</f>
        <v>0</v>
      </c>
      <c r="BC28" s="504">
        <f>Габариты!CX51</f>
        <v>0</v>
      </c>
      <c r="BD28" s="504">
        <f>Габариты!CZ51</f>
        <v>0</v>
      </c>
      <c r="BE28" s="504">
        <f>Габариты!DA51</f>
        <v>0</v>
      </c>
      <c r="BF28" s="504">
        <f>Габариты!DC51</f>
        <v>0</v>
      </c>
      <c r="BG28" s="504">
        <f>Габариты!DD51</f>
        <v>0</v>
      </c>
      <c r="BH28" s="504">
        <f>Габариты!DF51</f>
        <v>0</v>
      </c>
      <c r="BI28" s="504">
        <f>Габариты!DG51</f>
        <v>0</v>
      </c>
      <c r="BJ28" s="504">
        <f>Габариты!DI51</f>
        <v>0</v>
      </c>
      <c r="BK28" s="504">
        <f>Габариты!DJ51</f>
        <v>0</v>
      </c>
      <c r="BL28" s="504">
        <f>Габариты!DL51</f>
        <v>0</v>
      </c>
      <c r="BM28" s="504">
        <f>Габариты!DM51</f>
        <v>0</v>
      </c>
      <c r="BN28" s="82"/>
      <c r="BO28" s="1033" t="s">
        <v>1305</v>
      </c>
      <c r="BP28" s="507">
        <f>Габариты!CK78</f>
        <v>0</v>
      </c>
      <c r="BQ28" s="507">
        <f>Габариты!CL78</f>
        <v>0</v>
      </c>
      <c r="BR28" s="507">
        <f>Габариты!CN78</f>
        <v>0</v>
      </c>
      <c r="BS28" s="507">
        <f>Габариты!CO78</f>
        <v>0</v>
      </c>
      <c r="BT28" s="507">
        <f>Габариты!CQ78</f>
        <v>0</v>
      </c>
      <c r="BU28" s="507">
        <f>Габариты!CR78</f>
        <v>0</v>
      </c>
      <c r="BV28" s="507">
        <f>Габариты!CT78</f>
        <v>0</v>
      </c>
      <c r="BW28" s="507">
        <f>Габариты!CU78</f>
        <v>0</v>
      </c>
      <c r="BX28" s="507">
        <f>Габариты!CW78</f>
        <v>0</v>
      </c>
      <c r="BY28" s="507">
        <f>Габариты!CX78</f>
        <v>0</v>
      </c>
      <c r="BZ28" s="507">
        <f>Габариты!CZ78</f>
        <v>0</v>
      </c>
      <c r="CA28" s="507">
        <f>Габариты!DA78</f>
        <v>0</v>
      </c>
      <c r="CB28" s="507">
        <f>Габариты!DC78</f>
        <v>0</v>
      </c>
      <c r="CC28" s="507">
        <f>Габариты!DD78</f>
        <v>0</v>
      </c>
      <c r="CD28" s="507">
        <f>Габариты!DF78</f>
        <v>0</v>
      </c>
      <c r="CE28" s="507">
        <f>Габариты!DG78</f>
        <v>0</v>
      </c>
      <c r="CF28" s="507">
        <f>Габариты!DI78</f>
        <v>0</v>
      </c>
      <c r="CG28" s="507">
        <f>Габариты!DJ78</f>
        <v>0</v>
      </c>
      <c r="CH28" s="507">
        <f>Габариты!DL78</f>
        <v>0</v>
      </c>
      <c r="CI28" s="507">
        <f>Габариты!DM78</f>
        <v>0</v>
      </c>
      <c r="CK28" s="979" t="str">
        <f>_xlfn.IFNA(VLOOKUP(Бланк!E28,'Замена SE на LS'!$C:$E,3,FALSE),"")</f>
        <v/>
      </c>
      <c r="CZ28" s="1034"/>
    </row>
    <row r="29" spans="1:104" ht="18" x14ac:dyDescent="0.25">
      <c r="A29" s="434">
        <v>17</v>
      </c>
      <c r="B29" s="924" t="str">
        <f>_xlfn.IFNA(IF(VLOOKUP(Бланк!B29,'Замена SE на LS'!$A$2:$B$70,2,FALSE)=0,"замена не найдена",VLOOKUP(Бланк!B29,'Замена SE на LS'!$A$2:$B$70,2,FALSE)),"")</f>
        <v/>
      </c>
      <c r="C29" s="923" t="str">
        <f>IF(ISBLANK(Бланк!C29),"",Бланк!C29)</f>
        <v/>
      </c>
      <c r="D29" s="923" t="str">
        <f>IF(ISBLANK(Бланк!D29),"",Бланк!D29)</f>
        <v/>
      </c>
      <c r="E29" s="923" t="str">
        <f>_xlfn.IFNA(IF(VLOOKUP(Бланк!E29,'Замена SE на LS'!$C:$D,2,FALSE)=0,"замена не найдена",VLOOKUP(Бланк!E29,'Замена SE на LS'!$C:$D,2,FALSE)),"")</f>
        <v/>
      </c>
      <c r="F29" s="923" t="str">
        <f>IF(ISBLANK(Бланк!F29),"",Бланк!F29)</f>
        <v/>
      </c>
      <c r="G29" s="923" t="str">
        <f>IF(ISBLANK(Бланк!G29),"",Бланк!G29)</f>
        <v/>
      </c>
      <c r="H29" s="923" t="str">
        <f>IF(ISBLANK(Бланк!H29),"",Бланк!H29)</f>
        <v/>
      </c>
      <c r="I29" s="923" t="str">
        <f>IF(ISBLANK(Бланк!I29),"",Бланк!I29)</f>
        <v/>
      </c>
      <c r="J29" s="923" t="str">
        <f>IF(ISBLANK(Бланк!J29),"",Бланк!J29)</f>
        <v/>
      </c>
      <c r="K29" s="923" t="str">
        <f>IF(ISBLANK(Бланк!K29),"",Бланк!K29)</f>
        <v/>
      </c>
      <c r="L29" s="923" t="str">
        <f>IF(ISBLANK(Бланк!L29),"",Бланк!L29)</f>
        <v/>
      </c>
      <c r="M29" s="923" t="str">
        <f>IF(ISBLANK(Бланк!M29),"",Бланк!M29)</f>
        <v/>
      </c>
      <c r="N29" s="923" t="str">
        <f>IF(ISBLANK(Бланк!N29),"",Бланк!N29)</f>
        <v/>
      </c>
      <c r="O29" s="925" t="str">
        <f>IF(ISBLANK(Бланк!O29),"",Бланк!O29)</f>
        <v/>
      </c>
      <c r="P29" s="489"/>
      <c r="Q29" s="504" t="str">
        <f>IF($R29="","",IF(D!EQ20=0,"Тип кабеля не найден","Тип кабеля найден"))</f>
        <v/>
      </c>
      <c r="R29" s="504" t="str">
        <f>IF(D!$ES20&gt;0,D!$ES20,"")</f>
        <v/>
      </c>
      <c r="S29" s="504">
        <f>IF(ISERR(FIND("пофазно",$C29)),0,D!BS101+D!BV101)</f>
        <v>0</v>
      </c>
      <c r="T29" s="504">
        <f>IF(ISERR(FIND("пофазно",$C29)),0,D!BT101+D!BW101)</f>
        <v>0</v>
      </c>
      <c r="U29" s="504">
        <f>IF(ISERR(FIND("пофазно",$C29)),0,D!BU101+D!BX101)</f>
        <v>0</v>
      </c>
      <c r="V29" s="475"/>
      <c r="W29" s="1033" t="s">
        <v>1306</v>
      </c>
      <c r="X29" s="504">
        <f>Габариты!CK23</f>
        <v>0</v>
      </c>
      <c r="Y29" s="504">
        <f>Габариты!CL23</f>
        <v>0</v>
      </c>
      <c r="Z29" s="504">
        <f>Габариты!CN23</f>
        <v>0</v>
      </c>
      <c r="AA29" s="504">
        <f>Габариты!CO23</f>
        <v>0</v>
      </c>
      <c r="AB29" s="504">
        <f>Габариты!CQ23</f>
        <v>0</v>
      </c>
      <c r="AC29" s="504">
        <f>Габариты!CR23</f>
        <v>0</v>
      </c>
      <c r="AD29" s="504">
        <f>Габариты!CT23</f>
        <v>0</v>
      </c>
      <c r="AE29" s="504">
        <f>Габариты!CU23</f>
        <v>0</v>
      </c>
      <c r="AF29" s="504">
        <f>Габариты!CW23</f>
        <v>0</v>
      </c>
      <c r="AG29" s="504">
        <f>Габариты!CX23</f>
        <v>0</v>
      </c>
      <c r="AH29" s="504">
        <f>Габариты!CZ23</f>
        <v>0</v>
      </c>
      <c r="AI29" s="504">
        <f>Габариты!DA23</f>
        <v>0</v>
      </c>
      <c r="AJ29" s="504">
        <f>Габариты!DC23</f>
        <v>0</v>
      </c>
      <c r="AK29" s="504">
        <f>Габариты!DD23</f>
        <v>0</v>
      </c>
      <c r="AL29" s="504">
        <f>Габариты!DF23</f>
        <v>0</v>
      </c>
      <c r="AM29" s="504">
        <f>Габариты!DG23</f>
        <v>0</v>
      </c>
      <c r="AN29" s="504">
        <f>Габариты!DI23</f>
        <v>0</v>
      </c>
      <c r="AO29" s="504">
        <f>Габариты!DJ23</f>
        <v>0</v>
      </c>
      <c r="AP29" s="504">
        <f>Габариты!DL23</f>
        <v>0</v>
      </c>
      <c r="AQ29" s="504">
        <f>Габариты!DM23</f>
        <v>0</v>
      </c>
      <c r="AR29" s="82"/>
      <c r="AS29" s="1033" t="s">
        <v>1306</v>
      </c>
      <c r="AT29" s="504">
        <f>Габариты!CK52</f>
        <v>0</v>
      </c>
      <c r="AU29" s="504">
        <f>Габариты!CL52</f>
        <v>0</v>
      </c>
      <c r="AV29" s="504">
        <f>Габариты!CN52</f>
        <v>0</v>
      </c>
      <c r="AW29" s="504">
        <f>Габариты!CO52</f>
        <v>0</v>
      </c>
      <c r="AX29" s="504">
        <f>Габариты!CQ52</f>
        <v>0</v>
      </c>
      <c r="AY29" s="504">
        <f>Габариты!CR52</f>
        <v>0</v>
      </c>
      <c r="AZ29" s="504">
        <f>Габариты!CT52</f>
        <v>0</v>
      </c>
      <c r="BA29" s="504">
        <f>Габариты!CU52</f>
        <v>0</v>
      </c>
      <c r="BB29" s="504">
        <f>Габариты!CW52</f>
        <v>0</v>
      </c>
      <c r="BC29" s="504">
        <f>Габариты!CX52</f>
        <v>0</v>
      </c>
      <c r="BD29" s="504">
        <f>Габариты!CZ52</f>
        <v>0</v>
      </c>
      <c r="BE29" s="504">
        <f>Габариты!DA52</f>
        <v>0</v>
      </c>
      <c r="BF29" s="504">
        <f>Габариты!DC52</f>
        <v>0</v>
      </c>
      <c r="BG29" s="504">
        <f>Габариты!DD52</f>
        <v>0</v>
      </c>
      <c r="BH29" s="504">
        <f>Габариты!DF52</f>
        <v>0</v>
      </c>
      <c r="BI29" s="504">
        <f>Габариты!DG52</f>
        <v>0</v>
      </c>
      <c r="BJ29" s="504">
        <f>Габариты!DI52</f>
        <v>0</v>
      </c>
      <c r="BK29" s="504">
        <f>Габариты!DJ52</f>
        <v>0</v>
      </c>
      <c r="BL29" s="504">
        <f>Габариты!DL52</f>
        <v>0</v>
      </c>
      <c r="BM29" s="504">
        <f>Габариты!DM52</f>
        <v>0</v>
      </c>
      <c r="BN29" s="82"/>
      <c r="BO29" s="1033" t="s">
        <v>1306</v>
      </c>
      <c r="BP29" s="507">
        <f>Габариты!CK79</f>
        <v>0</v>
      </c>
      <c r="BQ29" s="507">
        <f>Габариты!CL79</f>
        <v>0</v>
      </c>
      <c r="BR29" s="507">
        <f>Габариты!CN79</f>
        <v>0</v>
      </c>
      <c r="BS29" s="507">
        <f>Габариты!CO79</f>
        <v>0</v>
      </c>
      <c r="BT29" s="507">
        <f>Габариты!CQ79</f>
        <v>0</v>
      </c>
      <c r="BU29" s="507">
        <f>Габариты!CR79</f>
        <v>0</v>
      </c>
      <c r="BV29" s="507">
        <f>Габариты!CT79</f>
        <v>0</v>
      </c>
      <c r="BW29" s="507">
        <f>Габариты!CU79</f>
        <v>0</v>
      </c>
      <c r="BX29" s="507">
        <f>Габариты!CW79</f>
        <v>0</v>
      </c>
      <c r="BY29" s="507">
        <f>Габариты!CX79</f>
        <v>0</v>
      </c>
      <c r="BZ29" s="507">
        <f>Габариты!CZ79</f>
        <v>0</v>
      </c>
      <c r="CA29" s="507">
        <f>Габариты!DA79</f>
        <v>0</v>
      </c>
      <c r="CB29" s="507">
        <f>Габариты!DC79</f>
        <v>0</v>
      </c>
      <c r="CC29" s="507">
        <f>Габариты!DD79</f>
        <v>0</v>
      </c>
      <c r="CD29" s="507">
        <f>Габариты!DF79</f>
        <v>0</v>
      </c>
      <c r="CE29" s="507">
        <f>Габариты!DG79</f>
        <v>0</v>
      </c>
      <c r="CF29" s="507">
        <f>Габариты!DI79</f>
        <v>0</v>
      </c>
      <c r="CG29" s="507">
        <f>Габариты!DJ79</f>
        <v>0</v>
      </c>
      <c r="CH29" s="507">
        <f>Габариты!DL79</f>
        <v>0</v>
      </c>
      <c r="CI29" s="507">
        <f>Габариты!DM79</f>
        <v>0</v>
      </c>
      <c r="CK29" s="979" t="str">
        <f>_xlfn.IFNA(VLOOKUP(Бланк!E29,'Замена SE на LS'!$C:$E,3,FALSE),"")</f>
        <v/>
      </c>
      <c r="CZ29" s="1034"/>
    </row>
    <row r="30" spans="1:104" ht="18" x14ac:dyDescent="0.25">
      <c r="A30" s="434">
        <v>18</v>
      </c>
      <c r="B30" s="924" t="str">
        <f>_xlfn.IFNA(IF(VLOOKUP(Бланк!B30,'Замена SE на LS'!$A$2:$B$70,2,FALSE)=0,"замена не найдена",VLOOKUP(Бланк!B30,'Замена SE на LS'!$A$2:$B$70,2,FALSE)),"")</f>
        <v/>
      </c>
      <c r="C30" s="923" t="str">
        <f>IF(ISBLANK(Бланк!C30),"",Бланк!C30)</f>
        <v/>
      </c>
      <c r="D30" s="923" t="str">
        <f>IF(ISBLANK(Бланк!D30),"",Бланк!D30)</f>
        <v/>
      </c>
      <c r="E30" s="923" t="str">
        <f>_xlfn.IFNA(IF(VLOOKUP(Бланк!E30,'Замена SE на LS'!$C:$D,2,FALSE)=0,"замена не найдена",VLOOKUP(Бланк!E30,'Замена SE на LS'!$C:$D,2,FALSE)),"")</f>
        <v/>
      </c>
      <c r="F30" s="923" t="str">
        <f>IF(ISBLANK(Бланк!F30),"",Бланк!F30)</f>
        <v/>
      </c>
      <c r="G30" s="923" t="str">
        <f>IF(ISBLANK(Бланк!G30),"",Бланк!G30)</f>
        <v/>
      </c>
      <c r="H30" s="923" t="str">
        <f>IF(ISBLANK(Бланк!H30),"",Бланк!H30)</f>
        <v/>
      </c>
      <c r="I30" s="923" t="str">
        <f>IF(ISBLANK(Бланк!I30),"",Бланк!I30)</f>
        <v/>
      </c>
      <c r="J30" s="923" t="str">
        <f>IF(ISBLANK(Бланк!J30),"",Бланк!J30)</f>
        <v/>
      </c>
      <c r="K30" s="923" t="str">
        <f>IF(ISBLANK(Бланк!K30),"",Бланк!K30)</f>
        <v/>
      </c>
      <c r="L30" s="923" t="str">
        <f>IF(ISBLANK(Бланк!L30),"",Бланк!L30)</f>
        <v/>
      </c>
      <c r="M30" s="923" t="str">
        <f>IF(ISBLANK(Бланк!M30),"",Бланк!M30)</f>
        <v/>
      </c>
      <c r="N30" s="923" t="str">
        <f>IF(ISBLANK(Бланк!N30),"",Бланк!N30)</f>
        <v/>
      </c>
      <c r="O30" s="925" t="str">
        <f>IF(ISBLANK(Бланк!O30),"",Бланк!O30)</f>
        <v/>
      </c>
      <c r="P30" s="489"/>
      <c r="Q30" s="504" t="str">
        <f>IF($R30="","",IF(D!EQ21=0,"Тип кабеля не найден","Тип кабеля найден"))</f>
        <v/>
      </c>
      <c r="R30" s="504" t="str">
        <f>IF(D!$ES21&gt;0,D!$ES21,"")</f>
        <v/>
      </c>
      <c r="S30" s="504">
        <f>IF(ISERR(FIND("пофазно",$C30)),0,D!BS102+D!BV102)</f>
        <v>0</v>
      </c>
      <c r="T30" s="504">
        <f>IF(ISERR(FIND("пофазно",$C30)),0,D!BT102+D!BW102)</f>
        <v>0</v>
      </c>
      <c r="U30" s="504">
        <f>IF(ISERR(FIND("пофазно",$C30)),0,D!BU102+D!BX102)</f>
        <v>0</v>
      </c>
      <c r="V30" s="475"/>
      <c r="W30" s="1033" t="s">
        <v>1307</v>
      </c>
      <c r="X30" s="504">
        <f>Габариты!CK24</f>
        <v>0</v>
      </c>
      <c r="Y30" s="504">
        <f>Габариты!CL24</f>
        <v>0</v>
      </c>
      <c r="Z30" s="504">
        <f>Габариты!CN24</f>
        <v>0</v>
      </c>
      <c r="AA30" s="504">
        <f>Габариты!CO24</f>
        <v>0</v>
      </c>
      <c r="AB30" s="504">
        <f>Габариты!CQ24</f>
        <v>0</v>
      </c>
      <c r="AC30" s="504">
        <f>Габариты!CR24</f>
        <v>0</v>
      </c>
      <c r="AD30" s="504">
        <f>Габариты!CT24</f>
        <v>0</v>
      </c>
      <c r="AE30" s="504">
        <f>Габариты!CU24</f>
        <v>0</v>
      </c>
      <c r="AF30" s="504">
        <f>Габариты!CW24</f>
        <v>0</v>
      </c>
      <c r="AG30" s="504">
        <f>Габариты!CX24</f>
        <v>0</v>
      </c>
      <c r="AH30" s="504">
        <f>Габариты!CZ24</f>
        <v>0</v>
      </c>
      <c r="AI30" s="504">
        <f>Габариты!DA24</f>
        <v>0</v>
      </c>
      <c r="AJ30" s="504">
        <f>Габариты!DC24</f>
        <v>0</v>
      </c>
      <c r="AK30" s="504">
        <f>Габариты!DD24</f>
        <v>0</v>
      </c>
      <c r="AL30" s="504">
        <f>Габариты!DF24</f>
        <v>0</v>
      </c>
      <c r="AM30" s="504">
        <f>Габариты!DG24</f>
        <v>0</v>
      </c>
      <c r="AN30" s="504">
        <f>Габариты!DI24</f>
        <v>0</v>
      </c>
      <c r="AO30" s="504">
        <f>Габариты!DJ24</f>
        <v>0</v>
      </c>
      <c r="AP30" s="504">
        <f>Габариты!DL24</f>
        <v>0</v>
      </c>
      <c r="AQ30" s="504">
        <f>Габариты!DM24</f>
        <v>0</v>
      </c>
      <c r="AR30" s="82"/>
      <c r="AS30" s="1033" t="s">
        <v>1307</v>
      </c>
      <c r="AT30" s="504">
        <f>Габариты!CK53</f>
        <v>0</v>
      </c>
      <c r="AU30" s="504">
        <f>Габариты!CL53</f>
        <v>0</v>
      </c>
      <c r="AV30" s="504">
        <f>Габариты!CN53</f>
        <v>0</v>
      </c>
      <c r="AW30" s="504">
        <f>Габариты!CO53</f>
        <v>0</v>
      </c>
      <c r="AX30" s="504">
        <f>Габариты!CQ53</f>
        <v>0</v>
      </c>
      <c r="AY30" s="504">
        <f>Габариты!CR53</f>
        <v>0</v>
      </c>
      <c r="AZ30" s="504">
        <f>Габариты!CT53</f>
        <v>0</v>
      </c>
      <c r="BA30" s="504">
        <f>Габариты!CU53</f>
        <v>0</v>
      </c>
      <c r="BB30" s="504">
        <f>Габариты!CW53</f>
        <v>0</v>
      </c>
      <c r="BC30" s="504">
        <f>Габариты!CX53</f>
        <v>0</v>
      </c>
      <c r="BD30" s="504">
        <f>Габариты!CZ53</f>
        <v>0</v>
      </c>
      <c r="BE30" s="504">
        <f>Габариты!DA53</f>
        <v>0</v>
      </c>
      <c r="BF30" s="504">
        <f>Габариты!DC53</f>
        <v>0</v>
      </c>
      <c r="BG30" s="504">
        <f>Габариты!DD53</f>
        <v>0</v>
      </c>
      <c r="BH30" s="504">
        <f>Габариты!DF53</f>
        <v>0</v>
      </c>
      <c r="BI30" s="504">
        <f>Габариты!DG53</f>
        <v>0</v>
      </c>
      <c r="BJ30" s="504">
        <f>Габариты!DI53</f>
        <v>0</v>
      </c>
      <c r="BK30" s="504">
        <f>Габариты!DJ53</f>
        <v>0</v>
      </c>
      <c r="BL30" s="504">
        <f>Габариты!DL53</f>
        <v>0</v>
      </c>
      <c r="BM30" s="504">
        <f>Габариты!DM53</f>
        <v>0</v>
      </c>
      <c r="BN30" s="82"/>
      <c r="BO30" s="1033" t="s">
        <v>1307</v>
      </c>
      <c r="BP30" s="507">
        <f>Габариты!CK80</f>
        <v>0</v>
      </c>
      <c r="BQ30" s="507">
        <f>Габариты!CL80</f>
        <v>0</v>
      </c>
      <c r="BR30" s="507">
        <f>Габариты!CN80</f>
        <v>0</v>
      </c>
      <c r="BS30" s="507">
        <f>Габариты!CO80</f>
        <v>0</v>
      </c>
      <c r="BT30" s="507">
        <f>Габариты!CQ80</f>
        <v>0</v>
      </c>
      <c r="BU30" s="507">
        <f>Габариты!CR80</f>
        <v>0</v>
      </c>
      <c r="BV30" s="507">
        <f>Габариты!CT80</f>
        <v>0</v>
      </c>
      <c r="BW30" s="507">
        <f>Габариты!CU80</f>
        <v>0</v>
      </c>
      <c r="BX30" s="507">
        <f>Габариты!CW80</f>
        <v>0</v>
      </c>
      <c r="BY30" s="507">
        <f>Габариты!CX80</f>
        <v>0</v>
      </c>
      <c r="BZ30" s="507">
        <f>Габариты!CZ80</f>
        <v>0</v>
      </c>
      <c r="CA30" s="507">
        <f>Габариты!DA80</f>
        <v>0</v>
      </c>
      <c r="CB30" s="507">
        <f>Габариты!DC80</f>
        <v>0</v>
      </c>
      <c r="CC30" s="507">
        <f>Габариты!DD80</f>
        <v>0</v>
      </c>
      <c r="CD30" s="507">
        <f>Габариты!DF80</f>
        <v>0</v>
      </c>
      <c r="CE30" s="507">
        <f>Габариты!DG80</f>
        <v>0</v>
      </c>
      <c r="CF30" s="507">
        <f>Габариты!DI80</f>
        <v>0</v>
      </c>
      <c r="CG30" s="507">
        <f>Габариты!DJ80</f>
        <v>0</v>
      </c>
      <c r="CH30" s="507">
        <f>Габариты!DL80</f>
        <v>0</v>
      </c>
      <c r="CI30" s="507">
        <f>Габариты!DM80</f>
        <v>0</v>
      </c>
      <c r="CK30" s="979" t="str">
        <f>_xlfn.IFNA(VLOOKUP(Бланк!E30,'Замена SE на LS'!$C:$E,3,FALSE),"")</f>
        <v/>
      </c>
      <c r="CZ30" s="1034"/>
    </row>
    <row r="31" spans="1:104" ht="18" x14ac:dyDescent="0.25">
      <c r="A31" s="434">
        <v>19</v>
      </c>
      <c r="B31" s="924" t="str">
        <f>_xlfn.IFNA(IF(VLOOKUP(Бланк!B31,'Замена SE на LS'!$A$2:$B$70,2,FALSE)=0,"замена не найдена",VLOOKUP(Бланк!B31,'Замена SE на LS'!$A$2:$B$70,2,FALSE)),"")</f>
        <v/>
      </c>
      <c r="C31" s="923" t="str">
        <f>IF(ISBLANK(Бланк!C31),"",Бланк!C31)</f>
        <v/>
      </c>
      <c r="D31" s="923" t="str">
        <f>IF(ISBLANK(Бланк!D31),"",Бланк!D31)</f>
        <v/>
      </c>
      <c r="E31" s="923" t="str">
        <f>_xlfn.IFNA(IF(VLOOKUP(Бланк!E31,'Замена SE на LS'!$C:$D,2,FALSE)=0,"замена не найдена",VLOOKUP(Бланк!E31,'Замена SE на LS'!$C:$D,2,FALSE)),"")</f>
        <v/>
      </c>
      <c r="F31" s="923" t="str">
        <f>IF(ISBLANK(Бланк!F31),"",Бланк!F31)</f>
        <v/>
      </c>
      <c r="G31" s="923" t="str">
        <f>IF(ISBLANK(Бланк!G31),"",Бланк!G31)</f>
        <v/>
      </c>
      <c r="H31" s="923" t="str">
        <f>IF(ISBLANK(Бланк!H31),"",Бланк!H31)</f>
        <v/>
      </c>
      <c r="I31" s="923" t="str">
        <f>IF(ISBLANK(Бланк!I31),"",Бланк!I31)</f>
        <v/>
      </c>
      <c r="J31" s="923" t="str">
        <f>IF(ISBLANK(Бланк!J31),"",Бланк!J31)</f>
        <v/>
      </c>
      <c r="K31" s="923" t="str">
        <f>IF(ISBLANK(Бланк!K31),"",Бланк!K31)</f>
        <v/>
      </c>
      <c r="L31" s="923" t="str">
        <f>IF(ISBLANK(Бланк!L31),"",Бланк!L31)</f>
        <v/>
      </c>
      <c r="M31" s="923" t="str">
        <f>IF(ISBLANK(Бланк!M31),"",Бланк!M31)</f>
        <v/>
      </c>
      <c r="N31" s="923" t="str">
        <f>IF(ISBLANK(Бланк!N31),"",Бланк!N31)</f>
        <v/>
      </c>
      <c r="O31" s="925" t="str">
        <f>IF(ISBLANK(Бланк!O31),"",Бланк!O31)</f>
        <v/>
      </c>
      <c r="P31" s="489"/>
      <c r="Q31" s="504" t="str">
        <f>IF($R31="","",IF(D!EQ22=0,"Тип кабеля не найден","Тип кабеля найден"))</f>
        <v/>
      </c>
      <c r="R31" s="504" t="str">
        <f>IF(D!$ES22&gt;0,D!$ES22,"")</f>
        <v/>
      </c>
      <c r="S31" s="504">
        <f>IF(ISERR(FIND("пофазно",$C31)),0,D!BS103+D!BV103)</f>
        <v>0</v>
      </c>
      <c r="T31" s="504">
        <f>IF(ISERR(FIND("пофазно",$C31)),0,D!BT103+D!BW103)</f>
        <v>0</v>
      </c>
      <c r="U31" s="504">
        <f>IF(ISERR(FIND("пофазно",$C31)),0,D!BU103+D!BX103)</f>
        <v>0</v>
      </c>
      <c r="V31" s="475"/>
      <c r="W31" s="1033" t="s">
        <v>1308</v>
      </c>
      <c r="X31" s="504">
        <f>Габариты!CK25</f>
        <v>0</v>
      </c>
      <c r="Y31" s="504">
        <f>Габариты!CL25</f>
        <v>0</v>
      </c>
      <c r="Z31" s="504">
        <f>Габариты!CN25</f>
        <v>0</v>
      </c>
      <c r="AA31" s="504">
        <f>Габариты!CO25</f>
        <v>0</v>
      </c>
      <c r="AB31" s="504">
        <f>Габариты!CQ25</f>
        <v>0</v>
      </c>
      <c r="AC31" s="504">
        <f>Габариты!CR25</f>
        <v>0</v>
      </c>
      <c r="AD31" s="504">
        <f>Габариты!CT25</f>
        <v>0</v>
      </c>
      <c r="AE31" s="504">
        <f>Габариты!CU25</f>
        <v>0</v>
      </c>
      <c r="AF31" s="504">
        <f>Габариты!CW25</f>
        <v>0</v>
      </c>
      <c r="AG31" s="504">
        <f>Габариты!CX25</f>
        <v>0</v>
      </c>
      <c r="AH31" s="504">
        <f>Габариты!CZ25</f>
        <v>0</v>
      </c>
      <c r="AI31" s="504">
        <f>Габариты!DA25</f>
        <v>0</v>
      </c>
      <c r="AJ31" s="504">
        <f>Габариты!DC25</f>
        <v>0</v>
      </c>
      <c r="AK31" s="504">
        <f>Габариты!DD25</f>
        <v>0</v>
      </c>
      <c r="AL31" s="504">
        <f>Габариты!DF25</f>
        <v>0</v>
      </c>
      <c r="AM31" s="504">
        <f>Габариты!DG25</f>
        <v>0</v>
      </c>
      <c r="AN31" s="504">
        <f>Габариты!DI25</f>
        <v>0</v>
      </c>
      <c r="AO31" s="504">
        <f>Габариты!DJ25</f>
        <v>0</v>
      </c>
      <c r="AP31" s="504">
        <f>Габариты!DL25</f>
        <v>0</v>
      </c>
      <c r="AQ31" s="504">
        <f>Габариты!DM25</f>
        <v>0</v>
      </c>
      <c r="AR31" s="82"/>
      <c r="AS31" s="1033" t="s">
        <v>1308</v>
      </c>
      <c r="AT31" s="504">
        <f>Габариты!CK54</f>
        <v>0</v>
      </c>
      <c r="AU31" s="504">
        <f>Габариты!CL54</f>
        <v>0</v>
      </c>
      <c r="AV31" s="504">
        <f>Габариты!CN54</f>
        <v>0</v>
      </c>
      <c r="AW31" s="504">
        <f>Габариты!CO54</f>
        <v>0</v>
      </c>
      <c r="AX31" s="504">
        <f>Габариты!CQ54</f>
        <v>0</v>
      </c>
      <c r="AY31" s="504">
        <f>Габариты!CR54</f>
        <v>0</v>
      </c>
      <c r="AZ31" s="504">
        <f>Габариты!CT54</f>
        <v>0</v>
      </c>
      <c r="BA31" s="504">
        <f>Габариты!CU54</f>
        <v>0</v>
      </c>
      <c r="BB31" s="504">
        <f>Габариты!CW54</f>
        <v>0</v>
      </c>
      <c r="BC31" s="504">
        <f>Габариты!CX54</f>
        <v>0</v>
      </c>
      <c r="BD31" s="504">
        <f>Габариты!CZ54</f>
        <v>0</v>
      </c>
      <c r="BE31" s="504">
        <f>Габариты!DA54</f>
        <v>0</v>
      </c>
      <c r="BF31" s="504">
        <f>Габариты!DC54</f>
        <v>0</v>
      </c>
      <c r="BG31" s="504">
        <f>Габариты!DD54</f>
        <v>0</v>
      </c>
      <c r="BH31" s="504">
        <f>Габариты!DF54</f>
        <v>0</v>
      </c>
      <c r="BI31" s="504">
        <f>Габариты!DG54</f>
        <v>0</v>
      </c>
      <c r="BJ31" s="504">
        <f>Габариты!DI54</f>
        <v>0</v>
      </c>
      <c r="BK31" s="504">
        <f>Габариты!DJ54</f>
        <v>0</v>
      </c>
      <c r="BL31" s="504">
        <f>Габариты!DL54</f>
        <v>0</v>
      </c>
      <c r="BM31" s="504">
        <f>Габариты!DM54</f>
        <v>0</v>
      </c>
      <c r="BN31" s="82"/>
      <c r="BO31" s="1033" t="s">
        <v>1308</v>
      </c>
      <c r="BP31" s="507">
        <f>Габариты!CK81</f>
        <v>0</v>
      </c>
      <c r="BQ31" s="507">
        <f>Габариты!CL81</f>
        <v>0</v>
      </c>
      <c r="BR31" s="507">
        <f>Габариты!CN81</f>
        <v>0</v>
      </c>
      <c r="BS31" s="507">
        <f>Габариты!CO81</f>
        <v>0</v>
      </c>
      <c r="BT31" s="507">
        <f>Габариты!CQ81</f>
        <v>0</v>
      </c>
      <c r="BU31" s="507">
        <f>Габариты!CR81</f>
        <v>0</v>
      </c>
      <c r="BV31" s="507">
        <f>Габариты!CT81</f>
        <v>0</v>
      </c>
      <c r="BW31" s="507">
        <f>Габариты!CU81</f>
        <v>0</v>
      </c>
      <c r="BX31" s="507">
        <f>Габариты!CW81</f>
        <v>0</v>
      </c>
      <c r="BY31" s="507">
        <f>Габариты!CX81</f>
        <v>0</v>
      </c>
      <c r="BZ31" s="507">
        <f>Габариты!CZ81</f>
        <v>0</v>
      </c>
      <c r="CA31" s="507">
        <f>Габариты!DA81</f>
        <v>0</v>
      </c>
      <c r="CB31" s="507">
        <f>Габариты!DC81</f>
        <v>0</v>
      </c>
      <c r="CC31" s="507">
        <f>Габариты!DD81</f>
        <v>0</v>
      </c>
      <c r="CD31" s="507">
        <f>Габариты!DF81</f>
        <v>0</v>
      </c>
      <c r="CE31" s="507">
        <f>Габариты!DG81</f>
        <v>0</v>
      </c>
      <c r="CF31" s="507">
        <f>Габариты!DI81</f>
        <v>0</v>
      </c>
      <c r="CG31" s="507">
        <f>Габариты!DJ81</f>
        <v>0</v>
      </c>
      <c r="CH31" s="507">
        <f>Габариты!DL81</f>
        <v>0</v>
      </c>
      <c r="CI31" s="507">
        <f>Габариты!DM81</f>
        <v>0</v>
      </c>
      <c r="CK31" s="979" t="str">
        <f>_xlfn.IFNA(VLOOKUP(Бланк!E31,'Замена SE на LS'!$C:$E,3,FALSE),"")</f>
        <v/>
      </c>
      <c r="CZ31" s="1034"/>
    </row>
    <row r="32" spans="1:104" ht="18.75" thickBot="1" x14ac:dyDescent="0.3">
      <c r="A32" s="434">
        <v>20</v>
      </c>
      <c r="B32" s="926" t="str">
        <f>_xlfn.IFNA(IF(VLOOKUP(Бланк!B32,'Замена SE на LS'!$A$2:$B$70,2,FALSE)=0,"замена не найдена",VLOOKUP(Бланк!B32,'Замена SE на LS'!$A$2:$B$70,2,FALSE)),"")</f>
        <v/>
      </c>
      <c r="C32" s="927" t="str">
        <f>IF(ISBLANK(Бланк!C32),"",Бланк!C32)</f>
        <v/>
      </c>
      <c r="D32" s="927" t="str">
        <f>IF(ISBLANK(Бланк!D32),"",Бланк!D32)</f>
        <v/>
      </c>
      <c r="E32" s="927" t="str">
        <f>_xlfn.IFNA(IF(VLOOKUP(Бланк!E32,'Замена SE на LS'!$C:$D,2,FALSE)=0,"замена не найдена",VLOOKUP(Бланк!E32,'Замена SE на LS'!$C:$D,2,FALSE)),"")</f>
        <v/>
      </c>
      <c r="F32" s="927" t="str">
        <f>IF(ISBLANK(Бланк!F32),"",Бланк!F32)</f>
        <v/>
      </c>
      <c r="G32" s="927" t="str">
        <f>IF(ISBLANK(Бланк!G32),"",Бланк!G32)</f>
        <v/>
      </c>
      <c r="H32" s="927" t="str">
        <f>IF(ISBLANK(Бланк!H32),"",Бланк!H32)</f>
        <v/>
      </c>
      <c r="I32" s="927" t="str">
        <f>IF(ISBLANK(Бланк!I32),"",Бланк!I32)</f>
        <v/>
      </c>
      <c r="J32" s="927" t="str">
        <f>IF(ISBLANK(Бланк!J32),"",Бланк!J32)</f>
        <v/>
      </c>
      <c r="K32" s="927" t="str">
        <f>IF(ISBLANK(Бланк!K32),"",Бланк!K32)</f>
        <v/>
      </c>
      <c r="L32" s="927" t="str">
        <f>IF(ISBLANK(Бланк!L32),"",Бланк!L32)</f>
        <v/>
      </c>
      <c r="M32" s="927" t="str">
        <f>IF(ISBLANK(Бланк!M32),"",Бланк!M32)</f>
        <v/>
      </c>
      <c r="N32" s="927" t="str">
        <f>IF(ISBLANK(Бланк!N32),"",Бланк!N32)</f>
        <v/>
      </c>
      <c r="O32" s="928" t="str">
        <f>IF(ISBLANK(Бланк!O32),"",Бланк!O32)</f>
        <v/>
      </c>
      <c r="P32" s="489"/>
      <c r="Q32" s="504" t="str">
        <f>IF($R32="","",IF(D!EQ23=0,"Тип кабеля не найден","Тип кабеля найден"))</f>
        <v/>
      </c>
      <c r="R32" s="504" t="str">
        <f>IF(D!$ES23&gt;0,D!$ES23,"")</f>
        <v/>
      </c>
      <c r="S32" s="504">
        <f>IF(ISERR(FIND("пофазно",$C32)),0,D!BS104+D!BV104)</f>
        <v>0</v>
      </c>
      <c r="T32" s="504">
        <f>IF(ISERR(FIND("пофазно",$C32)),0,D!BT104+D!BW104)</f>
        <v>0</v>
      </c>
      <c r="U32" s="504">
        <f>IF(ISERR(FIND("пофазно",$C32)),0,D!BU104+D!BX104)</f>
        <v>0</v>
      </c>
      <c r="V32" s="475"/>
      <c r="W32" s="1033" t="s">
        <v>1309</v>
      </c>
      <c r="X32" s="504">
        <f>Габариты!CK26</f>
        <v>0</v>
      </c>
      <c r="Y32" s="504">
        <f>Габариты!CL26</f>
        <v>0</v>
      </c>
      <c r="Z32" s="504">
        <f>Габариты!CN26</f>
        <v>0</v>
      </c>
      <c r="AA32" s="504">
        <f>Габариты!CO26</f>
        <v>0</v>
      </c>
      <c r="AB32" s="504">
        <f>Габариты!CQ26</f>
        <v>0</v>
      </c>
      <c r="AC32" s="504">
        <f>Габариты!CR26</f>
        <v>0</v>
      </c>
      <c r="AD32" s="504">
        <f>Габариты!CT26</f>
        <v>0</v>
      </c>
      <c r="AE32" s="504">
        <f>Габариты!CU26</f>
        <v>0</v>
      </c>
      <c r="AF32" s="504">
        <f>Габариты!CW26</f>
        <v>0</v>
      </c>
      <c r="AG32" s="504">
        <f>Габариты!CX26</f>
        <v>0</v>
      </c>
      <c r="AH32" s="504">
        <f>Габариты!CZ26</f>
        <v>0</v>
      </c>
      <c r="AI32" s="504">
        <f>Габариты!DA26</f>
        <v>0</v>
      </c>
      <c r="AJ32" s="504">
        <f>Габариты!DC26</f>
        <v>0</v>
      </c>
      <c r="AK32" s="504">
        <f>Габариты!DD26</f>
        <v>0</v>
      </c>
      <c r="AL32" s="504">
        <f>Габариты!DF26</f>
        <v>0</v>
      </c>
      <c r="AM32" s="504">
        <f>Габариты!DG26</f>
        <v>0</v>
      </c>
      <c r="AN32" s="504">
        <f>Габариты!DI26</f>
        <v>0</v>
      </c>
      <c r="AO32" s="504">
        <f>Габариты!DJ26</f>
        <v>0</v>
      </c>
      <c r="AP32" s="504">
        <f>Габариты!DL26</f>
        <v>0</v>
      </c>
      <c r="AQ32" s="504">
        <f>Габариты!DM26</f>
        <v>0</v>
      </c>
      <c r="AR32" s="82"/>
      <c r="AS32" s="1033" t="s">
        <v>1309</v>
      </c>
      <c r="AT32" s="504">
        <f>Габариты!CK55</f>
        <v>0</v>
      </c>
      <c r="AU32" s="504">
        <f>Габариты!CL55</f>
        <v>0</v>
      </c>
      <c r="AV32" s="504">
        <f>Габариты!CN55</f>
        <v>0</v>
      </c>
      <c r="AW32" s="504">
        <f>Габариты!CO55</f>
        <v>0</v>
      </c>
      <c r="AX32" s="504">
        <f>Габариты!CQ55</f>
        <v>0</v>
      </c>
      <c r="AY32" s="504">
        <f>Габариты!CR55</f>
        <v>0</v>
      </c>
      <c r="AZ32" s="504">
        <f>Габариты!CT55</f>
        <v>0</v>
      </c>
      <c r="BA32" s="504">
        <f>Габариты!CU55</f>
        <v>0</v>
      </c>
      <c r="BB32" s="504">
        <f>Габариты!CW55</f>
        <v>0</v>
      </c>
      <c r="BC32" s="504">
        <f>Габариты!CX55</f>
        <v>0</v>
      </c>
      <c r="BD32" s="504">
        <f>Габариты!CZ55</f>
        <v>0</v>
      </c>
      <c r="BE32" s="504">
        <f>Габариты!DA55</f>
        <v>0</v>
      </c>
      <c r="BF32" s="504">
        <f>Габариты!DC55</f>
        <v>0</v>
      </c>
      <c r="BG32" s="504">
        <f>Габариты!DD55</f>
        <v>0</v>
      </c>
      <c r="BH32" s="504">
        <f>Габариты!DF55</f>
        <v>0</v>
      </c>
      <c r="BI32" s="504">
        <f>Габариты!DG55</f>
        <v>0</v>
      </c>
      <c r="BJ32" s="504">
        <f>Габариты!DI55</f>
        <v>0</v>
      </c>
      <c r="BK32" s="504">
        <f>Габариты!DJ55</f>
        <v>0</v>
      </c>
      <c r="BL32" s="504">
        <f>Габариты!DL55</f>
        <v>0</v>
      </c>
      <c r="BM32" s="504">
        <f>Габариты!DM55</f>
        <v>0</v>
      </c>
      <c r="BN32" s="82"/>
      <c r="BO32" s="1033" t="s">
        <v>1309</v>
      </c>
      <c r="BP32" s="507">
        <f>Габариты!CK82</f>
        <v>0</v>
      </c>
      <c r="BQ32" s="507">
        <f>Габариты!CL82</f>
        <v>0</v>
      </c>
      <c r="BR32" s="507">
        <f>Габариты!CN82</f>
        <v>0</v>
      </c>
      <c r="BS32" s="507">
        <f>Габариты!CO82</f>
        <v>0</v>
      </c>
      <c r="BT32" s="507">
        <f>Габариты!CQ82</f>
        <v>0</v>
      </c>
      <c r="BU32" s="507">
        <f>Габариты!CR82</f>
        <v>0</v>
      </c>
      <c r="BV32" s="507">
        <f>Габариты!CT82</f>
        <v>0</v>
      </c>
      <c r="BW32" s="507">
        <f>Габариты!CU82</f>
        <v>0</v>
      </c>
      <c r="BX32" s="507">
        <f>Габариты!CW82</f>
        <v>0</v>
      </c>
      <c r="BY32" s="507">
        <f>Габариты!CX82</f>
        <v>0</v>
      </c>
      <c r="BZ32" s="507">
        <f>Габариты!CZ82</f>
        <v>0</v>
      </c>
      <c r="CA32" s="507">
        <f>Габариты!DA82</f>
        <v>0</v>
      </c>
      <c r="CB32" s="507">
        <f>Габариты!DC82</f>
        <v>0</v>
      </c>
      <c r="CC32" s="507">
        <f>Габариты!DD82</f>
        <v>0</v>
      </c>
      <c r="CD32" s="507">
        <f>Габариты!DF82</f>
        <v>0</v>
      </c>
      <c r="CE32" s="507">
        <f>Габариты!DG82</f>
        <v>0</v>
      </c>
      <c r="CF32" s="507">
        <f>Габариты!DI82</f>
        <v>0</v>
      </c>
      <c r="CG32" s="507">
        <f>Габариты!DJ82</f>
        <v>0</v>
      </c>
      <c r="CH32" s="507">
        <f>Габариты!DL82</f>
        <v>0</v>
      </c>
      <c r="CI32" s="507">
        <f>Габариты!DM82</f>
        <v>0</v>
      </c>
      <c r="CK32" s="979" t="str">
        <f>_xlfn.IFNA(VLOOKUP(Бланк!E32,'Замена SE на LS'!$C:$E,3,FALSE),"")</f>
        <v/>
      </c>
      <c r="CZ32" s="1034"/>
    </row>
    <row r="33" spans="2:104" ht="18" x14ac:dyDescent="0.25">
      <c r="B33" s="86"/>
      <c r="C33" s="87"/>
      <c r="D33" s="87"/>
      <c r="E33" s="87"/>
      <c r="F33" s="87"/>
      <c r="G33" s="87"/>
      <c r="H33" s="87"/>
      <c r="I33" s="86"/>
      <c r="J33" s="86"/>
      <c r="K33" s="86"/>
      <c r="L33" s="86"/>
      <c r="M33" s="86"/>
      <c r="N33" s="86"/>
      <c r="O33" s="86"/>
      <c r="P33" s="488"/>
      <c r="Q33" s="314"/>
      <c r="U33" s="71"/>
      <c r="V33" s="476"/>
      <c r="W33" s="482" t="s">
        <v>851</v>
      </c>
      <c r="X33" s="504">
        <f>Габариты!CK27</f>
        <v>0</v>
      </c>
      <c r="Y33" s="504">
        <f>Габариты!CL27</f>
        <v>0</v>
      </c>
      <c r="Z33" s="504">
        <f>Габариты!CN27</f>
        <v>0</v>
      </c>
      <c r="AA33" s="504">
        <f>Габариты!CO27</f>
        <v>0</v>
      </c>
      <c r="AB33" s="504">
        <f>Габариты!CQ27</f>
        <v>0</v>
      </c>
      <c r="AC33" s="504">
        <f>Габариты!CR27</f>
        <v>0</v>
      </c>
      <c r="AD33" s="504">
        <f>Габариты!CT27</f>
        <v>0</v>
      </c>
      <c r="AE33" s="504">
        <f>Габариты!CU27</f>
        <v>0</v>
      </c>
      <c r="AF33" s="504">
        <f>Габариты!CW27</f>
        <v>0</v>
      </c>
      <c r="AG33" s="504">
        <f>Габариты!CX27</f>
        <v>0</v>
      </c>
      <c r="AH33" s="504">
        <f>Габариты!CZ27</f>
        <v>0</v>
      </c>
      <c r="AI33" s="504">
        <f>Габариты!DA27</f>
        <v>0</v>
      </c>
      <c r="AJ33" s="504">
        <f>Габариты!DC27</f>
        <v>0</v>
      </c>
      <c r="AK33" s="504">
        <f>Габариты!DD27</f>
        <v>0</v>
      </c>
      <c r="AL33" s="504">
        <f>Габариты!DF27</f>
        <v>0</v>
      </c>
      <c r="AM33" s="504">
        <f>Габариты!DG27</f>
        <v>0</v>
      </c>
      <c r="AN33" s="504">
        <f>Габариты!DI27</f>
        <v>0</v>
      </c>
      <c r="AO33" s="504">
        <f>Габариты!DJ27</f>
        <v>0</v>
      </c>
      <c r="AP33" s="504">
        <f>Габариты!DL27</f>
        <v>0</v>
      </c>
      <c r="AQ33" s="504">
        <f>Габариты!DM27</f>
        <v>0</v>
      </c>
      <c r="AR33" s="82"/>
      <c r="AS33" s="484"/>
      <c r="AT33" s="485"/>
      <c r="AU33" s="485"/>
      <c r="AV33" s="485"/>
      <c r="AW33" s="485"/>
      <c r="AX33" s="485"/>
      <c r="AY33" s="485"/>
      <c r="AZ33" s="485"/>
      <c r="BA33" s="485"/>
      <c r="BB33" s="485"/>
      <c r="BC33" s="485"/>
      <c r="BD33" s="485"/>
      <c r="BE33" s="485"/>
      <c r="BF33" s="485"/>
      <c r="BG33" s="485"/>
      <c r="BH33" s="485"/>
      <c r="BI33" s="485"/>
      <c r="BJ33" s="485"/>
      <c r="BK33" s="485"/>
      <c r="BL33" s="485"/>
      <c r="BM33" s="485"/>
      <c r="BN33" s="82"/>
      <c r="BO33" s="484"/>
      <c r="BP33" s="485"/>
      <c r="BQ33" s="485"/>
      <c r="BR33" s="485"/>
      <c r="BS33" s="485"/>
      <c r="BT33" s="485"/>
      <c r="BU33" s="485"/>
      <c r="BV33" s="485"/>
      <c r="BW33" s="485"/>
      <c r="BX33" s="485"/>
      <c r="BY33" s="485"/>
      <c r="BZ33" s="485"/>
      <c r="CA33" s="485"/>
      <c r="CB33" s="485"/>
      <c r="CC33" s="485"/>
      <c r="CD33" s="485"/>
      <c r="CE33" s="485"/>
      <c r="CF33" s="485"/>
      <c r="CG33" s="485"/>
      <c r="CH33" s="485"/>
      <c r="CI33" s="485"/>
      <c r="CZ33"/>
    </row>
    <row r="34" spans="2:104" ht="18" customHeight="1" x14ac:dyDescent="0.25">
      <c r="B34" s="1090" t="s">
        <v>102</v>
      </c>
      <c r="C34" s="1090"/>
      <c r="D34" s="1090"/>
      <c r="E34" s="923" t="str">
        <f>Бланк!E34</f>
        <v>-</v>
      </c>
      <c r="F34" s="87"/>
      <c r="G34" s="87"/>
      <c r="I34" s="1149" t="s">
        <v>325</v>
      </c>
      <c r="J34" s="1149"/>
      <c r="K34" s="1149"/>
      <c r="L34" s="1149"/>
      <c r="M34" s="1149"/>
      <c r="N34" s="1149"/>
      <c r="O34" s="1149"/>
      <c r="P34" s="490"/>
      <c r="Q34" s="315"/>
      <c r="U34" s="71"/>
      <c r="V34" s="476"/>
      <c r="W34" s="482" t="s">
        <v>468</v>
      </c>
      <c r="X34" s="1508">
        <f>Габариты!CL29</f>
        <v>216</v>
      </c>
      <c r="Y34" s="1509"/>
      <c r="Z34" s="1508">
        <f>Габариты!CO29</f>
        <v>0</v>
      </c>
      <c r="AA34" s="1509"/>
      <c r="AB34" s="1508">
        <f>Габариты!CR29</f>
        <v>0</v>
      </c>
      <c r="AC34" s="1509"/>
      <c r="AD34" s="1508">
        <f>Габариты!CU29</f>
        <v>0</v>
      </c>
      <c r="AE34" s="1509"/>
      <c r="AF34" s="1508">
        <f>Габариты!CX29</f>
        <v>0</v>
      </c>
      <c r="AG34" s="1509"/>
      <c r="AH34" s="1508">
        <f>Габариты!DA29</f>
        <v>0</v>
      </c>
      <c r="AI34" s="1509"/>
      <c r="AJ34" s="1508">
        <f>Габариты!DD29</f>
        <v>0</v>
      </c>
      <c r="AK34" s="1509"/>
      <c r="AL34" s="1508">
        <f>Габариты!DG29</f>
        <v>0</v>
      </c>
      <c r="AM34" s="1509"/>
      <c r="AN34" s="1508">
        <f>Габариты!DJ29</f>
        <v>0</v>
      </c>
      <c r="AO34" s="1509"/>
      <c r="AP34" s="1508">
        <f>Габариты!DM29</f>
        <v>0</v>
      </c>
      <c r="AQ34" s="1509"/>
      <c r="AR34" s="82"/>
      <c r="AS34" s="482" t="s">
        <v>468</v>
      </c>
      <c r="AT34" s="1508">
        <f>SUM(AU14:AU33)</f>
        <v>0</v>
      </c>
      <c r="AU34" s="1509"/>
      <c r="AV34" s="1508">
        <f>SUM(AW14:AW33)</f>
        <v>0</v>
      </c>
      <c r="AW34" s="1509"/>
      <c r="AX34" s="1508">
        <f>SUM(AY14:AY33)</f>
        <v>0</v>
      </c>
      <c r="AY34" s="1509"/>
      <c r="AZ34" s="1508">
        <f>SUM(BA14:BA33)</f>
        <v>0</v>
      </c>
      <c r="BA34" s="1509"/>
      <c r="BB34" s="1508">
        <f>SUM(BC14:BC33)</f>
        <v>0</v>
      </c>
      <c r="BC34" s="1509"/>
      <c r="BD34" s="1508">
        <f>SUM(BE14:BE33)</f>
        <v>0</v>
      </c>
      <c r="BE34" s="1509"/>
      <c r="BF34" s="1508">
        <f>SUM(BG14:BG33)</f>
        <v>0</v>
      </c>
      <c r="BG34" s="1509"/>
      <c r="BH34" s="1508">
        <f>SUM(BI14:BI33)</f>
        <v>0</v>
      </c>
      <c r="BI34" s="1509"/>
      <c r="BJ34" s="1508">
        <f>SUM(BK14:BK33)</f>
        <v>0</v>
      </c>
      <c r="BK34" s="1509"/>
      <c r="BL34" s="1508">
        <f>SUM(BM14:BM33)</f>
        <v>0</v>
      </c>
      <c r="BM34" s="1509"/>
      <c r="BN34" s="82"/>
      <c r="BO34" s="482" t="s">
        <v>468</v>
      </c>
      <c r="BP34" s="1508">
        <f>Габариты!CL83</f>
        <v>0</v>
      </c>
      <c r="BQ34" s="1509"/>
      <c r="BR34" s="1508">
        <f>Габариты!CO83</f>
        <v>0</v>
      </c>
      <c r="BS34" s="1509"/>
      <c r="BT34" s="1508">
        <f>Габариты!CR83</f>
        <v>0</v>
      </c>
      <c r="BU34" s="1509"/>
      <c r="BV34" s="1508">
        <f>Габариты!CU83</f>
        <v>0</v>
      </c>
      <c r="BW34" s="1509"/>
      <c r="BX34" s="1508">
        <f>Габариты!CX83</f>
        <v>0</v>
      </c>
      <c r="BY34" s="1509"/>
      <c r="BZ34" s="1508">
        <f>Габариты!DA83</f>
        <v>0</v>
      </c>
      <c r="CA34" s="1509"/>
      <c r="CB34" s="1508">
        <f>Габариты!DD83</f>
        <v>0</v>
      </c>
      <c r="CC34" s="1509"/>
      <c r="CD34" s="1508">
        <f>Габариты!DG83</f>
        <v>0</v>
      </c>
      <c r="CE34" s="1509"/>
      <c r="CF34" s="1508">
        <f>Габариты!DJ83</f>
        <v>0</v>
      </c>
      <c r="CG34" s="1509"/>
      <c r="CH34" s="1508">
        <f>Габариты!DM83</f>
        <v>0</v>
      </c>
      <c r="CI34" s="1509"/>
      <c r="CZ34"/>
    </row>
    <row r="35" spans="2:104" ht="18" x14ac:dyDescent="0.25">
      <c r="B35" s="1090" t="s">
        <v>82</v>
      </c>
      <c r="C35" s="1090"/>
      <c r="D35" s="1090"/>
      <c r="E35" s="923" t="str">
        <f ca="1">Бланк!E35</f>
        <v>Навесное</v>
      </c>
      <c r="F35" s="86"/>
      <c r="G35" s="86"/>
      <c r="H35" s="140"/>
      <c r="I35" s="1149"/>
      <c r="J35" s="1149"/>
      <c r="K35" s="1149"/>
      <c r="L35" s="1149"/>
      <c r="M35" s="1149"/>
      <c r="N35" s="1149"/>
      <c r="O35" s="1149"/>
      <c r="P35" s="490"/>
      <c r="Q35" s="315"/>
      <c r="V35" s="474"/>
      <c r="CZ35"/>
    </row>
    <row r="36" spans="2:104" ht="18" x14ac:dyDescent="0.25">
      <c r="B36" s="1090" t="s">
        <v>31</v>
      </c>
      <c r="C36" s="1090"/>
      <c r="D36" s="1090"/>
      <c r="E36" s="923" t="str">
        <f>Бланк!E36</f>
        <v>IP41</v>
      </c>
      <c r="F36" s="86"/>
      <c r="G36" s="86"/>
      <c r="H36" s="140"/>
      <c r="I36" s="1149"/>
      <c r="J36" s="1149"/>
      <c r="K36" s="1149"/>
      <c r="L36" s="1149"/>
      <c r="M36" s="1149"/>
      <c r="N36" s="1149"/>
      <c r="O36" s="1149"/>
      <c r="P36" s="490"/>
      <c r="Q36" s="315"/>
      <c r="V36" s="474"/>
      <c r="CZ36"/>
    </row>
    <row r="37" spans="2:104" ht="18" customHeight="1" x14ac:dyDescent="0.25">
      <c r="B37" s="86"/>
      <c r="C37" s="90"/>
      <c r="D37" s="90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491"/>
      <c r="Q37" s="316"/>
      <c r="CZ37"/>
    </row>
    <row r="38" spans="2:104" ht="18" customHeight="1" x14ac:dyDescent="0.25">
      <c r="B38" s="91" t="s">
        <v>167</v>
      </c>
      <c r="C38" s="86"/>
      <c r="D38" s="90"/>
      <c r="E38" s="472"/>
      <c r="G38" s="86"/>
      <c r="H38" s="86"/>
      <c r="I38" s="86"/>
      <c r="J38" s="86"/>
      <c r="K38" s="86"/>
      <c r="L38" s="86"/>
      <c r="M38" s="86"/>
      <c r="N38" s="86"/>
      <c r="O38" s="86"/>
      <c r="P38" s="486"/>
      <c r="Q38" s="316"/>
      <c r="CZ38"/>
    </row>
    <row r="39" spans="2:104" ht="36" customHeight="1" x14ac:dyDescent="0.2">
      <c r="B39" s="1154">
        <f>Бланк!B39</f>
        <v>0</v>
      </c>
      <c r="C39" s="1154"/>
      <c r="D39" s="1154"/>
      <c r="E39" s="1154"/>
      <c r="F39" s="1154"/>
      <c r="G39" s="1154"/>
      <c r="H39" s="1154"/>
      <c r="I39" s="1154"/>
      <c r="J39" s="1154"/>
      <c r="K39" s="1154"/>
      <c r="L39" s="1154"/>
      <c r="M39" s="1154"/>
      <c r="N39" s="1154"/>
      <c r="O39" s="1154"/>
      <c r="P39" s="486"/>
      <c r="Q39" s="316"/>
      <c r="CZ39"/>
    </row>
    <row r="40" spans="2:104" ht="18" customHeight="1" x14ac:dyDescent="0.2">
      <c r="B40" s="92"/>
      <c r="C40" s="92"/>
      <c r="D40" s="92"/>
      <c r="E40" s="92"/>
      <c r="F40" s="92"/>
      <c r="G40" s="92"/>
      <c r="H40" s="92"/>
      <c r="I40" s="92"/>
      <c r="J40" s="92"/>
      <c r="P40" s="486"/>
      <c r="Q40" s="316"/>
      <c r="CZ40"/>
    </row>
    <row r="41" spans="2:104" ht="18" customHeight="1" x14ac:dyDescent="0.25">
      <c r="B41" s="88" t="s">
        <v>272</v>
      </c>
      <c r="C41" s="923" t="str">
        <f>Бланк!C41</f>
        <v>ЩР</v>
      </c>
      <c r="D41" s="90"/>
      <c r="E41" s="86"/>
      <c r="F41" s="86"/>
      <c r="G41" s="86"/>
      <c r="H41" s="93"/>
      <c r="I41" s="85"/>
      <c r="J41" s="82"/>
      <c r="K41" s="82"/>
      <c r="L41" s="82"/>
      <c r="M41" s="82"/>
      <c r="N41" s="82"/>
      <c r="O41" s="82"/>
      <c r="P41" s="486"/>
      <c r="Q41" s="316"/>
      <c r="CZ41"/>
    </row>
    <row r="42" spans="2:104" ht="18" x14ac:dyDescent="0.25">
      <c r="B42" s="88" t="s">
        <v>32</v>
      </c>
      <c r="C42" s="923" t="str">
        <f>Бланк!C42</f>
        <v>УХЛ3</v>
      </c>
      <c r="D42" s="90"/>
      <c r="E42" s="86"/>
      <c r="F42" s="86"/>
      <c r="G42" s="86"/>
      <c r="H42" s="86"/>
      <c r="I42" s="85"/>
      <c r="P42" s="486"/>
      <c r="Q42" s="316"/>
      <c r="CZ42"/>
    </row>
    <row r="43" spans="2:104" ht="18" x14ac:dyDescent="0.25">
      <c r="B43" s="88" t="s">
        <v>284</v>
      </c>
      <c r="C43" s="923" t="str">
        <f>Бланк!C43</f>
        <v>Типовое</v>
      </c>
      <c r="D43" s="90"/>
      <c r="E43" s="86"/>
      <c r="F43" s="86"/>
      <c r="G43" s="86"/>
      <c r="H43" s="86"/>
      <c r="I43" s="94"/>
      <c r="P43" s="477"/>
      <c r="Q43" s="311"/>
      <c r="CZ43"/>
    </row>
    <row r="44" spans="2:104" ht="18" customHeight="1" x14ac:dyDescent="0.25">
      <c r="B44" s="182"/>
      <c r="C44" s="183"/>
      <c r="D44" s="183"/>
      <c r="F44" s="129"/>
      <c r="G44" s="129"/>
      <c r="CZ44"/>
    </row>
    <row r="45" spans="2:104" ht="18" x14ac:dyDescent="0.25">
      <c r="B45" s="1148" t="s">
        <v>532</v>
      </c>
      <c r="C45" s="1148"/>
      <c r="I45" s="82"/>
      <c r="J45" s="82"/>
      <c r="K45" s="82"/>
      <c r="L45" s="82"/>
      <c r="M45" s="82"/>
      <c r="N45" s="82"/>
      <c r="O45" s="82"/>
      <c r="CZ45"/>
    </row>
    <row r="46" spans="2:104" ht="18" customHeight="1" x14ac:dyDescent="0.25">
      <c r="B46" s="1146" t="s">
        <v>841</v>
      </c>
      <c r="C46" s="1121">
        <f>Габариты!H49</f>
        <v>0</v>
      </c>
      <c r="I46" s="82"/>
      <c r="J46" s="82"/>
      <c r="K46" s="82"/>
      <c r="L46" s="82"/>
      <c r="M46" s="82"/>
      <c r="N46" s="82"/>
      <c r="O46" s="82"/>
      <c r="CZ46"/>
    </row>
    <row r="47" spans="2:104" ht="18" customHeight="1" x14ac:dyDescent="0.25">
      <c r="B47" s="1147"/>
      <c r="C47" s="1122"/>
      <c r="D47" s="8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CZ47"/>
    </row>
    <row r="48" spans="2:104" ht="18" customHeight="1" x14ac:dyDescent="0.2">
      <c r="B48" s="1146" t="s">
        <v>842</v>
      </c>
      <c r="C48" s="1121" t="str">
        <f>Габариты!I49 &amp; " (" &amp; Габариты!J49 &amp; ")"</f>
        <v>0 (0)</v>
      </c>
      <c r="CZ48"/>
    </row>
    <row r="49" spans="2:104" ht="18" customHeight="1" x14ac:dyDescent="0.2">
      <c r="B49" s="1147"/>
      <c r="C49" s="1122"/>
      <c r="CZ49"/>
    </row>
    <row r="50" spans="2:104" ht="18" customHeight="1" x14ac:dyDescent="0.2">
      <c r="B50" s="1146" t="s">
        <v>848</v>
      </c>
      <c r="C50" s="1121">
        <f>Габариты!H58</f>
        <v>0</v>
      </c>
      <c r="CZ50"/>
    </row>
    <row r="51" spans="2:104" ht="18" customHeight="1" x14ac:dyDescent="0.2">
      <c r="B51" s="1147"/>
      <c r="C51" s="1122"/>
      <c r="CZ51"/>
    </row>
    <row r="52" spans="2:104" ht="18" customHeight="1" x14ac:dyDescent="0.2">
      <c r="B52" s="1146" t="s">
        <v>847</v>
      </c>
      <c r="C52" s="1121" t="str">
        <f>Габариты!I58 &amp; " (" &amp; Габариты!J58 &amp; ")"</f>
        <v>0 (0)</v>
      </c>
      <c r="CZ52"/>
    </row>
    <row r="53" spans="2:104" ht="18" customHeight="1" x14ac:dyDescent="0.2">
      <c r="B53" s="1147"/>
      <c r="C53" s="1122"/>
      <c r="CZ53"/>
    </row>
    <row r="54" spans="2:104" ht="18" customHeight="1" x14ac:dyDescent="0.2">
      <c r="B54" s="1146" t="s">
        <v>434</v>
      </c>
      <c r="C54" s="1121">
        <f>Габариты!H66</f>
        <v>1</v>
      </c>
      <c r="CZ54"/>
    </row>
    <row r="55" spans="2:104" ht="18" customHeight="1" x14ac:dyDescent="0.25">
      <c r="B55" s="1147"/>
      <c r="C55" s="1122"/>
      <c r="D55" s="82"/>
      <c r="E55" s="82"/>
      <c r="F55" s="82"/>
      <c r="CZ55"/>
    </row>
    <row r="56" spans="2:104" ht="18" customHeight="1" x14ac:dyDescent="0.25">
      <c r="B56" s="1146" t="s">
        <v>530</v>
      </c>
      <c r="C56" s="1121" t="str">
        <f>Габариты!I66 &amp; " (" &amp; Габариты!J66 &amp; ")"</f>
        <v>63 (7)</v>
      </c>
      <c r="D56" s="82"/>
      <c r="E56" s="82"/>
      <c r="CZ56"/>
    </row>
    <row r="57" spans="2:104" ht="18" customHeight="1" x14ac:dyDescent="0.2">
      <c r="B57" s="1147"/>
      <c r="C57" s="1122"/>
      <c r="CZ57"/>
    </row>
    <row r="58" spans="2:104" ht="18" customHeight="1" x14ac:dyDescent="0.2">
      <c r="CZ58"/>
    </row>
    <row r="59" spans="2:104" ht="18" customHeight="1" x14ac:dyDescent="0.2">
      <c r="B59" s="455" t="s">
        <v>832</v>
      </c>
      <c r="C59" s="456"/>
      <c r="CZ59"/>
    </row>
    <row r="60" spans="2:104" ht="18" customHeight="1" x14ac:dyDescent="0.25">
      <c r="B60" s="88" t="s">
        <v>815</v>
      </c>
      <c r="C60" s="89">
        <f ca="1">D!BP$129</f>
        <v>88</v>
      </c>
      <c r="Z60" s="77"/>
      <c r="AA60" s="77"/>
      <c r="CZ60"/>
    </row>
    <row r="61" spans="2:104" ht="18" customHeight="1" x14ac:dyDescent="0.25">
      <c r="B61" s="88" t="s">
        <v>816</v>
      </c>
      <c r="C61" s="89">
        <f ca="1">D!BQ$129</f>
        <v>88</v>
      </c>
      <c r="X61" s="77"/>
      <c r="Y61" s="77"/>
      <c r="CZ61"/>
    </row>
    <row r="62" spans="2:104" ht="18" customHeight="1" x14ac:dyDescent="0.25">
      <c r="B62" s="88" t="s">
        <v>817</v>
      </c>
      <c r="C62" s="89">
        <f ca="1">D!BR$129</f>
        <v>88</v>
      </c>
      <c r="CZ62"/>
    </row>
    <row r="63" spans="2:104" ht="18" customHeight="1" x14ac:dyDescent="0.2">
      <c r="CZ63"/>
    </row>
    <row r="64" spans="2:104" ht="18" customHeight="1" x14ac:dyDescent="0.2">
      <c r="CZ64"/>
    </row>
    <row r="65" spans="18:104" ht="18" customHeight="1" x14ac:dyDescent="0.2">
      <c r="CZ65"/>
    </row>
    <row r="66" spans="18:104" ht="18" customHeight="1" x14ac:dyDescent="0.2">
      <c r="CZ66"/>
    </row>
    <row r="67" spans="18:104" ht="18" customHeight="1" x14ac:dyDescent="0.2">
      <c r="CZ67"/>
    </row>
    <row r="68" spans="18:104" ht="18" customHeight="1" x14ac:dyDescent="0.2">
      <c r="CZ68"/>
    </row>
    <row r="69" spans="18:104" x14ac:dyDescent="0.2">
      <c r="CZ69"/>
    </row>
    <row r="70" spans="18:104" x14ac:dyDescent="0.2">
      <c r="CZ70"/>
    </row>
    <row r="71" spans="18:104" x14ac:dyDescent="0.2">
      <c r="CZ71"/>
    </row>
    <row r="72" spans="18:104" x14ac:dyDescent="0.2">
      <c r="CZ72"/>
    </row>
    <row r="73" spans="18:104" x14ac:dyDescent="0.2">
      <c r="CZ73"/>
    </row>
    <row r="74" spans="18:104" x14ac:dyDescent="0.2">
      <c r="CZ74"/>
    </row>
    <row r="75" spans="18:104" x14ac:dyDescent="0.2">
      <c r="CZ75"/>
    </row>
    <row r="76" spans="18:104" x14ac:dyDescent="0.2">
      <c r="CZ76"/>
    </row>
    <row r="77" spans="18:104" x14ac:dyDescent="0.2">
      <c r="CZ77"/>
    </row>
    <row r="78" spans="18:104" x14ac:dyDescent="0.2">
      <c r="R78" s="71"/>
      <c r="S78" s="72"/>
      <c r="T78" s="72"/>
      <c r="CZ78"/>
    </row>
    <row r="79" spans="18:104" x14ac:dyDescent="0.2">
      <c r="R79" s="72"/>
      <c r="S79" s="71"/>
      <c r="T79" s="72"/>
      <c r="CZ79"/>
    </row>
    <row r="80" spans="18:104" x14ac:dyDescent="0.2">
      <c r="R80" s="72"/>
      <c r="S80" s="71"/>
      <c r="T80" s="72"/>
      <c r="CZ80"/>
    </row>
    <row r="81" spans="18:104" x14ac:dyDescent="0.2">
      <c r="R81" s="72"/>
      <c r="S81" s="71"/>
      <c r="T81" s="72"/>
      <c r="CZ81"/>
    </row>
    <row r="82" spans="18:104" x14ac:dyDescent="0.2">
      <c r="R82" s="72"/>
      <c r="S82" s="71"/>
      <c r="T82" s="72"/>
      <c r="CZ82"/>
    </row>
    <row r="83" spans="18:104" x14ac:dyDescent="0.2">
      <c r="R83" s="72"/>
      <c r="S83" s="71"/>
      <c r="T83" s="72"/>
      <c r="CZ83"/>
    </row>
    <row r="84" spans="18:104" x14ac:dyDescent="0.2">
      <c r="R84" s="72"/>
      <c r="S84" s="71"/>
      <c r="T84" s="72"/>
      <c r="CZ84"/>
    </row>
    <row r="85" spans="18:104" x14ac:dyDescent="0.2">
      <c r="R85" s="72"/>
      <c r="S85" s="71"/>
      <c r="T85" s="72"/>
      <c r="CZ85"/>
    </row>
    <row r="86" spans="18:104" x14ac:dyDescent="0.2">
      <c r="R86" s="72"/>
      <c r="S86" s="71"/>
      <c r="T86" s="72"/>
      <c r="CZ86"/>
    </row>
    <row r="87" spans="18:104" x14ac:dyDescent="0.2">
      <c r="R87" s="72"/>
      <c r="S87" s="72"/>
      <c r="T87" s="72"/>
      <c r="CZ87"/>
    </row>
    <row r="88" spans="18:104" x14ac:dyDescent="0.2">
      <c r="R88" s="72"/>
      <c r="S88" s="71"/>
      <c r="T88" s="72"/>
      <c r="CZ88"/>
    </row>
    <row r="89" spans="18:104" x14ac:dyDescent="0.2">
      <c r="R89" s="72"/>
      <c r="S89" s="71"/>
      <c r="T89" s="72"/>
      <c r="CZ89"/>
    </row>
    <row r="90" spans="18:104" x14ac:dyDescent="0.2">
      <c r="R90" s="72"/>
      <c r="S90" s="71"/>
      <c r="T90" s="72"/>
      <c r="CZ90"/>
    </row>
    <row r="91" spans="18:104" x14ac:dyDescent="0.2">
      <c r="R91" s="72"/>
      <c r="S91" s="71"/>
      <c r="T91" s="72"/>
      <c r="CZ91"/>
    </row>
    <row r="92" spans="18:104" x14ac:dyDescent="0.2">
      <c r="R92" s="72"/>
      <c r="S92" s="71"/>
      <c r="T92" s="72"/>
      <c r="CZ92"/>
    </row>
    <row r="93" spans="18:104" x14ac:dyDescent="0.2">
      <c r="R93" s="72"/>
      <c r="S93" s="71"/>
      <c r="T93" s="72"/>
      <c r="CZ93"/>
    </row>
    <row r="94" spans="18:104" x14ac:dyDescent="0.2">
      <c r="R94" s="72"/>
      <c r="S94" s="71"/>
      <c r="T94" s="72"/>
      <c r="CZ94"/>
    </row>
    <row r="95" spans="18:104" x14ac:dyDescent="0.2">
      <c r="R95" s="72"/>
      <c r="S95" s="71"/>
      <c r="T95" s="72"/>
      <c r="CZ95"/>
    </row>
    <row r="96" spans="18:104" x14ac:dyDescent="0.2">
      <c r="R96" s="72"/>
      <c r="S96" s="72"/>
      <c r="T96" s="72"/>
      <c r="CZ96"/>
    </row>
    <row r="97" spans="18:104" x14ac:dyDescent="0.2">
      <c r="R97" s="72"/>
      <c r="S97" s="71"/>
      <c r="T97" s="72"/>
      <c r="CZ97"/>
    </row>
    <row r="98" spans="18:104" x14ac:dyDescent="0.2">
      <c r="R98" s="72"/>
      <c r="S98" s="71"/>
      <c r="T98" s="72"/>
      <c r="CZ98"/>
    </row>
    <row r="99" spans="18:104" x14ac:dyDescent="0.2">
      <c r="R99" s="72"/>
      <c r="S99" s="71"/>
      <c r="T99" s="72"/>
      <c r="CZ99"/>
    </row>
    <row r="100" spans="18:104" x14ac:dyDescent="0.2">
      <c r="R100" s="72"/>
      <c r="S100" s="71"/>
      <c r="T100" s="72"/>
      <c r="CZ100"/>
    </row>
    <row r="101" spans="18:104" x14ac:dyDescent="0.2">
      <c r="R101" s="72"/>
      <c r="S101" s="71"/>
      <c r="T101" s="72"/>
      <c r="CZ101"/>
    </row>
    <row r="102" spans="18:104" x14ac:dyDescent="0.2">
      <c r="R102" s="72"/>
      <c r="S102" s="71"/>
      <c r="T102" s="72"/>
      <c r="CZ102"/>
    </row>
    <row r="103" spans="18:104" x14ac:dyDescent="0.2">
      <c r="R103" s="72"/>
      <c r="S103" s="71"/>
      <c r="T103" s="72"/>
      <c r="CZ103"/>
    </row>
    <row r="104" spans="18:104" x14ac:dyDescent="0.2">
      <c r="R104" s="72"/>
      <c r="S104" s="71"/>
      <c r="T104" s="72"/>
      <c r="CZ104"/>
    </row>
    <row r="105" spans="18:104" x14ac:dyDescent="0.2">
      <c r="R105" s="72"/>
      <c r="S105" s="72"/>
      <c r="T105" s="72"/>
      <c r="CZ105"/>
    </row>
    <row r="106" spans="18:104" x14ac:dyDescent="0.2">
      <c r="R106" s="72"/>
      <c r="S106" s="71"/>
      <c r="T106" s="72"/>
      <c r="CZ106"/>
    </row>
    <row r="107" spans="18:104" x14ac:dyDescent="0.2">
      <c r="R107" s="72"/>
      <c r="S107" s="71"/>
      <c r="T107" s="72"/>
      <c r="CZ107"/>
    </row>
    <row r="108" spans="18:104" x14ac:dyDescent="0.2">
      <c r="R108" s="72"/>
      <c r="S108" s="71"/>
      <c r="T108" s="72"/>
      <c r="CZ108"/>
    </row>
    <row r="109" spans="18:104" x14ac:dyDescent="0.2">
      <c r="R109" s="72"/>
      <c r="S109" s="71"/>
      <c r="T109" s="72"/>
      <c r="CZ109"/>
    </row>
    <row r="110" spans="18:104" x14ac:dyDescent="0.2">
      <c r="R110" s="72"/>
      <c r="S110" s="71"/>
      <c r="T110" s="72"/>
      <c r="CZ110"/>
    </row>
    <row r="111" spans="18:104" x14ac:dyDescent="0.2">
      <c r="R111" s="72"/>
      <c r="S111" s="71"/>
      <c r="T111" s="72"/>
      <c r="CZ111"/>
    </row>
    <row r="112" spans="18:104" x14ac:dyDescent="0.2">
      <c r="R112" s="72"/>
      <c r="S112" s="71"/>
      <c r="T112" s="72"/>
      <c r="CZ112"/>
    </row>
    <row r="113" spans="18:104" x14ac:dyDescent="0.2">
      <c r="R113" s="72"/>
      <c r="S113" s="71"/>
      <c r="T113" s="72"/>
      <c r="CZ113"/>
    </row>
    <row r="114" spans="18:104" x14ac:dyDescent="0.2">
      <c r="R114" s="72"/>
      <c r="S114" s="72"/>
      <c r="T114" s="72"/>
      <c r="CZ114"/>
    </row>
    <row r="115" spans="18:104" x14ac:dyDescent="0.2">
      <c r="R115" s="72"/>
      <c r="S115" s="71"/>
      <c r="T115" s="72"/>
      <c r="CZ115"/>
    </row>
    <row r="116" spans="18:104" x14ac:dyDescent="0.2">
      <c r="R116" s="72"/>
      <c r="S116" s="71"/>
      <c r="T116" s="72"/>
      <c r="CZ116"/>
    </row>
    <row r="117" spans="18:104" x14ac:dyDescent="0.2">
      <c r="R117" s="72"/>
      <c r="S117" s="71"/>
      <c r="T117" s="72"/>
      <c r="CZ117"/>
    </row>
    <row r="118" spans="18:104" x14ac:dyDescent="0.2">
      <c r="R118" s="72"/>
      <c r="S118" s="71"/>
      <c r="T118" s="72"/>
      <c r="CZ118"/>
    </row>
    <row r="119" spans="18:104" x14ac:dyDescent="0.2">
      <c r="R119" s="72"/>
      <c r="S119" s="71"/>
      <c r="T119" s="72"/>
    </row>
    <row r="120" spans="18:104" x14ac:dyDescent="0.2">
      <c r="R120" s="72"/>
      <c r="S120" s="71"/>
      <c r="T120" s="72"/>
    </row>
    <row r="121" spans="18:104" x14ac:dyDescent="0.2">
      <c r="R121" s="72"/>
      <c r="S121" s="71"/>
      <c r="T121" s="72"/>
    </row>
    <row r="122" spans="18:104" x14ac:dyDescent="0.2">
      <c r="R122" s="72"/>
      <c r="S122" s="71"/>
      <c r="T122" s="72"/>
    </row>
    <row r="123" spans="18:104" x14ac:dyDescent="0.2">
      <c r="R123" s="72"/>
      <c r="S123" s="72"/>
      <c r="T123" s="72"/>
    </row>
    <row r="124" spans="18:104" x14ac:dyDescent="0.2">
      <c r="R124" s="72"/>
      <c r="S124" s="71"/>
      <c r="T124" s="72"/>
    </row>
    <row r="125" spans="18:104" x14ac:dyDescent="0.2">
      <c r="R125" s="72"/>
      <c r="S125" s="71"/>
      <c r="T125" s="72"/>
    </row>
    <row r="126" spans="18:104" x14ac:dyDescent="0.2">
      <c r="R126" s="76"/>
      <c r="T126" s="76"/>
    </row>
    <row r="127" spans="18:104" x14ac:dyDescent="0.2">
      <c r="R127" s="76"/>
      <c r="T127" s="76"/>
    </row>
    <row r="128" spans="18:104" x14ac:dyDescent="0.2">
      <c r="R128" s="76"/>
      <c r="T128" s="76"/>
    </row>
    <row r="129" spans="18:20" x14ac:dyDescent="0.2">
      <c r="R129" s="76"/>
      <c r="T129" s="76"/>
    </row>
    <row r="130" spans="18:20" x14ac:dyDescent="0.2">
      <c r="R130" s="76"/>
      <c r="T130" s="76"/>
    </row>
    <row r="131" spans="18:20" x14ac:dyDescent="0.2">
      <c r="R131" s="76"/>
      <c r="T131" s="76"/>
    </row>
  </sheetData>
  <dataConsolidate/>
  <mergeCells count="114">
    <mergeCell ref="B52:B53"/>
    <mergeCell ref="C52:C53"/>
    <mergeCell ref="B54:B55"/>
    <mergeCell ref="C54:C55"/>
    <mergeCell ref="B56:B57"/>
    <mergeCell ref="C56:C57"/>
    <mergeCell ref="B46:B47"/>
    <mergeCell ref="C46:C47"/>
    <mergeCell ref="B48:B49"/>
    <mergeCell ref="C48:C49"/>
    <mergeCell ref="B50:B51"/>
    <mergeCell ref="C50:C51"/>
    <mergeCell ref="B45:C45"/>
    <mergeCell ref="CF34:CG34"/>
    <mergeCell ref="CH34:CI34"/>
    <mergeCell ref="B35:D35"/>
    <mergeCell ref="B36:D36"/>
    <mergeCell ref="B39:O39"/>
    <mergeCell ref="BT34:BU34"/>
    <mergeCell ref="BV34:BW34"/>
    <mergeCell ref="BX34:BY34"/>
    <mergeCell ref="BZ34:CA34"/>
    <mergeCell ref="CB34:CC34"/>
    <mergeCell ref="CD34:CE34"/>
    <mergeCell ref="BF34:BG34"/>
    <mergeCell ref="BH34:BI34"/>
    <mergeCell ref="BJ34:BK34"/>
    <mergeCell ref="BL34:BM34"/>
    <mergeCell ref="BP34:BQ34"/>
    <mergeCell ref="BR34:BS34"/>
    <mergeCell ref="AT34:AU34"/>
    <mergeCell ref="AV34:AW34"/>
    <mergeCell ref="AX34:AY34"/>
    <mergeCell ref="AZ34:BA34"/>
    <mergeCell ref="BX9:BY9"/>
    <mergeCell ref="BZ9:CA9"/>
    <mergeCell ref="CB9:CC9"/>
    <mergeCell ref="CD9:CE9"/>
    <mergeCell ref="BH9:BI9"/>
    <mergeCell ref="BJ9:BK9"/>
    <mergeCell ref="BL9:BM9"/>
    <mergeCell ref="BO9:BO10"/>
    <mergeCell ref="BP9:BQ9"/>
    <mergeCell ref="BR9:BS9"/>
    <mergeCell ref="B12:O12"/>
    <mergeCell ref="B34:D34"/>
    <mergeCell ref="I34:O36"/>
    <mergeCell ref="X34:Y34"/>
    <mergeCell ref="Z34:AA34"/>
    <mergeCell ref="AB34:AC34"/>
    <mergeCell ref="AD34:AE34"/>
    <mergeCell ref="BT9:BU9"/>
    <mergeCell ref="AV9:AW9"/>
    <mergeCell ref="BB34:BC34"/>
    <mergeCell ref="BD34:BE34"/>
    <mergeCell ref="AF34:AG34"/>
    <mergeCell ref="AH34:AI34"/>
    <mergeCell ref="AJ34:AK34"/>
    <mergeCell ref="AL34:AM34"/>
    <mergeCell ref="AN34:AO34"/>
    <mergeCell ref="AP34:AQ34"/>
    <mergeCell ref="O8:O9"/>
    <mergeCell ref="W8:AQ8"/>
    <mergeCell ref="AS8:BM8"/>
    <mergeCell ref="BO8:CI8"/>
    <mergeCell ref="Q9:Q10"/>
    <mergeCell ref="R9:R10"/>
    <mergeCell ref="CF9:CG9"/>
    <mergeCell ref="B7:O7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X9:Y9"/>
    <mergeCell ref="Z9:AA9"/>
    <mergeCell ref="AB9:AC9"/>
    <mergeCell ref="AD9:AE9"/>
    <mergeCell ref="AF9:AG9"/>
    <mergeCell ref="AH9:AI9"/>
    <mergeCell ref="K8:K9"/>
    <mergeCell ref="L8:N8"/>
    <mergeCell ref="CH9:CI9"/>
    <mergeCell ref="S9:U9"/>
    <mergeCell ref="W9:W10"/>
    <mergeCell ref="B10:O10"/>
    <mergeCell ref="BB9:BC9"/>
    <mergeCell ref="BD9:BE9"/>
    <mergeCell ref="BF9:BG9"/>
    <mergeCell ref="AJ9:AK9"/>
    <mergeCell ref="AL9:AM9"/>
    <mergeCell ref="AN9:AO9"/>
    <mergeCell ref="AP9:AQ9"/>
    <mergeCell ref="AS9:AS10"/>
    <mergeCell ref="AT9:AU9"/>
    <mergeCell ref="AX9:AY9"/>
    <mergeCell ref="AZ9:BA9"/>
    <mergeCell ref="BV9:BW9"/>
    <mergeCell ref="B4:J4"/>
    <mergeCell ref="K4:O4"/>
    <mergeCell ref="B5:J5"/>
    <mergeCell ref="K5:O5"/>
    <mergeCell ref="B6:J6"/>
    <mergeCell ref="K6:O6"/>
    <mergeCell ref="B1:J1"/>
    <mergeCell ref="K1:O1"/>
    <mergeCell ref="B2:J2"/>
    <mergeCell ref="K2:O2"/>
    <mergeCell ref="B3:J3"/>
    <mergeCell ref="K3:O3"/>
  </mergeCells>
  <conditionalFormatting sqref="K1">
    <cfRule type="expression" dxfId="132" priority="9250" stopIfTrue="1">
      <formula>OR(#REF!&lt;&gt;"",#REF!&lt;&gt;"")</formula>
    </cfRule>
  </conditionalFormatting>
  <conditionalFormatting sqref="H13 H11">
    <cfRule type="expression" dxfId="131" priority="9251" stopIfTrue="1">
      <formula>FIND("УЗО",#REF!)</formula>
    </cfRule>
  </conditionalFormatting>
  <conditionalFormatting sqref="H14">
    <cfRule type="expression" dxfId="130" priority="9252" stopIfTrue="1">
      <formula>FIND("УЗО",#REF!)</formula>
    </cfRule>
  </conditionalFormatting>
  <conditionalFormatting sqref="H15">
    <cfRule type="expression" dxfId="129" priority="9253" stopIfTrue="1">
      <formula>FIND("УЗО",#REF!)</formula>
    </cfRule>
  </conditionalFormatting>
  <conditionalFormatting sqref="H16">
    <cfRule type="expression" dxfId="128" priority="9254" stopIfTrue="1">
      <formula>FIND("УЗО",#REF!)</formula>
    </cfRule>
  </conditionalFormatting>
  <conditionalFormatting sqref="H17">
    <cfRule type="expression" dxfId="127" priority="9255" stopIfTrue="1">
      <formula>FIND("УЗО",#REF!)</formula>
    </cfRule>
  </conditionalFormatting>
  <conditionalFormatting sqref="H18">
    <cfRule type="expression" dxfId="126" priority="9256" stopIfTrue="1">
      <formula>FIND("УЗО",#REF!)</formula>
    </cfRule>
  </conditionalFormatting>
  <conditionalFormatting sqref="H19">
    <cfRule type="expression" dxfId="125" priority="9257" stopIfTrue="1">
      <formula>FIND("УЗО",#REF!)</formula>
    </cfRule>
  </conditionalFormatting>
  <conditionalFormatting sqref="H20">
    <cfRule type="expression" dxfId="124" priority="9258" stopIfTrue="1">
      <formula>FIND("УЗО",#REF!)</formula>
    </cfRule>
  </conditionalFormatting>
  <conditionalFormatting sqref="H21">
    <cfRule type="expression" dxfId="123" priority="9259" stopIfTrue="1">
      <formula>FIND("УЗО",#REF!)</formula>
    </cfRule>
  </conditionalFormatting>
  <conditionalFormatting sqref="H22">
    <cfRule type="expression" dxfId="122" priority="9260" stopIfTrue="1">
      <formula>FIND("УЗО",#REF!)</formula>
    </cfRule>
  </conditionalFormatting>
  <conditionalFormatting sqref="H23">
    <cfRule type="expression" dxfId="121" priority="9261" stopIfTrue="1">
      <formula>FIND("УЗО",#REF!)</formula>
    </cfRule>
  </conditionalFormatting>
  <conditionalFormatting sqref="H24">
    <cfRule type="expression" dxfId="120" priority="9262" stopIfTrue="1">
      <formula>FIND("УЗО",#REF!)</formula>
    </cfRule>
  </conditionalFormatting>
  <conditionalFormatting sqref="H25">
    <cfRule type="expression" dxfId="119" priority="9263" stopIfTrue="1">
      <formula>FIND("УЗО",#REF!)</formula>
    </cfRule>
  </conditionalFormatting>
  <conditionalFormatting sqref="H26:H32">
    <cfRule type="expression" dxfId="118" priority="9264" stopIfTrue="1">
      <formula>FIND("УЗО",#REF!)</formula>
    </cfRule>
  </conditionalFormatting>
  <conditionalFormatting sqref="J13 J11">
    <cfRule type="expression" dxfId="117" priority="9266" stopIfTrue="1">
      <formula>FIND("SD",#REF!)</formula>
    </cfRule>
  </conditionalFormatting>
  <conditionalFormatting sqref="J14">
    <cfRule type="expression" dxfId="116" priority="9267" stopIfTrue="1">
      <formula>FIND("SD",#REF!)</formula>
    </cfRule>
  </conditionalFormatting>
  <conditionalFormatting sqref="J15">
    <cfRule type="expression" dxfId="115" priority="9268" stopIfTrue="1">
      <formula>FIND("SD",#REF!)</formula>
    </cfRule>
  </conditionalFormatting>
  <conditionalFormatting sqref="J16">
    <cfRule type="expression" dxfId="114" priority="9269" stopIfTrue="1">
      <formula>FIND("SD",#REF!)</formula>
    </cfRule>
  </conditionalFormatting>
  <conditionalFormatting sqref="J17">
    <cfRule type="expression" dxfId="113" priority="9270" stopIfTrue="1">
      <formula>FIND("SD",#REF!)</formula>
    </cfRule>
  </conditionalFormatting>
  <conditionalFormatting sqref="J18">
    <cfRule type="expression" dxfId="112" priority="9271" stopIfTrue="1">
      <formula>FIND("SD",#REF!)</formula>
    </cfRule>
  </conditionalFormatting>
  <conditionalFormatting sqref="J19">
    <cfRule type="expression" dxfId="111" priority="9272" stopIfTrue="1">
      <formula>FIND("SD",#REF!)</formula>
    </cfRule>
  </conditionalFormatting>
  <conditionalFormatting sqref="J20">
    <cfRule type="expression" dxfId="110" priority="9273" stopIfTrue="1">
      <formula>FIND("SD",#REF!)</formula>
    </cfRule>
  </conditionalFormatting>
  <conditionalFormatting sqref="J21">
    <cfRule type="expression" dxfId="109" priority="9274" stopIfTrue="1">
      <formula>FIND("SD",#REF!)</formula>
    </cfRule>
  </conditionalFormatting>
  <conditionalFormatting sqref="J22">
    <cfRule type="expression" dxfId="108" priority="9275" stopIfTrue="1">
      <formula>FIND("SD",#REF!)</formula>
    </cfRule>
  </conditionalFormatting>
  <conditionalFormatting sqref="J23">
    <cfRule type="expression" dxfId="107" priority="9276" stopIfTrue="1">
      <formula>FIND("SD",#REF!)</formula>
    </cfRule>
  </conditionalFormatting>
  <conditionalFormatting sqref="J24">
    <cfRule type="expression" dxfId="106" priority="9277" stopIfTrue="1">
      <formula>FIND("SD",#REF!)</formula>
    </cfRule>
  </conditionalFormatting>
  <conditionalFormatting sqref="J25">
    <cfRule type="expression" dxfId="105" priority="9278" stopIfTrue="1">
      <formula>FIND("SD",#REF!)</formula>
    </cfRule>
  </conditionalFormatting>
  <conditionalFormatting sqref="J26:J32">
    <cfRule type="expression" dxfId="104" priority="9279" stopIfTrue="1">
      <formula>FIND("SD",#REF!)</formula>
    </cfRule>
  </conditionalFormatting>
  <conditionalFormatting sqref="K13 K11">
    <cfRule type="expression" dxfId="103" priority="9281" stopIfTrue="1">
      <formula>FIND("MX",#REF!)</formula>
    </cfRule>
  </conditionalFormatting>
  <conditionalFormatting sqref="K14">
    <cfRule type="expression" dxfId="102" priority="9282" stopIfTrue="1">
      <formula>FIND("MX",#REF!)</formula>
    </cfRule>
  </conditionalFormatting>
  <conditionalFormatting sqref="K15">
    <cfRule type="expression" dxfId="101" priority="9283" stopIfTrue="1">
      <formula>FIND("MX",#REF!)</formula>
    </cfRule>
  </conditionalFormatting>
  <conditionalFormatting sqref="K16">
    <cfRule type="expression" dxfId="100" priority="9284" stopIfTrue="1">
      <formula>FIND("MX",#REF!)</formula>
    </cfRule>
  </conditionalFormatting>
  <conditionalFormatting sqref="K17">
    <cfRule type="expression" dxfId="99" priority="9285" stopIfTrue="1">
      <formula>FIND("MX",#REF!)</formula>
    </cfRule>
  </conditionalFormatting>
  <conditionalFormatting sqref="K18">
    <cfRule type="expression" dxfId="98" priority="9286" stopIfTrue="1">
      <formula>FIND("MX",#REF!)</formula>
    </cfRule>
  </conditionalFormatting>
  <conditionalFormatting sqref="K19">
    <cfRule type="expression" dxfId="97" priority="9287" stopIfTrue="1">
      <formula>FIND("MX",#REF!)</formula>
    </cfRule>
  </conditionalFormatting>
  <conditionalFormatting sqref="K20">
    <cfRule type="expression" dxfId="96" priority="9288" stopIfTrue="1">
      <formula>FIND("MX",#REF!)</formula>
    </cfRule>
  </conditionalFormatting>
  <conditionalFormatting sqref="K21">
    <cfRule type="expression" dxfId="95" priority="9289" stopIfTrue="1">
      <formula>FIND("MX",#REF!)</formula>
    </cfRule>
  </conditionalFormatting>
  <conditionalFormatting sqref="K22">
    <cfRule type="expression" dxfId="94" priority="9290" stopIfTrue="1">
      <formula>FIND("MX",#REF!)</formula>
    </cfRule>
  </conditionalFormatting>
  <conditionalFormatting sqref="K23">
    <cfRule type="expression" dxfId="93" priority="9291" stopIfTrue="1">
      <formula>FIND("MX",#REF!)</formula>
    </cfRule>
  </conditionalFormatting>
  <conditionalFormatting sqref="K24">
    <cfRule type="expression" dxfId="92" priority="9292" stopIfTrue="1">
      <formula>FIND("MX",#REF!)</formula>
    </cfRule>
  </conditionalFormatting>
  <conditionalFormatting sqref="K25">
    <cfRule type="expression" dxfId="91" priority="9293" stopIfTrue="1">
      <formula>FIND("MX",#REF!)</formula>
    </cfRule>
  </conditionalFormatting>
  <conditionalFormatting sqref="K26:K32">
    <cfRule type="expression" dxfId="90" priority="9294" stopIfTrue="1">
      <formula>FIND("MX",#REF!)</formula>
    </cfRule>
  </conditionalFormatting>
  <conditionalFormatting sqref="D11 D13:D32">
    <cfRule type="expression" dxfId="89" priority="9296">
      <formula>FIND("!Несоответствие выключателя и номинального тока",#REF!)</formula>
    </cfRule>
  </conditionalFormatting>
  <conditionalFormatting sqref="B11 B13:B32">
    <cfRule type="expression" dxfId="88" priority="9311">
      <formula>FIND("модульный",#REF!)</formula>
    </cfRule>
    <cfRule type="expression" dxfId="87" priority="9312">
      <formula>OR(ISNUMBER(FIND("выберите",#REF!)),ISNUMBER(FIND("C60H-DC",#REF!)))</formula>
    </cfRule>
  </conditionalFormatting>
  <conditionalFormatting sqref="K3:O3">
    <cfRule type="expression" dxfId="86" priority="9313">
      <formula>SEARCH("заземл",#REF!)</formula>
    </cfRule>
  </conditionalFormatting>
  <conditionalFormatting sqref="M11 M13:M32">
    <cfRule type="expression" dxfId="85" priority="9314">
      <formula>FIND("сечение",#REF!)</formula>
    </cfRule>
    <cfRule type="expression" dxfId="84" priority="9315">
      <formula>AND(M11&lt;&gt;"-",FIND("графах кабел",#REF!))</formula>
    </cfRule>
  </conditionalFormatting>
  <conditionalFormatting sqref="C13:C32 C11">
    <cfRule type="expression" dxfId="83" priority="9316">
      <formula>FIND("полюс",#REF!)</formula>
    </cfRule>
  </conditionalFormatting>
  <conditionalFormatting sqref="L11 L13:L32">
    <cfRule type="expression" dxfId="82" priority="9331">
      <formula>AND($L11&lt;&gt;"-",FIND("графах кабел",#REF!))</formula>
    </cfRule>
    <cfRule type="expression" dxfId="81" priority="9332">
      <formula>FIND("Марка",#REF!)</formula>
    </cfRule>
  </conditionalFormatting>
  <conditionalFormatting sqref="O11 O13:O32">
    <cfRule type="expression" dxfId="80" priority="9333">
      <formula>FIND("количество аппаратов",#REF!)</formula>
    </cfRule>
  </conditionalFormatting>
  <conditionalFormatting sqref="N11 N13:N32">
    <cfRule type="expression" dxfId="79" priority="9348">
      <formula>AND($N11&lt;&gt;"-",FIND("графах кабел",#REF!))</formula>
    </cfRule>
    <cfRule type="expression" dxfId="78" priority="9349">
      <formula>OR(ISNUMBER(AND(N11="-",FIND("кабел",#REF!))),FIND("место ввода",#REF!))</formula>
    </cfRule>
  </conditionalFormatting>
  <conditionalFormatting sqref="E13:E32 E11">
    <cfRule type="expression" dxfId="77" priority="9441">
      <formula>OR(ISNUMBER(FIND("кривой",#REF!)),ISNUMBER(FIND("расцепителя",#REF!)))</formula>
    </cfRule>
  </conditionalFormatting>
  <dataValidations count="77">
    <dataValidation type="list" allowBlank="1" showInputMessage="1" showErrorMessage="1" sqref="M22">
      <formula1>Размер_кабеля_10</formula1>
    </dataValidation>
    <dataValidation type="list" allowBlank="1" showInputMessage="1" showErrorMessage="1" sqref="M23">
      <formula1>Размер_кабеля_11</formula1>
    </dataValidation>
    <dataValidation type="list" allowBlank="1" showInputMessage="1" showErrorMessage="1" sqref="M24">
      <formula1>Размер_кабеля_12</formula1>
    </dataValidation>
    <dataValidation type="list" allowBlank="1" showInputMessage="1" showErrorMessage="1" sqref="M25">
      <formula1>Размер_кабеля_13</formula1>
    </dataValidation>
    <dataValidation type="list" allowBlank="1" showInputMessage="1" showErrorMessage="1" sqref="M26:M32">
      <formula1>Размер_кабеля_14</formula1>
    </dataValidation>
    <dataValidation type="list" allowBlank="1" showInputMessage="1" showErrorMessage="1" sqref="M21">
      <formula1>Размер_кабеля_9</formula1>
    </dataValidation>
    <dataValidation type="list" allowBlank="1" showInputMessage="1" showErrorMessage="1" sqref="M20">
      <formula1>Размер_кабеля_8</formula1>
    </dataValidation>
    <dataValidation type="list" allowBlank="1" showInputMessage="1" showErrorMessage="1" sqref="M19">
      <formula1>Размер_кабеля_7</formula1>
    </dataValidation>
    <dataValidation type="list" allowBlank="1" showInputMessage="1" showErrorMessage="1" sqref="M18">
      <formula1>Размер_кабеля_6</formula1>
    </dataValidation>
    <dataValidation type="list" allowBlank="1" showInputMessage="1" showErrorMessage="1" sqref="M17">
      <formula1>Размер_кабеля_5</formula1>
    </dataValidation>
    <dataValidation type="list" allowBlank="1" showInputMessage="1" showErrorMessage="1" sqref="M16">
      <formula1>Размер_кабеля_4</formula1>
    </dataValidation>
    <dataValidation type="list" allowBlank="1" showInputMessage="1" showErrorMessage="1" sqref="M15">
      <formula1>Размер_кабеля_3</formula1>
    </dataValidation>
    <dataValidation type="list" allowBlank="1" showInputMessage="1" showErrorMessage="1" sqref="M14">
      <formula1>Размер_кабеля_2</formula1>
    </dataValidation>
    <dataValidation type="list" allowBlank="1" showInputMessage="1" showErrorMessage="1" sqref="M13 M11">
      <formula1>Размер_кабеля_1</formula1>
    </dataValidation>
    <dataValidation type="list" allowBlank="1" showErrorMessage="1" prompt="Укажите тип УЗО/ ток мА" sqref="J13:K13 J11:K11">
      <formula1>Выбор1</formula1>
    </dataValidation>
    <dataValidation type="list" allowBlank="1" showInputMessage="1" showErrorMessage="1" sqref="J26:K32">
      <formula1>Выбор14</formula1>
    </dataValidation>
    <dataValidation type="list" allowBlank="1" showInputMessage="1" showErrorMessage="1" sqref="J25:K25">
      <formula1>Выбор13</formula1>
    </dataValidation>
    <dataValidation type="list" allowBlank="1" showInputMessage="1" showErrorMessage="1" sqref="J24:K24">
      <formula1>Выбор12</formula1>
    </dataValidation>
    <dataValidation type="list" allowBlank="1" showInputMessage="1" showErrorMessage="1" sqref="J23:K23">
      <formula1>Выбор11</formula1>
    </dataValidation>
    <dataValidation type="list" allowBlank="1" showInputMessage="1" showErrorMessage="1" sqref="J22:K22">
      <formula1>Выбор10</formula1>
    </dataValidation>
    <dataValidation type="list" allowBlank="1" showInputMessage="1" showErrorMessage="1" sqref="J21:K21">
      <formula1>Выбор9</formula1>
    </dataValidation>
    <dataValidation type="list" allowBlank="1" showInputMessage="1" showErrorMessage="1" sqref="J20:K20">
      <formula1>Выбор8</formula1>
    </dataValidation>
    <dataValidation type="list" allowBlank="1" showInputMessage="1" showErrorMessage="1" sqref="J19:K19">
      <formula1>Выбор7</formula1>
    </dataValidation>
    <dataValidation type="list" allowBlank="1" showInputMessage="1" showErrorMessage="1" sqref="J18:K18">
      <formula1>Выбор6</formula1>
    </dataValidation>
    <dataValidation type="list" allowBlank="1" showInputMessage="1" showErrorMessage="1" sqref="J17:K17">
      <formula1>Выбор5</formula1>
    </dataValidation>
    <dataValidation type="list" allowBlank="1" showInputMessage="1" showErrorMessage="1" sqref="J16:K16">
      <formula1>Выбор4</formula1>
    </dataValidation>
    <dataValidation type="list" allowBlank="1" showInputMessage="1" showErrorMessage="1" sqref="J15:K15">
      <formula1>Выбор3</formula1>
    </dataValidation>
    <dataValidation type="list" allowBlank="1" showInputMessage="1" showErrorMessage="1" sqref="J14:K14">
      <formula1>Выбор2</formula1>
    </dataValidation>
    <dataValidation type="list" allowBlank="1" showErrorMessage="1" prompt="Укажите номинальный ток вводного выключателя/НКУ" sqref="D26:D32">
      <formula1>In_14</formula1>
    </dataValidation>
    <dataValidation type="list" allowBlank="1" showErrorMessage="1" prompt="Укажите номинальный ток вводного выключателя/НКУ" sqref="D25">
      <formula1>In_13</formula1>
    </dataValidation>
    <dataValidation type="list" allowBlank="1" showErrorMessage="1" prompt="Укажите номинальный ток вводного выключателя/НКУ" sqref="D24">
      <formula1>In_12</formula1>
    </dataValidation>
    <dataValidation type="list" allowBlank="1" showErrorMessage="1" prompt="Укажите номинальный ток вводного выключателя/НКУ" sqref="D23">
      <formula1>In_11</formula1>
    </dataValidation>
    <dataValidation type="list" allowBlank="1" showErrorMessage="1" prompt="Укажите номинальный ток вводного выключателя/НКУ" sqref="D22">
      <formula1>In_10</formula1>
    </dataValidation>
    <dataValidation type="list" allowBlank="1" showErrorMessage="1" prompt="Укажите номинальный ток вводного выключателя/НКУ" sqref="D21">
      <formula1>In_9</formula1>
    </dataValidation>
    <dataValidation type="list" allowBlank="1" showErrorMessage="1" prompt="Укажите номинальный ток вводного выключателя/НКУ" sqref="D20">
      <formula1>In_8</formula1>
    </dataValidation>
    <dataValidation type="list" allowBlank="1" showErrorMessage="1" prompt="Укажите номинальный ток вводного выключателя/НКУ" sqref="D19">
      <formula1>In_7</formula1>
    </dataValidation>
    <dataValidation type="list" allowBlank="1" showErrorMessage="1" prompt="Укажите номинальный ток вводного выключателя/НКУ" sqref="D18">
      <formula1>In_6</formula1>
    </dataValidation>
    <dataValidation type="list" allowBlank="1" showErrorMessage="1" prompt="Укажите номинальный ток вводного выключателя/НКУ" sqref="D17">
      <formula1>In_5</formula1>
    </dataValidation>
    <dataValidation type="list" allowBlank="1" showErrorMessage="1" prompt="Укажите номинальный ток вводного выключателя/НКУ" sqref="D16">
      <formula1>In_4</formula1>
    </dataValidation>
    <dataValidation type="list" allowBlank="1" showErrorMessage="1" prompt="Укажите номинальный ток вводного выключателя/НКУ" sqref="D15">
      <formula1>In_3</formula1>
    </dataValidation>
    <dataValidation type="list" allowBlank="1" showErrorMessage="1" prompt="Укажите номинальный ток вводного выключателя/НКУ" sqref="D14">
      <formula1>In_2</formula1>
    </dataValidation>
    <dataValidation type="list" allowBlank="1" showErrorMessage="1" prompt="Укажите номинальный ток вводного выключателя/НКУ" sqref="D13 D11">
      <formula1>In_1</formula1>
    </dataValidation>
    <dataValidation type="list" allowBlank="1" showErrorMessage="1" prompt="Укажите тип УЗО/ ток мА" sqref="H18">
      <formula1>Id_6</formula1>
    </dataValidation>
    <dataValidation type="list" allowBlank="1" showErrorMessage="1" prompt="Укажите тип УЗО/ ток мА" sqref="H15">
      <formula1>Id_3</formula1>
    </dataValidation>
    <dataValidation type="list" allowBlank="1" showErrorMessage="1" prompt="Укажите кол-во полюсов" sqref="C15">
      <formula1>Полюс3</formula1>
    </dataValidation>
    <dataValidation type="whole" allowBlank="1" showInputMessage="1" showErrorMessage="1" sqref="O11 O13:O32">
      <formula1>1</formula1>
      <formula2>100</formula2>
    </dataValidation>
    <dataValidation type="list" allowBlank="1" showErrorMessage="1" prompt="Выберите вариант" sqref="K6">
      <formula1>Маркировка</formula1>
    </dataValidation>
    <dataValidation type="list" allowBlank="1" showInputMessage="1" showErrorMessage="1" sqref="I11 I13:I32">
      <formula1>Выбор_да_нет</formula1>
    </dataValidation>
    <dataValidation type="list" allowBlank="1" showErrorMessage="1" prompt="Укажите место подвода вводного кабеля" sqref="N11 N13:N32">
      <formula1>Место_ввода</formula1>
    </dataValidation>
    <dataValidation type="list" allowBlank="1" showErrorMessage="1" prompt="Укажите тип УЗО/ ток мА" sqref="H26:H32">
      <formula1>Id_14</formula1>
    </dataValidation>
    <dataValidation type="list" allowBlank="1" showErrorMessage="1" prompt="Укажите тип УЗО/ ток мА" sqref="H25">
      <formula1>Id_13</formula1>
    </dataValidation>
    <dataValidation type="list" allowBlank="1" showErrorMessage="1" prompt="Укажите тип УЗО/ ток мА" sqref="H24">
      <formula1>Id_12</formula1>
    </dataValidation>
    <dataValidation type="list" allowBlank="1" showErrorMessage="1" prompt="Укажите тип УЗО/ ток мА" sqref="H23">
      <formula1>Id_11</formula1>
    </dataValidation>
    <dataValidation type="list" allowBlank="1" showErrorMessage="1" prompt="Укажите тип УЗО/ ток мА" sqref="H22">
      <formula1>Id_10</formula1>
    </dataValidation>
    <dataValidation type="list" allowBlank="1" showErrorMessage="1" prompt="Укажите тип УЗО/ ток мА" sqref="H21">
      <formula1>Id_9</formula1>
    </dataValidation>
    <dataValidation type="list" allowBlank="1" showErrorMessage="1" prompt="Укажите тип УЗО/ ток мА" sqref="H20">
      <formula1>Id_8</formula1>
    </dataValidation>
    <dataValidation type="list" allowBlank="1" showErrorMessage="1" prompt="Укажите тип УЗО/ ток мА" sqref="H19">
      <formula1>Id_7</formula1>
    </dataValidation>
    <dataValidation type="list" allowBlank="1" showErrorMessage="1" prompt="Укажите тип УЗО/ ток мА" sqref="H17">
      <formula1>Id_5</formula1>
    </dataValidation>
    <dataValidation type="list" allowBlank="1" showErrorMessage="1" prompt="Укажите тип УЗО/ ток мА" sqref="H16">
      <formula1>Id_4</formula1>
    </dataValidation>
    <dataValidation type="list" allowBlank="1" showErrorMessage="1" prompt="Укажите тип УЗО/ ток мА" sqref="H14">
      <formula1>Id_2</formula1>
    </dataValidation>
    <dataValidation type="list" allowBlank="1" showErrorMessage="1" prompt="Укажите тип УЗО/ ток мА" sqref="H13 H11">
      <formula1>Id_1</formula1>
    </dataValidation>
    <dataValidation type="list" allowBlank="1" showErrorMessage="1" prompt="Укажите кол-во полюсов" sqref="C26:C32">
      <formula1>Полюс14</formula1>
    </dataValidation>
    <dataValidation type="list" allowBlank="1" showErrorMessage="1" prompt="Укажите кол-во полюсов" sqref="C25">
      <formula1>Полюс13</formula1>
    </dataValidation>
    <dataValidation type="list" allowBlank="1" showErrorMessage="1" prompt="Укажите кол-во полюсов" sqref="C24">
      <formula1>Полюс12</formula1>
    </dataValidation>
    <dataValidation type="list" allowBlank="1" showErrorMessage="1" prompt="Укажите кол-во полюсов" sqref="C23">
      <formula1>Полюс11</formula1>
    </dataValidation>
    <dataValidation type="list" allowBlank="1" showErrorMessage="1" prompt="Укажите кол-во полюсов" sqref="C22">
      <formula1>Полюс10</formula1>
    </dataValidation>
    <dataValidation type="list" allowBlank="1" showErrorMessage="1" prompt="Укажите кол-во полюсов" sqref="C21">
      <formula1>Полюс9</formula1>
    </dataValidation>
    <dataValidation type="list" allowBlank="1" showErrorMessage="1" prompt="Укажите кол-во полюсов" sqref="C20">
      <formula1>Полюс8</formula1>
    </dataValidation>
    <dataValidation type="list" allowBlank="1" showErrorMessage="1" prompt="Укажите кол-во полюсов" sqref="C19">
      <formula1>Полюс7</formula1>
    </dataValidation>
    <dataValidation type="list" allowBlank="1" showErrorMessage="1" prompt="Укажите кол-во полюсов" sqref="C18">
      <formula1>Полюс6</formula1>
    </dataValidation>
    <dataValidation type="list" allowBlank="1" showErrorMessage="1" prompt="Укажите кол-во полюсов" sqref="C17">
      <formula1>Полюс5</formula1>
    </dataValidation>
    <dataValidation type="list" allowBlank="1" showErrorMessage="1" prompt="Укажите кол-во полюсов" sqref="C16">
      <formula1>Полюс4</formula1>
    </dataValidation>
    <dataValidation type="list" allowBlank="1" showErrorMessage="1" prompt="Укажите кол-во полюсов" sqref="C14">
      <formula1>Полюс2</formula1>
    </dataValidation>
    <dataValidation type="list" allowBlank="1" showErrorMessage="1" prompt="Укажите кол-во полюсов" sqref="C13 C11">
      <formula1>Полюс1</formula1>
    </dataValidation>
    <dataValidation allowBlank="1" showInputMessage="1" showErrorMessage="1" promptTitle="Выберите схему главных цепей" sqref="Y2"/>
    <dataValidation type="list" allowBlank="1" showInputMessage="1" showErrorMessage="1" sqref="K3">
      <formula1>Система_заземления</formula1>
    </dataValidation>
    <dataValidation allowBlank="1" showErrorMessage="1" prompt="Укажите номинальный ток вводного выключателя/НКУ" sqref="G11"/>
  </dataValidations>
  <pageMargins left="0.59055118110236215" right="0.39370078740157483" top="0.39370078740157483" bottom="0.39370078740157483" header="0.39370078740157483" footer="0.39370078740157483"/>
  <pageSetup paperSize="9" scale="50" orientation="portrait" blackAndWhite="1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Y131"/>
  <sheetViews>
    <sheetView zoomScale="85" zoomScaleNormal="85" workbookViewId="0">
      <selection activeCell="B39" sqref="B39:O39"/>
    </sheetView>
  </sheetViews>
  <sheetFormatPr defaultRowHeight="12.75" x14ac:dyDescent="0.2"/>
  <cols>
    <col min="1" max="1" width="3.7109375" style="73" customWidth="1"/>
    <col min="2" max="2" width="35.7109375" style="73" customWidth="1"/>
    <col min="3" max="3" width="19.7109375" style="76" customWidth="1"/>
    <col min="4" max="4" width="7" style="76" customWidth="1"/>
    <col min="5" max="5" width="21.85546875" style="73" customWidth="1"/>
    <col min="6" max="6" width="7.7109375" style="73" customWidth="1"/>
    <col min="7" max="7" width="8.7109375" style="73" customWidth="1"/>
    <col min="8" max="8" width="11.42578125" style="73" customWidth="1"/>
    <col min="9" max="9" width="5.85546875" style="73" customWidth="1"/>
    <col min="10" max="10" width="7" style="73" customWidth="1"/>
    <col min="11" max="11" width="6.7109375" style="73" customWidth="1"/>
    <col min="12" max="12" width="20.7109375" style="73" customWidth="1"/>
    <col min="13" max="13" width="11.7109375" style="73" customWidth="1"/>
    <col min="14" max="14" width="10.7109375" style="73" customWidth="1"/>
    <col min="15" max="15" width="9.7109375" style="73" customWidth="1"/>
    <col min="16" max="16" width="10.7109375" style="487" hidden="1" customWidth="1"/>
    <col min="17" max="17" width="26.85546875" style="317" hidden="1" customWidth="1"/>
    <col min="18" max="18" width="16.7109375" style="73" hidden="1" customWidth="1"/>
    <col min="19" max="22" width="13.7109375" style="73" hidden="1" customWidth="1"/>
    <col min="23" max="23" width="35.28515625" style="73" hidden="1" customWidth="1"/>
    <col min="24" max="44" width="10.7109375" style="73" hidden="1" customWidth="1"/>
    <col min="45" max="45" width="21.42578125" style="73" hidden="1" customWidth="1"/>
    <col min="46" max="66" width="10.7109375" style="73" hidden="1" customWidth="1"/>
    <col min="67" max="67" width="22.7109375" style="73" hidden="1" customWidth="1"/>
    <col min="68" max="87" width="10.7109375" style="73" hidden="1" customWidth="1"/>
    <col min="88" max="88" width="0" style="73" hidden="1" customWidth="1"/>
    <col min="89" max="16384" width="9.140625" style="73"/>
  </cols>
  <sheetData>
    <row r="1" spans="1:103" ht="18" x14ac:dyDescent="0.2">
      <c r="B1" s="1098" t="s">
        <v>0</v>
      </c>
      <c r="C1" s="1099"/>
      <c r="D1" s="1099"/>
      <c r="E1" s="1099"/>
      <c r="F1" s="1099"/>
      <c r="G1" s="1099"/>
      <c r="H1" s="1099"/>
      <c r="I1" s="1099"/>
      <c r="J1" s="1099"/>
      <c r="K1" s="1108" t="str">
        <f ca="1">IF(C41="ЩР",C41,C41&amp;"-06")&amp;"-"&amp;D!$H$1&amp;"-"&amp;D!$E$1&amp;"-"&amp;D!$L$1&amp;D!J1&amp;"-"&amp;C42</f>
        <v>ЩР-250-01-14-УХЛ3</v>
      </c>
      <c r="L1" s="1108"/>
      <c r="M1" s="1108"/>
      <c r="N1" s="1108"/>
      <c r="O1" s="1109"/>
      <c r="P1" s="477"/>
      <c r="Q1" s="477"/>
      <c r="R1" s="68"/>
      <c r="S1" s="68"/>
      <c r="T1" s="69"/>
      <c r="U1" s="70"/>
      <c r="V1" s="70"/>
      <c r="W1" s="68"/>
      <c r="X1" s="70"/>
      <c r="Y1" s="71"/>
      <c r="Z1" s="71"/>
      <c r="AA1" s="72"/>
    </row>
    <row r="2" spans="1:103" ht="18" x14ac:dyDescent="0.2">
      <c r="B2" s="1106" t="s">
        <v>1</v>
      </c>
      <c r="C2" s="1107"/>
      <c r="D2" s="1107"/>
      <c r="E2" s="1107"/>
      <c r="F2" s="1107"/>
      <c r="G2" s="1107"/>
      <c r="H2" s="1107"/>
      <c r="I2" s="1107"/>
      <c r="J2" s="1107"/>
      <c r="K2" s="1504">
        <f>Бланк!K2</f>
        <v>0</v>
      </c>
      <c r="L2" s="1504"/>
      <c r="M2" s="1504"/>
      <c r="N2" s="1504"/>
      <c r="O2" s="1505"/>
      <c r="P2" s="312"/>
      <c r="Q2" s="312"/>
      <c r="R2" s="68"/>
      <c r="S2" s="68"/>
      <c r="T2" s="72"/>
      <c r="U2" s="71"/>
      <c r="V2" s="71"/>
      <c r="W2" s="71"/>
      <c r="X2" s="71"/>
      <c r="Y2" s="72"/>
      <c r="Z2" s="71"/>
      <c r="AA2" s="71"/>
      <c r="CY2" s="542"/>
    </row>
    <row r="3" spans="1:103" ht="18" x14ac:dyDescent="0.2">
      <c r="B3" s="1106" t="s">
        <v>2</v>
      </c>
      <c r="C3" s="1107"/>
      <c r="D3" s="1107"/>
      <c r="E3" s="1107"/>
      <c r="F3" s="1107"/>
      <c r="G3" s="1107"/>
      <c r="H3" s="1107"/>
      <c r="I3" s="1107"/>
      <c r="J3" s="1107"/>
      <c r="K3" s="1506" t="str">
        <f>Бланк!K3</f>
        <v>TN-S</v>
      </c>
      <c r="L3" s="1506"/>
      <c r="M3" s="1506"/>
      <c r="N3" s="1506"/>
      <c r="O3" s="1507"/>
      <c r="P3" s="312"/>
      <c r="Q3" s="312"/>
      <c r="R3" s="68"/>
      <c r="S3" s="68"/>
      <c r="T3" s="72"/>
      <c r="U3" s="71"/>
      <c r="V3" s="71"/>
      <c r="W3" s="71"/>
      <c r="X3" s="71"/>
      <c r="Y3" s="71"/>
      <c r="Z3" s="71"/>
      <c r="AA3" s="71"/>
      <c r="CY3" s="542"/>
    </row>
    <row r="4" spans="1:103" ht="18" x14ac:dyDescent="0.2">
      <c r="B4" s="1106" t="s">
        <v>3</v>
      </c>
      <c r="C4" s="1107"/>
      <c r="D4" s="1107"/>
      <c r="E4" s="1107"/>
      <c r="F4" s="1107"/>
      <c r="G4" s="1107"/>
      <c r="H4" s="1107"/>
      <c r="I4" s="1107"/>
      <c r="J4" s="1107"/>
      <c r="K4" s="1504">
        <f>Бланк!K4</f>
        <v>10</v>
      </c>
      <c r="L4" s="1504"/>
      <c r="M4" s="1504"/>
      <c r="N4" s="1504"/>
      <c r="O4" s="1505"/>
      <c r="P4" s="312"/>
      <c r="Q4" s="312"/>
      <c r="R4" s="68"/>
      <c r="S4" s="68"/>
      <c r="T4" s="72"/>
      <c r="U4" s="71"/>
      <c r="V4" s="71"/>
      <c r="W4" s="71"/>
      <c r="X4" s="71"/>
      <c r="Y4" s="71"/>
      <c r="Z4" s="71"/>
      <c r="AA4" s="71"/>
      <c r="CY4" s="542"/>
    </row>
    <row r="5" spans="1:103" ht="18" x14ac:dyDescent="0.2">
      <c r="B5" s="1106" t="s">
        <v>4</v>
      </c>
      <c r="C5" s="1107"/>
      <c r="D5" s="1107"/>
      <c r="E5" s="1107"/>
      <c r="F5" s="1107"/>
      <c r="G5" s="1107"/>
      <c r="H5" s="1107"/>
      <c r="I5" s="1107"/>
      <c r="J5" s="1107"/>
      <c r="K5" s="1100" t="str">
        <f ca="1">Бланк!K5</f>
        <v>600x400x200</v>
      </c>
      <c r="L5" s="1100"/>
      <c r="M5" s="1100"/>
      <c r="N5" s="1100"/>
      <c r="O5" s="1101"/>
      <c r="P5" s="477"/>
      <c r="Q5" s="312"/>
      <c r="R5" s="68"/>
      <c r="S5" s="68"/>
      <c r="T5" s="72"/>
      <c r="U5" s="71"/>
      <c r="V5" s="71"/>
      <c r="W5" s="71"/>
      <c r="X5" s="71"/>
      <c r="Y5" s="71"/>
      <c r="Z5" s="71"/>
      <c r="AA5" s="71"/>
      <c r="CY5" s="542"/>
    </row>
    <row r="6" spans="1:103" ht="36" customHeight="1" x14ac:dyDescent="0.2">
      <c r="B6" s="1104" t="s">
        <v>313</v>
      </c>
      <c r="C6" s="1105"/>
      <c r="D6" s="1105"/>
      <c r="E6" s="1105"/>
      <c r="F6" s="1105"/>
      <c r="G6" s="1105"/>
      <c r="H6" s="1105"/>
      <c r="I6" s="1105"/>
      <c r="J6" s="1105"/>
      <c r="K6" s="1506" t="str">
        <f>Бланк!K6</f>
        <v>ГОСТ Р 50462 / L1, L2, L3</v>
      </c>
      <c r="L6" s="1506"/>
      <c r="M6" s="1506"/>
      <c r="N6" s="1506"/>
      <c r="O6" s="1507"/>
      <c r="P6" s="312"/>
      <c r="Q6" s="312"/>
      <c r="R6" s="68"/>
      <c r="S6" s="74"/>
      <c r="T6" s="72"/>
      <c r="U6" s="71"/>
      <c r="V6" s="71"/>
      <c r="W6" s="71"/>
      <c r="X6" s="71"/>
      <c r="Y6" s="71"/>
      <c r="Z6" s="71"/>
      <c r="AA6" s="71"/>
      <c r="CY6" s="542"/>
    </row>
    <row r="7" spans="1:103" ht="18" x14ac:dyDescent="0.25">
      <c r="B7" s="1114"/>
      <c r="C7" s="1115"/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  <c r="O7" s="1116"/>
      <c r="P7" s="313"/>
      <c r="Q7" s="313"/>
      <c r="R7" s="75"/>
      <c r="S7" s="75"/>
      <c r="Z7" s="71"/>
      <c r="AA7" s="71"/>
      <c r="CY7" s="542"/>
    </row>
    <row r="8" spans="1:103" ht="18" customHeight="1" x14ac:dyDescent="0.25">
      <c r="B8" s="1119" t="s">
        <v>9</v>
      </c>
      <c r="C8" s="1093" t="s">
        <v>134</v>
      </c>
      <c r="D8" s="1093" t="s">
        <v>11</v>
      </c>
      <c r="E8" s="1135" t="s">
        <v>12</v>
      </c>
      <c r="F8" s="1093" t="s">
        <v>13</v>
      </c>
      <c r="G8" s="1093" t="s">
        <v>14</v>
      </c>
      <c r="H8" s="1093" t="s">
        <v>579</v>
      </c>
      <c r="I8" s="1093" t="s">
        <v>309</v>
      </c>
      <c r="J8" s="1093" t="s">
        <v>310</v>
      </c>
      <c r="K8" s="1093" t="s">
        <v>447</v>
      </c>
      <c r="L8" s="1132" t="s">
        <v>15</v>
      </c>
      <c r="M8" s="1133"/>
      <c r="N8" s="1134"/>
      <c r="O8" s="1117" t="s">
        <v>286</v>
      </c>
      <c r="P8" s="313"/>
      <c r="Q8" s="314"/>
      <c r="W8" s="1140" t="s">
        <v>450</v>
      </c>
      <c r="X8" s="1140"/>
      <c r="Y8" s="1140"/>
      <c r="Z8" s="1140"/>
      <c r="AA8" s="1140"/>
      <c r="AB8" s="1140"/>
      <c r="AC8" s="1140"/>
      <c r="AD8" s="1140"/>
      <c r="AE8" s="1140"/>
      <c r="AF8" s="1140"/>
      <c r="AG8" s="1140"/>
      <c r="AH8" s="1140"/>
      <c r="AI8" s="1140"/>
      <c r="AJ8" s="1140"/>
      <c r="AK8" s="1140"/>
      <c r="AL8" s="1140"/>
      <c r="AM8" s="1140"/>
      <c r="AN8" s="1140"/>
      <c r="AO8" s="1140"/>
      <c r="AP8" s="1140"/>
      <c r="AQ8" s="1140"/>
      <c r="AR8" s="82"/>
      <c r="AS8" s="1137" t="s">
        <v>836</v>
      </c>
      <c r="AT8" s="1142"/>
      <c r="AU8" s="1142"/>
      <c r="AV8" s="1142"/>
      <c r="AW8" s="1142"/>
      <c r="AX8" s="1142"/>
      <c r="AY8" s="1142"/>
      <c r="AZ8" s="1142"/>
      <c r="BA8" s="1142"/>
      <c r="BB8" s="1142"/>
      <c r="BC8" s="1142"/>
      <c r="BD8" s="1142"/>
      <c r="BE8" s="1142"/>
      <c r="BF8" s="1142"/>
      <c r="BG8" s="1142"/>
      <c r="BH8" s="1142"/>
      <c r="BI8" s="1142"/>
      <c r="BJ8" s="1142"/>
      <c r="BK8" s="1142"/>
      <c r="BL8" s="1142"/>
      <c r="BM8" s="1142"/>
      <c r="BN8" s="82"/>
      <c r="BO8" s="1137" t="s">
        <v>860</v>
      </c>
      <c r="BP8" s="1137"/>
      <c r="BQ8" s="1137"/>
      <c r="BR8" s="1137"/>
      <c r="BS8" s="1137"/>
      <c r="BT8" s="1137"/>
      <c r="BU8" s="1137"/>
      <c r="BV8" s="1137"/>
      <c r="BW8" s="1137"/>
      <c r="BX8" s="1137"/>
      <c r="BY8" s="1137"/>
      <c r="BZ8" s="1137"/>
      <c r="CA8" s="1137"/>
      <c r="CB8" s="1137"/>
      <c r="CC8" s="1137"/>
      <c r="CD8" s="1137"/>
      <c r="CE8" s="1137"/>
      <c r="CF8" s="1137"/>
      <c r="CG8" s="1137"/>
      <c r="CH8" s="1137"/>
      <c r="CI8" s="1137"/>
      <c r="CY8" s="542"/>
    </row>
    <row r="9" spans="1:103" ht="36" customHeight="1" x14ac:dyDescent="0.25">
      <c r="B9" s="1119"/>
      <c r="C9" s="1093"/>
      <c r="D9" s="1093"/>
      <c r="E9" s="1136"/>
      <c r="F9" s="1093"/>
      <c r="G9" s="1093"/>
      <c r="H9" s="1093"/>
      <c r="I9" s="1093"/>
      <c r="J9" s="1093"/>
      <c r="K9" s="1093"/>
      <c r="L9" s="1032" t="s">
        <v>311</v>
      </c>
      <c r="M9" s="1032" t="s">
        <v>84</v>
      </c>
      <c r="N9" s="1032" t="s">
        <v>16</v>
      </c>
      <c r="O9" s="1118"/>
      <c r="P9" s="488"/>
      <c r="Q9" s="1093" t="s">
        <v>863</v>
      </c>
      <c r="R9" s="1097" t="s">
        <v>232</v>
      </c>
      <c r="S9" s="1093" t="s">
        <v>833</v>
      </c>
      <c r="T9" s="1093"/>
      <c r="U9" s="1093"/>
      <c r="V9" s="475"/>
      <c r="W9" s="1120" t="s">
        <v>482</v>
      </c>
      <c r="X9" s="1120" t="s">
        <v>460</v>
      </c>
      <c r="Y9" s="1120"/>
      <c r="Z9" s="1120" t="s">
        <v>471</v>
      </c>
      <c r="AA9" s="1120"/>
      <c r="AB9" s="1120" t="s">
        <v>472</v>
      </c>
      <c r="AC9" s="1120"/>
      <c r="AD9" s="1120" t="s">
        <v>473</v>
      </c>
      <c r="AE9" s="1120"/>
      <c r="AF9" s="1120" t="s">
        <v>474</v>
      </c>
      <c r="AG9" s="1120"/>
      <c r="AH9" s="1120" t="s">
        <v>479</v>
      </c>
      <c r="AI9" s="1120"/>
      <c r="AJ9" s="1120" t="s">
        <v>478</v>
      </c>
      <c r="AK9" s="1120"/>
      <c r="AL9" s="1120" t="s">
        <v>477</v>
      </c>
      <c r="AM9" s="1120"/>
      <c r="AN9" s="1120" t="s">
        <v>476</v>
      </c>
      <c r="AO9" s="1120"/>
      <c r="AP9" s="1120" t="s">
        <v>480</v>
      </c>
      <c r="AQ9" s="1120"/>
      <c r="AR9" s="82"/>
      <c r="AS9" s="1141" t="s">
        <v>482</v>
      </c>
      <c r="AT9" s="1120" t="s">
        <v>460</v>
      </c>
      <c r="AU9" s="1120"/>
      <c r="AV9" s="1120" t="s">
        <v>471</v>
      </c>
      <c r="AW9" s="1120"/>
      <c r="AX9" s="1120" t="s">
        <v>472</v>
      </c>
      <c r="AY9" s="1120"/>
      <c r="AZ9" s="1120" t="s">
        <v>473</v>
      </c>
      <c r="BA9" s="1120"/>
      <c r="BB9" s="1120" t="s">
        <v>474</v>
      </c>
      <c r="BC9" s="1120"/>
      <c r="BD9" s="1120" t="s">
        <v>479</v>
      </c>
      <c r="BE9" s="1120"/>
      <c r="BF9" s="1120" t="s">
        <v>478</v>
      </c>
      <c r="BG9" s="1120"/>
      <c r="BH9" s="1120" t="s">
        <v>477</v>
      </c>
      <c r="BI9" s="1120"/>
      <c r="BJ9" s="1120" t="s">
        <v>476</v>
      </c>
      <c r="BK9" s="1120"/>
      <c r="BL9" s="1120" t="s">
        <v>480</v>
      </c>
      <c r="BM9" s="1120"/>
      <c r="BN9" s="82"/>
      <c r="BO9" s="1138" t="s">
        <v>482</v>
      </c>
      <c r="BP9" s="1120" t="s">
        <v>460</v>
      </c>
      <c r="BQ9" s="1120"/>
      <c r="BR9" s="1120" t="s">
        <v>471</v>
      </c>
      <c r="BS9" s="1120"/>
      <c r="BT9" s="1120" t="s">
        <v>472</v>
      </c>
      <c r="BU9" s="1120"/>
      <c r="BV9" s="1120" t="s">
        <v>473</v>
      </c>
      <c r="BW9" s="1120"/>
      <c r="BX9" s="1120" t="s">
        <v>474</v>
      </c>
      <c r="BY9" s="1120"/>
      <c r="BZ9" s="1120" t="s">
        <v>479</v>
      </c>
      <c r="CA9" s="1120"/>
      <c r="CB9" s="1120" t="s">
        <v>478</v>
      </c>
      <c r="CC9" s="1120"/>
      <c r="CD9" s="1120" t="s">
        <v>477</v>
      </c>
      <c r="CE9" s="1120"/>
      <c r="CF9" s="1120" t="s">
        <v>476</v>
      </c>
      <c r="CG9" s="1120"/>
      <c r="CH9" s="1120" t="s">
        <v>480</v>
      </c>
      <c r="CI9" s="1120"/>
      <c r="CY9" s="542"/>
    </row>
    <row r="10" spans="1:103" ht="15" customHeight="1" x14ac:dyDescent="0.25">
      <c r="B10" s="1094" t="s">
        <v>118</v>
      </c>
      <c r="C10" s="1095"/>
      <c r="D10" s="1095"/>
      <c r="E10" s="1095"/>
      <c r="F10" s="1095"/>
      <c r="G10" s="1095"/>
      <c r="H10" s="1095"/>
      <c r="I10" s="1095"/>
      <c r="J10" s="1095"/>
      <c r="K10" s="1095"/>
      <c r="L10" s="1095"/>
      <c r="M10" s="1095"/>
      <c r="N10" s="1095"/>
      <c r="O10" s="1096"/>
      <c r="P10" s="488"/>
      <c r="Q10" s="1093"/>
      <c r="R10" s="1097"/>
      <c r="S10" s="1000" t="s">
        <v>802</v>
      </c>
      <c r="T10" s="1000" t="s">
        <v>803</v>
      </c>
      <c r="U10" s="1000" t="s">
        <v>804</v>
      </c>
      <c r="V10" s="475"/>
      <c r="W10" s="1120"/>
      <c r="X10" s="1001" t="s">
        <v>286</v>
      </c>
      <c r="Y10" s="1001" t="s">
        <v>99</v>
      </c>
      <c r="Z10" s="1001" t="s">
        <v>286</v>
      </c>
      <c r="AA10" s="1001" t="s">
        <v>99</v>
      </c>
      <c r="AB10" s="1001" t="s">
        <v>286</v>
      </c>
      <c r="AC10" s="1001" t="s">
        <v>99</v>
      </c>
      <c r="AD10" s="1001" t="s">
        <v>286</v>
      </c>
      <c r="AE10" s="1001" t="s">
        <v>99</v>
      </c>
      <c r="AF10" s="1001" t="s">
        <v>286</v>
      </c>
      <c r="AG10" s="1001" t="s">
        <v>99</v>
      </c>
      <c r="AH10" s="1001" t="s">
        <v>286</v>
      </c>
      <c r="AI10" s="1001" t="s">
        <v>99</v>
      </c>
      <c r="AJ10" s="1001" t="s">
        <v>286</v>
      </c>
      <c r="AK10" s="1001" t="s">
        <v>99</v>
      </c>
      <c r="AL10" s="1001" t="s">
        <v>286</v>
      </c>
      <c r="AM10" s="1001" t="s">
        <v>99</v>
      </c>
      <c r="AN10" s="1001" t="s">
        <v>286</v>
      </c>
      <c r="AO10" s="1001" t="s">
        <v>99</v>
      </c>
      <c r="AP10" s="1001" t="s">
        <v>286</v>
      </c>
      <c r="AQ10" s="1001" t="s">
        <v>99</v>
      </c>
      <c r="AR10" s="82"/>
      <c r="AS10" s="1139"/>
      <c r="AT10" s="479" t="s">
        <v>286</v>
      </c>
      <c r="AU10" s="479" t="s">
        <v>99</v>
      </c>
      <c r="AV10" s="479" t="s">
        <v>286</v>
      </c>
      <c r="AW10" s="479" t="s">
        <v>99</v>
      </c>
      <c r="AX10" s="479" t="s">
        <v>286</v>
      </c>
      <c r="AY10" s="479" t="s">
        <v>99</v>
      </c>
      <c r="AZ10" s="479" t="s">
        <v>286</v>
      </c>
      <c r="BA10" s="479" t="s">
        <v>99</v>
      </c>
      <c r="BB10" s="479" t="s">
        <v>286</v>
      </c>
      <c r="BC10" s="479" t="s">
        <v>99</v>
      </c>
      <c r="BD10" s="479" t="s">
        <v>286</v>
      </c>
      <c r="BE10" s="479" t="s">
        <v>99</v>
      </c>
      <c r="BF10" s="479" t="s">
        <v>286</v>
      </c>
      <c r="BG10" s="479" t="s">
        <v>99</v>
      </c>
      <c r="BH10" s="479" t="s">
        <v>286</v>
      </c>
      <c r="BI10" s="479" t="s">
        <v>99</v>
      </c>
      <c r="BJ10" s="479" t="s">
        <v>286</v>
      </c>
      <c r="BK10" s="479" t="s">
        <v>99</v>
      </c>
      <c r="BL10" s="479" t="s">
        <v>286</v>
      </c>
      <c r="BM10" s="479" t="s">
        <v>99</v>
      </c>
      <c r="BN10" s="82"/>
      <c r="BO10" s="1139"/>
      <c r="BP10" s="479" t="s">
        <v>286</v>
      </c>
      <c r="BQ10" s="479" t="s">
        <v>99</v>
      </c>
      <c r="BR10" s="479" t="s">
        <v>286</v>
      </c>
      <c r="BS10" s="479" t="s">
        <v>99</v>
      </c>
      <c r="BT10" s="479" t="s">
        <v>286</v>
      </c>
      <c r="BU10" s="479" t="s">
        <v>99</v>
      </c>
      <c r="BV10" s="479" t="s">
        <v>286</v>
      </c>
      <c r="BW10" s="479" t="s">
        <v>99</v>
      </c>
      <c r="BX10" s="479" t="s">
        <v>286</v>
      </c>
      <c r="BY10" s="479" t="s">
        <v>99</v>
      </c>
      <c r="BZ10" s="479" t="s">
        <v>286</v>
      </c>
      <c r="CA10" s="479" t="s">
        <v>99</v>
      </c>
      <c r="CB10" s="479" t="s">
        <v>286</v>
      </c>
      <c r="CC10" s="479" t="s">
        <v>99</v>
      </c>
      <c r="CD10" s="479" t="s">
        <v>286</v>
      </c>
      <c r="CE10" s="479" t="s">
        <v>99</v>
      </c>
      <c r="CF10" s="479" t="s">
        <v>286</v>
      </c>
      <c r="CG10" s="479" t="s">
        <v>99</v>
      </c>
      <c r="CH10" s="479" t="s">
        <v>286</v>
      </c>
      <c r="CI10" s="479" t="s">
        <v>99</v>
      </c>
      <c r="CY10" s="542"/>
    </row>
    <row r="11" spans="1:103" s="77" customFormat="1" ht="18" customHeight="1" x14ac:dyDescent="0.25">
      <c r="B11" s="924" t="str">
        <f>_xlfn.IFNA(IF(VLOOKUP(Бланк!B11,'Замена SE на LS'!$A$2:$B$70,2,FALSE)=0,"замена не найдена",VLOOKUP(Бланк!B11,'Замена SE на LS'!$A$2:$B$70,2,FALSE)),"")</f>
        <v>TS250N</v>
      </c>
      <c r="C11" s="923">
        <f>IF(ISBLANK(Бланк!C11),"",Бланк!C11)</f>
        <v>3</v>
      </c>
      <c r="D11" s="923">
        <f>IF(ISBLANK(Бланк!D11),"",Бланк!D11)</f>
        <v>250</v>
      </c>
      <c r="E11" s="923" t="str">
        <f>_xlfn.IFNA(IF(VLOOKUP(Бланк!E11,'Замена SE на LS'!$C:$D,2,FALSE)=0,"замена не найдена",VLOOKUP(Бланк!E11,'Замена SE на LS'!$C:$D,2,FALSE)),"")</f>
        <v>FMU, 250A</v>
      </c>
      <c r="F11" s="923" t="str">
        <f>IF(ISBLANK(Бланк!F11),"",Бланк!F11)</f>
        <v/>
      </c>
      <c r="G11" s="923" t="str">
        <f>IF(ISBLANK(Бланк!G11),"",Бланк!G11)</f>
        <v/>
      </c>
      <c r="H11" s="923" t="str">
        <f>IF(ISBLANK(Бланк!H11),"",Бланк!H11)</f>
        <v/>
      </c>
      <c r="I11" s="923" t="str">
        <f>IF(ISBLANK(Бланк!I11),"",Бланк!I11)</f>
        <v/>
      </c>
      <c r="J11" s="923" t="str">
        <f>IF(ISBLANK(Бланк!J11),"",Бланк!J11)</f>
        <v/>
      </c>
      <c r="K11" s="923" t="str">
        <f>IF(ISBLANK(Бланк!K11),"",Бланк!K11)</f>
        <v/>
      </c>
      <c r="L11" s="923" t="str">
        <f>IF(ISBLANK(Бланк!L11),"",Бланк!L11)</f>
        <v/>
      </c>
      <c r="M11" s="923" t="str">
        <f>IF(ISBLANK(Бланк!M11),"",Бланк!M11)</f>
        <v/>
      </c>
      <c r="N11" s="923" t="str">
        <f>IF(ISBLANK(Бланк!N11),"",Бланк!N11)</f>
        <v>сверху</v>
      </c>
      <c r="O11" s="925">
        <f>IF(ISBLANK(Бланк!O11),"",Бланк!O11)</f>
        <v>1</v>
      </c>
      <c r="P11" s="489"/>
      <c r="Q11" s="504" t="str">
        <f>IF($R11="","",IF(D!EQ3=0,"Тип кабеля не найден","Тип кабеля найден"))</f>
        <v>Тип кабеля не найден</v>
      </c>
      <c r="R11" s="504" t="str">
        <f>IF(D!$ES$3&gt;0,D!$ES$3,"")</f>
        <v>MG63</v>
      </c>
      <c r="S11" s="504">
        <v>0</v>
      </c>
      <c r="T11" s="504">
        <v>0</v>
      </c>
      <c r="U11" s="504">
        <v>0</v>
      </c>
      <c r="V11" s="475"/>
      <c r="W11" s="1001" t="s">
        <v>864</v>
      </c>
      <c r="X11" s="504">
        <f>Габариты!CK6</f>
        <v>0</v>
      </c>
      <c r="Y11" s="504">
        <f>Габариты!CL6</f>
        <v>0</v>
      </c>
      <c r="Z11" s="504">
        <f>Габариты!CN6</f>
        <v>0</v>
      </c>
      <c r="AA11" s="504">
        <f>Габариты!CO6</f>
        <v>0</v>
      </c>
      <c r="AB11" s="504">
        <f>Габариты!CQ6</f>
        <v>0</v>
      </c>
      <c r="AC11" s="504">
        <f>Габариты!CR6</f>
        <v>0</v>
      </c>
      <c r="AD11" s="504">
        <f>Габариты!CT6</f>
        <v>0</v>
      </c>
      <c r="AE11" s="504">
        <f>Габариты!CU6</f>
        <v>0</v>
      </c>
      <c r="AF11" s="504">
        <f>Габариты!CW6</f>
        <v>0</v>
      </c>
      <c r="AG11" s="504">
        <f>Габариты!CX6</f>
        <v>0</v>
      </c>
      <c r="AH11" s="504">
        <f>Габариты!CZ6</f>
        <v>0</v>
      </c>
      <c r="AI11" s="504">
        <f>Габариты!DA6</f>
        <v>0</v>
      </c>
      <c r="AJ11" s="504">
        <f>Габариты!DC6</f>
        <v>0</v>
      </c>
      <c r="AK11" s="504">
        <f>Габариты!DD6</f>
        <v>0</v>
      </c>
      <c r="AL11" s="504">
        <f>Габариты!DF6</f>
        <v>0</v>
      </c>
      <c r="AM11" s="504">
        <f>Габариты!DG6</f>
        <v>0</v>
      </c>
      <c r="AN11" s="504">
        <f>Габариты!DI6</f>
        <v>0</v>
      </c>
      <c r="AO11" s="504">
        <f>Габариты!DJ6</f>
        <v>0</v>
      </c>
      <c r="AP11" s="504">
        <f>Габариты!DL6</f>
        <v>0</v>
      </c>
      <c r="AQ11" s="504">
        <f>Габариты!DM6</f>
        <v>0</v>
      </c>
      <c r="AR11" s="480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0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Y11" s="542"/>
    </row>
    <row r="12" spans="1:103" ht="18" x14ac:dyDescent="0.25">
      <c r="B12" s="1094" t="s">
        <v>17</v>
      </c>
      <c r="C12" s="1095"/>
      <c r="D12" s="1095"/>
      <c r="E12" s="1095"/>
      <c r="F12" s="1095"/>
      <c r="G12" s="1095"/>
      <c r="H12" s="1095"/>
      <c r="I12" s="1095"/>
      <c r="J12" s="1095"/>
      <c r="K12" s="1095"/>
      <c r="L12" s="1095"/>
      <c r="M12" s="1095"/>
      <c r="N12" s="1095"/>
      <c r="O12" s="1096"/>
      <c r="P12" s="488"/>
      <c r="Q12" s="478"/>
      <c r="R12" s="434"/>
      <c r="U12" s="71"/>
      <c r="V12" s="476"/>
      <c r="W12" s="1001" t="s">
        <v>684</v>
      </c>
      <c r="X12" s="504" t="e">
        <f>Габариты!#REF!</f>
        <v>#REF!</v>
      </c>
      <c r="Y12" s="504" t="e">
        <f>Габариты!#REF!</f>
        <v>#REF!</v>
      </c>
      <c r="Z12" s="504" t="e">
        <f>Габариты!#REF!</f>
        <v>#REF!</v>
      </c>
      <c r="AA12" s="504" t="e">
        <f>Габариты!#REF!</f>
        <v>#REF!</v>
      </c>
      <c r="AB12" s="504" t="e">
        <f>Габариты!#REF!</f>
        <v>#REF!</v>
      </c>
      <c r="AC12" s="504" t="e">
        <f>Габариты!#REF!</f>
        <v>#REF!</v>
      </c>
      <c r="AD12" s="504" t="e">
        <f>Габариты!#REF!</f>
        <v>#REF!</v>
      </c>
      <c r="AE12" s="504" t="e">
        <f>Габариты!#REF!</f>
        <v>#REF!</v>
      </c>
      <c r="AF12" s="504" t="e">
        <f>Габариты!#REF!</f>
        <v>#REF!</v>
      </c>
      <c r="AG12" s="504" t="e">
        <f>Габариты!#REF!</f>
        <v>#REF!</v>
      </c>
      <c r="AH12" s="504" t="e">
        <f>Габариты!#REF!</f>
        <v>#REF!</v>
      </c>
      <c r="AI12" s="504" t="e">
        <f>Габариты!#REF!</f>
        <v>#REF!</v>
      </c>
      <c r="AJ12" s="504" t="e">
        <f>Габариты!#REF!</f>
        <v>#REF!</v>
      </c>
      <c r="AK12" s="504" t="e">
        <f>Габариты!#REF!</f>
        <v>#REF!</v>
      </c>
      <c r="AL12" s="504" t="e">
        <f>Габариты!#REF!</f>
        <v>#REF!</v>
      </c>
      <c r="AM12" s="504" t="e">
        <f>Габариты!#REF!</f>
        <v>#REF!</v>
      </c>
      <c r="AN12" s="504" t="e">
        <f>Габариты!#REF!</f>
        <v>#REF!</v>
      </c>
      <c r="AO12" s="504" t="e">
        <f>Габариты!#REF!</f>
        <v>#REF!</v>
      </c>
      <c r="AP12" s="504" t="e">
        <f>Габариты!#REF!</f>
        <v>#REF!</v>
      </c>
      <c r="AQ12" s="504" t="e">
        <f>Габариты!#REF!</f>
        <v>#REF!</v>
      </c>
      <c r="AR12" s="82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82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Y12" s="542"/>
    </row>
    <row r="13" spans="1:103" ht="18" x14ac:dyDescent="0.25">
      <c r="A13" s="434">
        <v>1</v>
      </c>
      <c r="B13" s="924" t="str">
        <f>_xlfn.IFNA(IF(VLOOKUP(Бланк!B13,'Замена SE на LS'!$A$2:$B$70,2,FALSE)=0,"замена не найдена",VLOOKUP(Бланк!B13,'Замена SE на LS'!$A$2:$B$70,2,FALSE)),"")</f>
        <v>BKN-b</v>
      </c>
      <c r="C13" s="923" t="str">
        <f>IF(ISBLANK(Бланк!C13),"",Бланк!C13)</f>
        <v>1 (пофазно)</v>
      </c>
      <c r="D13" s="923">
        <f>IF(ISBLANK(Бланк!D13),"",Бланк!D13)</f>
        <v>40</v>
      </c>
      <c r="E13" s="923" t="str">
        <f>_xlfn.IFNA(IF(VLOOKUP(Бланк!E13,'Замена SE на LS'!$C:$D,2,FALSE)=0,"замена не найдена",VLOOKUP(Бланк!E13,'Замена SE на LS'!$C:$D,2,FALSE)),"")</f>
        <v>D</v>
      </c>
      <c r="F13" s="923" t="str">
        <f>IF(ISBLANK(Бланк!F13),"",Бланк!F13)</f>
        <v/>
      </c>
      <c r="G13" s="923" t="str">
        <f>IF(ISBLANK(Бланк!G13),"",Бланк!G13)</f>
        <v/>
      </c>
      <c r="H13" s="923" t="str">
        <f>IF(ISBLANK(Бланк!H13),"",Бланк!H13)</f>
        <v/>
      </c>
      <c r="I13" s="923" t="str">
        <f>IF(ISBLANK(Бланк!I13),"",Бланк!I13)</f>
        <v/>
      </c>
      <c r="J13" s="923" t="str">
        <f>IF(ISBLANK(Бланк!J13),"",Бланк!J13)</f>
        <v/>
      </c>
      <c r="K13" s="923" t="str">
        <f>IF(ISBLANK(Бланк!K13),"",Бланк!K13)</f>
        <v/>
      </c>
      <c r="L13" s="923" t="str">
        <f>IF(ISBLANK(Бланк!L13),"",Бланк!L13)</f>
        <v/>
      </c>
      <c r="M13" s="923" t="str">
        <f>IF(ISBLANK(Бланк!M13),"",Бланк!M13)</f>
        <v/>
      </c>
      <c r="N13" s="923" t="str">
        <f>IF(ISBLANK(Бланк!N13),"",Бланк!N13)</f>
        <v>сверху</v>
      </c>
      <c r="O13" s="925">
        <f>IF(ISBLANK(Бланк!O13),"",Бланк!O13)</f>
        <v>3</v>
      </c>
      <c r="P13" s="489"/>
      <c r="Q13" s="504" t="str">
        <f>IF($R13="","",IF(D!EQ4=0,"Тип кабеля не найден","Тип кабеля найден"))</f>
        <v>Тип кабеля не найден</v>
      </c>
      <c r="R13" s="504" t="str">
        <f>IF(D!$ES4&gt;0,D!$ES4,"")</f>
        <v>PG21</v>
      </c>
      <c r="S13" s="504">
        <f ca="1">IF(ISERR(FIND("пофазно",$C13)),0,D!BS85+D!BV85)</f>
        <v>0</v>
      </c>
      <c r="T13" s="504">
        <f ca="1">IF(ISERR(FIND("пофазно",$C13)),0,D!BT85+D!BW85)</f>
        <v>0</v>
      </c>
      <c r="U13" s="504">
        <f ca="1">IF(ISERR(FIND("пофазно",$C13)),0,D!BU85+D!BX85)</f>
        <v>0</v>
      </c>
      <c r="V13" s="475"/>
      <c r="W13" s="1001" t="s">
        <v>85</v>
      </c>
      <c r="X13" s="504">
        <f>Габариты!CK7</f>
        <v>3</v>
      </c>
      <c r="Y13" s="504">
        <f>Габариты!CL7</f>
        <v>54</v>
      </c>
      <c r="Z13" s="504">
        <f>Габариты!CN7</f>
        <v>0</v>
      </c>
      <c r="AA13" s="504">
        <f>Габариты!CO7</f>
        <v>0</v>
      </c>
      <c r="AB13" s="504">
        <f>Габариты!CQ7</f>
        <v>0</v>
      </c>
      <c r="AC13" s="504">
        <f>Габариты!CR7</f>
        <v>0</v>
      </c>
      <c r="AD13" s="504">
        <f>Габариты!CT7</f>
        <v>0</v>
      </c>
      <c r="AE13" s="504">
        <f>Габариты!CU7</f>
        <v>0</v>
      </c>
      <c r="AF13" s="504">
        <f>Габариты!CW7</f>
        <v>0</v>
      </c>
      <c r="AG13" s="504">
        <f>Габариты!CX7</f>
        <v>0</v>
      </c>
      <c r="AH13" s="504">
        <f>Габариты!CZ7</f>
        <v>0</v>
      </c>
      <c r="AI13" s="504">
        <f>Габариты!DA7</f>
        <v>0</v>
      </c>
      <c r="AJ13" s="504">
        <f>Габариты!DC7</f>
        <v>0</v>
      </c>
      <c r="AK13" s="504">
        <f>Габариты!DD7</f>
        <v>0</v>
      </c>
      <c r="AL13" s="504">
        <f>Габариты!DF7</f>
        <v>0</v>
      </c>
      <c r="AM13" s="504">
        <f>Габариты!DG7</f>
        <v>0</v>
      </c>
      <c r="AN13" s="504">
        <f>Габариты!DI7</f>
        <v>0</v>
      </c>
      <c r="AO13" s="504">
        <f>Габариты!DJ7</f>
        <v>0</v>
      </c>
      <c r="AP13" s="504">
        <f>Габариты!DL7</f>
        <v>0</v>
      </c>
      <c r="AQ13" s="504">
        <f>Габариты!DM7</f>
        <v>0</v>
      </c>
      <c r="AR13" s="82"/>
      <c r="AS13" s="1001" t="s">
        <v>85</v>
      </c>
      <c r="AT13" s="504">
        <f>Габариты!CK36</f>
        <v>0</v>
      </c>
      <c r="AU13" s="504">
        <f>Габариты!CL36</f>
        <v>0</v>
      </c>
      <c r="AV13" s="504">
        <f>Габариты!CN36</f>
        <v>0</v>
      </c>
      <c r="AW13" s="504">
        <f>Габариты!CO36</f>
        <v>0</v>
      </c>
      <c r="AX13" s="504">
        <f>Габариты!CQ36</f>
        <v>0</v>
      </c>
      <c r="AY13" s="504">
        <f>Габариты!CR36</f>
        <v>0</v>
      </c>
      <c r="AZ13" s="504">
        <f>Габариты!CT36</f>
        <v>0</v>
      </c>
      <c r="BA13" s="504">
        <f>Габариты!CU36</f>
        <v>0</v>
      </c>
      <c r="BB13" s="504">
        <f>Габариты!CW36</f>
        <v>0</v>
      </c>
      <c r="BC13" s="504">
        <f>Габариты!CX36</f>
        <v>0</v>
      </c>
      <c r="BD13" s="504">
        <f>Габариты!CZ36</f>
        <v>0</v>
      </c>
      <c r="BE13" s="504">
        <f>Габариты!DA36</f>
        <v>0</v>
      </c>
      <c r="BF13" s="504">
        <f>Габариты!DC36</f>
        <v>0</v>
      </c>
      <c r="BG13" s="504">
        <f>Габариты!DD36</f>
        <v>0</v>
      </c>
      <c r="BH13" s="504">
        <f>Габариты!DF36</f>
        <v>0</v>
      </c>
      <c r="BI13" s="504">
        <f>Габариты!DG36</f>
        <v>0</v>
      </c>
      <c r="BJ13" s="504">
        <f>Габариты!DI36</f>
        <v>0</v>
      </c>
      <c r="BK13" s="504">
        <f>Габариты!DJ36</f>
        <v>0</v>
      </c>
      <c r="BL13" s="504">
        <f>Габариты!DL36</f>
        <v>0</v>
      </c>
      <c r="BM13" s="504">
        <f>Габариты!DM36</f>
        <v>0</v>
      </c>
      <c r="BN13" s="82"/>
      <c r="BO13" s="1001" t="s">
        <v>85</v>
      </c>
      <c r="BP13" s="507">
        <f>Габариты!CK63</f>
        <v>0</v>
      </c>
      <c r="BQ13" s="507">
        <f>Габариты!CL63</f>
        <v>0</v>
      </c>
      <c r="BR13" s="507">
        <f>Габариты!CN63</f>
        <v>0</v>
      </c>
      <c r="BS13" s="507">
        <f>Габариты!CO63</f>
        <v>0</v>
      </c>
      <c r="BT13" s="507">
        <f>Габариты!CQ63</f>
        <v>0</v>
      </c>
      <c r="BU13" s="507">
        <f>Габариты!CR63</f>
        <v>0</v>
      </c>
      <c r="BV13" s="507">
        <f>Габариты!CT63</f>
        <v>0</v>
      </c>
      <c r="BW13" s="507">
        <f>Габариты!CU63</f>
        <v>0</v>
      </c>
      <c r="BX13" s="507">
        <f>Габариты!CW63</f>
        <v>0</v>
      </c>
      <c r="BY13" s="507">
        <f>Габариты!CX63</f>
        <v>0</v>
      </c>
      <c r="BZ13" s="507">
        <f>Габариты!CZ63</f>
        <v>0</v>
      </c>
      <c r="CA13" s="507">
        <f>Габариты!DA63</f>
        <v>0</v>
      </c>
      <c r="CB13" s="507">
        <f>Габариты!DC63</f>
        <v>0</v>
      </c>
      <c r="CC13" s="507">
        <f>Габариты!DD63</f>
        <v>0</v>
      </c>
      <c r="CD13" s="507">
        <f>Габариты!DF63</f>
        <v>0</v>
      </c>
      <c r="CE13" s="507">
        <f>Габариты!DG63</f>
        <v>0</v>
      </c>
      <c r="CF13" s="507">
        <f>Габариты!DI63</f>
        <v>0</v>
      </c>
      <c r="CG13" s="507">
        <f>Габариты!DJ63</f>
        <v>0</v>
      </c>
      <c r="CH13" s="507">
        <f>Габариты!DL63</f>
        <v>0</v>
      </c>
      <c r="CI13" s="507">
        <f>Габариты!DM63</f>
        <v>0</v>
      </c>
      <c r="CY13" s="542"/>
    </row>
    <row r="14" spans="1:103" ht="18" x14ac:dyDescent="0.25">
      <c r="A14" s="434">
        <v>2</v>
      </c>
      <c r="B14" s="924" t="str">
        <f>_xlfn.IFNA(IF(VLOOKUP(Бланк!B14,'Замена SE на LS'!$A$2:$B$70,2,FALSE)=0,"замена не найдена",VLOOKUP(Бланк!B14,'Замена SE на LS'!$A$2:$B$70,2,FALSE)),"")</f>
        <v>BKN-b</v>
      </c>
      <c r="C14" s="923" t="str">
        <f>IF(ISBLANK(Бланк!C14),"",Бланк!C14)</f>
        <v>1 (пофазно)</v>
      </c>
      <c r="D14" s="923">
        <f>IF(ISBLANK(Бланк!D14),"",Бланк!D14)</f>
        <v>16</v>
      </c>
      <c r="E14" s="923" t="str">
        <f>_xlfn.IFNA(IF(VLOOKUP(Бланк!E14,'Замена SE на LS'!$C:$D,2,FALSE)=0,"замена не найдена",VLOOKUP(Бланк!E14,'Замена SE на LS'!$C:$D,2,FALSE)),"")</f>
        <v>C</v>
      </c>
      <c r="F14" s="923" t="str">
        <f>IF(ISBLANK(Бланк!F14),"",Бланк!F14)</f>
        <v/>
      </c>
      <c r="G14" s="923" t="str">
        <f>IF(ISBLANK(Бланк!G14),"",Бланк!G14)</f>
        <v/>
      </c>
      <c r="H14" s="923" t="str">
        <f>IF(ISBLANK(Бланк!H14),"",Бланк!H14)</f>
        <v/>
      </c>
      <c r="I14" s="923" t="str">
        <f>IF(ISBLANK(Бланк!I14),"",Бланк!I14)</f>
        <v/>
      </c>
      <c r="J14" s="923" t="str">
        <f>IF(ISBLANK(Бланк!J14),"",Бланк!J14)</f>
        <v/>
      </c>
      <c r="K14" s="923" t="str">
        <f>IF(ISBLANK(Бланк!K14),"",Бланк!K14)</f>
        <v/>
      </c>
      <c r="L14" s="923" t="str">
        <f>IF(ISBLANK(Бланк!L14),"",Бланк!L14)</f>
        <v/>
      </c>
      <c r="M14" s="923" t="str">
        <f>IF(ISBLANK(Бланк!M14),"",Бланк!M14)</f>
        <v/>
      </c>
      <c r="N14" s="923" t="str">
        <f>IF(ISBLANK(Бланк!N14),"",Бланк!N14)</f>
        <v>сверху</v>
      </c>
      <c r="O14" s="925">
        <f>IF(ISBLANK(Бланк!O14),"",Бланк!O14)</f>
        <v>9</v>
      </c>
      <c r="P14" s="489"/>
      <c r="Q14" s="504" t="str">
        <f>IF($R14="","",IF(D!EQ5=0,"Тип кабеля не найден","Тип кабеля найден"))</f>
        <v>Тип кабеля не найден</v>
      </c>
      <c r="R14" s="504" t="str">
        <f>IF(D!$ES5&gt;0,D!$ES5,"")</f>
        <v>PG13</v>
      </c>
      <c r="S14" s="504">
        <f ca="1">IF(ISERR(FIND("пофазно",$C14)),0,D!BS86+D!BV86)</f>
        <v>0</v>
      </c>
      <c r="T14" s="504">
        <f ca="1">IF(ISERR(FIND("пофазно",$C14)),0,D!BT86+D!BW86)</f>
        <v>0</v>
      </c>
      <c r="U14" s="504">
        <f ca="1">IF(ISERR(FIND("пофазно",$C14)),0,D!BU86+D!BX86)</f>
        <v>0</v>
      </c>
      <c r="V14" s="475"/>
      <c r="W14" s="1001" t="s">
        <v>86</v>
      </c>
      <c r="X14" s="504">
        <f>Габариты!CK8</f>
        <v>9</v>
      </c>
      <c r="Y14" s="504">
        <f>Габариты!CL8</f>
        <v>162</v>
      </c>
      <c r="Z14" s="504">
        <f>Габариты!CN8</f>
        <v>0</v>
      </c>
      <c r="AA14" s="504">
        <f>Габариты!CO8</f>
        <v>0</v>
      </c>
      <c r="AB14" s="504">
        <f>Габариты!CQ8</f>
        <v>0</v>
      </c>
      <c r="AC14" s="504">
        <f>Габариты!CR8</f>
        <v>0</v>
      </c>
      <c r="AD14" s="504">
        <f>Габариты!CT8</f>
        <v>0</v>
      </c>
      <c r="AE14" s="504">
        <f>Габариты!CU8</f>
        <v>0</v>
      </c>
      <c r="AF14" s="504">
        <f>Габариты!CW8</f>
        <v>0</v>
      </c>
      <c r="AG14" s="504">
        <f>Габариты!CX8</f>
        <v>0</v>
      </c>
      <c r="AH14" s="504">
        <f>Габариты!CZ8</f>
        <v>0</v>
      </c>
      <c r="AI14" s="504">
        <f>Габариты!DA8</f>
        <v>0</v>
      </c>
      <c r="AJ14" s="504">
        <f>Габариты!DC8</f>
        <v>0</v>
      </c>
      <c r="AK14" s="504">
        <f>Габариты!DD8</f>
        <v>0</v>
      </c>
      <c r="AL14" s="504">
        <f>Габариты!DF8</f>
        <v>0</v>
      </c>
      <c r="AM14" s="504">
        <f>Габариты!DG8</f>
        <v>0</v>
      </c>
      <c r="AN14" s="504">
        <f>Габариты!DI8</f>
        <v>0</v>
      </c>
      <c r="AO14" s="504">
        <f>Габариты!DJ8</f>
        <v>0</v>
      </c>
      <c r="AP14" s="504">
        <f>Габариты!DL8</f>
        <v>0</v>
      </c>
      <c r="AQ14" s="504">
        <f>Габариты!DM8</f>
        <v>0</v>
      </c>
      <c r="AR14" s="82"/>
      <c r="AS14" s="1001" t="s">
        <v>86</v>
      </c>
      <c r="AT14" s="504">
        <f>Габариты!CK37</f>
        <v>0</v>
      </c>
      <c r="AU14" s="504">
        <f>Габариты!CL37</f>
        <v>0</v>
      </c>
      <c r="AV14" s="504">
        <f>Габариты!CN37</f>
        <v>0</v>
      </c>
      <c r="AW14" s="504">
        <f>Габариты!CO37</f>
        <v>0</v>
      </c>
      <c r="AX14" s="504">
        <f>Габариты!CQ37</f>
        <v>0</v>
      </c>
      <c r="AY14" s="504">
        <f>Габариты!CR37</f>
        <v>0</v>
      </c>
      <c r="AZ14" s="504">
        <f>Габариты!CT37</f>
        <v>0</v>
      </c>
      <c r="BA14" s="504">
        <f>Габариты!CU37</f>
        <v>0</v>
      </c>
      <c r="BB14" s="504">
        <f>Габариты!CW37</f>
        <v>0</v>
      </c>
      <c r="BC14" s="504">
        <f>Габариты!CX37</f>
        <v>0</v>
      </c>
      <c r="BD14" s="504">
        <f>Габариты!CZ37</f>
        <v>0</v>
      </c>
      <c r="BE14" s="504">
        <f>Габариты!DA37</f>
        <v>0</v>
      </c>
      <c r="BF14" s="504">
        <f>Габариты!DC37</f>
        <v>0</v>
      </c>
      <c r="BG14" s="504">
        <f>Габариты!DD37</f>
        <v>0</v>
      </c>
      <c r="BH14" s="504">
        <f>Габариты!DF37</f>
        <v>0</v>
      </c>
      <c r="BI14" s="504">
        <f>Габариты!DG37</f>
        <v>0</v>
      </c>
      <c r="BJ14" s="504">
        <f>Габариты!DI37</f>
        <v>0</v>
      </c>
      <c r="BK14" s="504">
        <f>Габариты!DJ37</f>
        <v>0</v>
      </c>
      <c r="BL14" s="504">
        <f>Габариты!DL37</f>
        <v>0</v>
      </c>
      <c r="BM14" s="504">
        <f>Габариты!DM37</f>
        <v>0</v>
      </c>
      <c r="BN14" s="82"/>
      <c r="BO14" s="1001" t="s">
        <v>86</v>
      </c>
      <c r="BP14" s="507">
        <f>Габариты!CK64</f>
        <v>0</v>
      </c>
      <c r="BQ14" s="507">
        <f>Габариты!CL64</f>
        <v>0</v>
      </c>
      <c r="BR14" s="507">
        <f>Габариты!CN64</f>
        <v>0</v>
      </c>
      <c r="BS14" s="507">
        <f>Габариты!CO64</f>
        <v>0</v>
      </c>
      <c r="BT14" s="507">
        <f>Габариты!CQ64</f>
        <v>0</v>
      </c>
      <c r="BU14" s="507">
        <f>Габариты!CR64</f>
        <v>0</v>
      </c>
      <c r="BV14" s="507">
        <f>Габариты!CT64</f>
        <v>0</v>
      </c>
      <c r="BW14" s="507">
        <f>Габариты!CU64</f>
        <v>0</v>
      </c>
      <c r="BX14" s="507">
        <f>Габариты!CW64</f>
        <v>0</v>
      </c>
      <c r="BY14" s="507">
        <f>Габариты!CX64</f>
        <v>0</v>
      </c>
      <c r="BZ14" s="507">
        <f>Габариты!CZ64</f>
        <v>0</v>
      </c>
      <c r="CA14" s="507">
        <f>Габариты!DA64</f>
        <v>0</v>
      </c>
      <c r="CB14" s="507">
        <f>Габариты!DC64</f>
        <v>0</v>
      </c>
      <c r="CC14" s="507">
        <f>Габариты!DD64</f>
        <v>0</v>
      </c>
      <c r="CD14" s="507">
        <f>Габариты!DF64</f>
        <v>0</v>
      </c>
      <c r="CE14" s="507">
        <f>Габариты!DG64</f>
        <v>0</v>
      </c>
      <c r="CF14" s="507">
        <f>Габариты!DI64</f>
        <v>0</v>
      </c>
      <c r="CG14" s="507">
        <f>Габариты!DJ64</f>
        <v>0</v>
      </c>
      <c r="CH14" s="507">
        <f>Габариты!DL64</f>
        <v>0</v>
      </c>
      <c r="CI14" s="507">
        <f>Габариты!DM64</f>
        <v>0</v>
      </c>
      <c r="CY14" s="542"/>
    </row>
    <row r="15" spans="1:103" ht="18" x14ac:dyDescent="0.25">
      <c r="A15" s="434">
        <v>3</v>
      </c>
      <c r="B15" s="924" t="str">
        <f>_xlfn.IFNA(IF(VLOOKUP(Бланк!B15,'Замена SE на LS'!$A$2:$B$70,2,FALSE)=0,"замена не найдена",VLOOKUP(Бланк!B15,'Замена SE на LS'!$A$2:$B$70,2,FALSE)),"")</f>
        <v/>
      </c>
      <c r="C15" s="923" t="str">
        <f>IF(ISBLANK(Бланк!C15),"",Бланк!C15)</f>
        <v/>
      </c>
      <c r="D15" s="923" t="str">
        <f>IF(ISBLANK(Бланк!D15),"",Бланк!D15)</f>
        <v/>
      </c>
      <c r="E15" s="923" t="str">
        <f>_xlfn.IFNA(IF(VLOOKUP(Бланк!E15,'Замена SE на LS'!$C:$D,2,FALSE)=0,"замена не найдена",VLOOKUP(Бланк!E15,'Замена SE на LS'!$C:$D,2,FALSE)),"")</f>
        <v/>
      </c>
      <c r="F15" s="923" t="str">
        <f>IF(ISBLANK(Бланк!F15),"",Бланк!F15)</f>
        <v/>
      </c>
      <c r="G15" s="923" t="str">
        <f>IF(ISBLANK(Бланк!G15),"",Бланк!G15)</f>
        <v/>
      </c>
      <c r="H15" s="923" t="str">
        <f>IF(ISBLANK(Бланк!H15),"",Бланк!H15)</f>
        <v/>
      </c>
      <c r="I15" s="923" t="str">
        <f>IF(ISBLANK(Бланк!I15),"",Бланк!I15)</f>
        <v/>
      </c>
      <c r="J15" s="923" t="str">
        <f>IF(ISBLANK(Бланк!J15),"",Бланк!J15)</f>
        <v/>
      </c>
      <c r="K15" s="923" t="str">
        <f>IF(ISBLANK(Бланк!K15),"",Бланк!K15)</f>
        <v/>
      </c>
      <c r="L15" s="923" t="str">
        <f>IF(ISBLANK(Бланк!L15),"",Бланк!L15)</f>
        <v/>
      </c>
      <c r="M15" s="923" t="str">
        <f>IF(ISBLANK(Бланк!M15),"",Бланк!M15)</f>
        <v/>
      </c>
      <c r="N15" s="923" t="str">
        <f>IF(ISBLANK(Бланк!N15),"",Бланк!N15)</f>
        <v/>
      </c>
      <c r="O15" s="925" t="str">
        <f>IF(ISBLANK(Бланк!O15),"",Бланк!O15)</f>
        <v/>
      </c>
      <c r="P15" s="489"/>
      <c r="Q15" s="504" t="str">
        <f>IF($R15="","",IF(D!EQ6=0,"Тип кабеля не найден","Тип кабеля найден"))</f>
        <v/>
      </c>
      <c r="R15" s="504" t="str">
        <f>IF(D!$ES6&gt;0,D!$ES6,"")</f>
        <v/>
      </c>
      <c r="S15" s="504">
        <f>IF(ISERR(FIND("пофазно",$C15)),0,D!BS87+D!BV87)</f>
        <v>0</v>
      </c>
      <c r="T15" s="504">
        <f>IF(ISERR(FIND("пофазно",$C15)),0,D!BT87+D!BW87)</f>
        <v>0</v>
      </c>
      <c r="U15" s="504">
        <f>IF(ISERR(FIND("пофазно",$C15)),0,D!BU87+D!BX87)</f>
        <v>0</v>
      </c>
      <c r="V15" s="475"/>
      <c r="W15" s="1001" t="s">
        <v>87</v>
      </c>
      <c r="X15" s="504">
        <f>Габариты!CK9</f>
        <v>0</v>
      </c>
      <c r="Y15" s="504">
        <f>Габариты!CL9</f>
        <v>0</v>
      </c>
      <c r="Z15" s="504">
        <f>Габариты!CN9</f>
        <v>0</v>
      </c>
      <c r="AA15" s="504">
        <f>Габариты!CO9</f>
        <v>0</v>
      </c>
      <c r="AB15" s="504">
        <f>Габариты!CQ9</f>
        <v>0</v>
      </c>
      <c r="AC15" s="504">
        <f>Габариты!CR9</f>
        <v>0</v>
      </c>
      <c r="AD15" s="504">
        <f>Габариты!CT9</f>
        <v>0</v>
      </c>
      <c r="AE15" s="504">
        <f>Габариты!CU9</f>
        <v>0</v>
      </c>
      <c r="AF15" s="504">
        <f>Габариты!CW9</f>
        <v>0</v>
      </c>
      <c r="AG15" s="504">
        <f>Габариты!CX9</f>
        <v>0</v>
      </c>
      <c r="AH15" s="504">
        <f>Габариты!CZ9</f>
        <v>0</v>
      </c>
      <c r="AI15" s="504">
        <f>Габариты!DA9</f>
        <v>0</v>
      </c>
      <c r="AJ15" s="504">
        <f>Габариты!DC9</f>
        <v>0</v>
      </c>
      <c r="AK15" s="504">
        <f>Габариты!DD9</f>
        <v>0</v>
      </c>
      <c r="AL15" s="504">
        <f>Габариты!DF9</f>
        <v>0</v>
      </c>
      <c r="AM15" s="504">
        <f>Габариты!DG9</f>
        <v>0</v>
      </c>
      <c r="AN15" s="504">
        <f>Габариты!DI9</f>
        <v>0</v>
      </c>
      <c r="AO15" s="504">
        <f>Габариты!DJ9</f>
        <v>0</v>
      </c>
      <c r="AP15" s="504">
        <f>Габариты!DL9</f>
        <v>0</v>
      </c>
      <c r="AQ15" s="504">
        <f>Габариты!DM9</f>
        <v>0</v>
      </c>
      <c r="AR15" s="82"/>
      <c r="AS15" s="1001" t="s">
        <v>87</v>
      </c>
      <c r="AT15" s="504">
        <f>Габариты!CK38</f>
        <v>0</v>
      </c>
      <c r="AU15" s="504">
        <f>Габариты!CL38</f>
        <v>0</v>
      </c>
      <c r="AV15" s="504">
        <f>Габариты!CN38</f>
        <v>0</v>
      </c>
      <c r="AW15" s="504">
        <f>Габариты!CO38</f>
        <v>0</v>
      </c>
      <c r="AX15" s="504">
        <f>Габариты!CQ38</f>
        <v>0</v>
      </c>
      <c r="AY15" s="504">
        <f>Габариты!CR38</f>
        <v>0</v>
      </c>
      <c r="AZ15" s="504">
        <f>Габариты!CT38</f>
        <v>0</v>
      </c>
      <c r="BA15" s="504">
        <f>Габариты!CU38</f>
        <v>0</v>
      </c>
      <c r="BB15" s="504">
        <f>Габариты!CW38</f>
        <v>0</v>
      </c>
      <c r="BC15" s="504">
        <f>Габариты!CX38</f>
        <v>0</v>
      </c>
      <c r="BD15" s="504">
        <f>Габариты!CZ38</f>
        <v>0</v>
      </c>
      <c r="BE15" s="504">
        <f>Габариты!DA38</f>
        <v>0</v>
      </c>
      <c r="BF15" s="504">
        <f>Габариты!DC38</f>
        <v>0</v>
      </c>
      <c r="BG15" s="504">
        <f>Габариты!DD38</f>
        <v>0</v>
      </c>
      <c r="BH15" s="504">
        <f>Габариты!DF38</f>
        <v>0</v>
      </c>
      <c r="BI15" s="504">
        <f>Габариты!DG38</f>
        <v>0</v>
      </c>
      <c r="BJ15" s="504">
        <f>Габариты!DI38</f>
        <v>0</v>
      </c>
      <c r="BK15" s="504">
        <f>Габариты!DJ38</f>
        <v>0</v>
      </c>
      <c r="BL15" s="504">
        <f>Габариты!DL38</f>
        <v>0</v>
      </c>
      <c r="BM15" s="504">
        <f>Габариты!DM38</f>
        <v>0</v>
      </c>
      <c r="BN15" s="82"/>
      <c r="BO15" s="1001" t="s">
        <v>87</v>
      </c>
      <c r="BP15" s="507">
        <f>Габариты!CK65</f>
        <v>0</v>
      </c>
      <c r="BQ15" s="507">
        <f>Габариты!CL65</f>
        <v>0</v>
      </c>
      <c r="BR15" s="507">
        <f>Габариты!CN65</f>
        <v>0</v>
      </c>
      <c r="BS15" s="507">
        <f>Габариты!CO65</f>
        <v>0</v>
      </c>
      <c r="BT15" s="507">
        <f>Габариты!CQ65</f>
        <v>0</v>
      </c>
      <c r="BU15" s="507">
        <f>Габариты!CR65</f>
        <v>0</v>
      </c>
      <c r="BV15" s="507">
        <f>Габариты!CT65</f>
        <v>0</v>
      </c>
      <c r="BW15" s="507">
        <f>Габариты!CU65</f>
        <v>0</v>
      </c>
      <c r="BX15" s="507">
        <f>Габариты!CW65</f>
        <v>0</v>
      </c>
      <c r="BY15" s="507">
        <f>Габариты!CX65</f>
        <v>0</v>
      </c>
      <c r="BZ15" s="507">
        <f>Габариты!CZ65</f>
        <v>0</v>
      </c>
      <c r="CA15" s="507">
        <f>Габариты!DA65</f>
        <v>0</v>
      </c>
      <c r="CB15" s="507">
        <f>Габариты!DC65</f>
        <v>0</v>
      </c>
      <c r="CC15" s="507">
        <f>Габариты!DD65</f>
        <v>0</v>
      </c>
      <c r="CD15" s="507">
        <f>Габариты!DF65</f>
        <v>0</v>
      </c>
      <c r="CE15" s="507">
        <f>Габариты!DG65</f>
        <v>0</v>
      </c>
      <c r="CF15" s="507">
        <f>Габариты!DI65</f>
        <v>0</v>
      </c>
      <c r="CG15" s="507">
        <f>Габариты!DJ65</f>
        <v>0</v>
      </c>
      <c r="CH15" s="507">
        <f>Габариты!DL65</f>
        <v>0</v>
      </c>
      <c r="CI15" s="507">
        <f>Габариты!DM65</f>
        <v>0</v>
      </c>
      <c r="CY15" s="542"/>
    </row>
    <row r="16" spans="1:103" ht="18" x14ac:dyDescent="0.25">
      <c r="A16" s="434">
        <v>4</v>
      </c>
      <c r="B16" s="924" t="str">
        <f>_xlfn.IFNA(IF(VLOOKUP(Бланк!B16,'Замена SE на LS'!$A$2:$B$70,2,FALSE)=0,"замена не найдена",VLOOKUP(Бланк!B16,'Замена SE на LS'!$A$2:$B$70,2,FALSE)),"")</f>
        <v/>
      </c>
      <c r="C16" s="923" t="str">
        <f>IF(ISBLANK(Бланк!C16),"",Бланк!C16)</f>
        <v/>
      </c>
      <c r="D16" s="923" t="str">
        <f>IF(ISBLANK(Бланк!D16),"",Бланк!D16)</f>
        <v/>
      </c>
      <c r="E16" s="923" t="str">
        <f>_xlfn.IFNA(IF(VLOOKUP(Бланк!E16,'Замена SE на LS'!$C:$D,2,FALSE)=0,"замена не найдена",VLOOKUP(Бланк!E16,'Замена SE на LS'!$C:$D,2,FALSE)),"")</f>
        <v/>
      </c>
      <c r="F16" s="923" t="str">
        <f>IF(ISBLANK(Бланк!F16),"",Бланк!F16)</f>
        <v/>
      </c>
      <c r="G16" s="923" t="str">
        <f>IF(ISBLANK(Бланк!G16),"",Бланк!G16)</f>
        <v/>
      </c>
      <c r="H16" s="923" t="str">
        <f>IF(ISBLANK(Бланк!H16),"",Бланк!H16)</f>
        <v/>
      </c>
      <c r="I16" s="923" t="str">
        <f>IF(ISBLANK(Бланк!I16),"",Бланк!I16)</f>
        <v/>
      </c>
      <c r="J16" s="923" t="str">
        <f>IF(ISBLANK(Бланк!J16),"",Бланк!J16)</f>
        <v/>
      </c>
      <c r="K16" s="923" t="str">
        <f>IF(ISBLANK(Бланк!K16),"",Бланк!K16)</f>
        <v/>
      </c>
      <c r="L16" s="923" t="str">
        <f>IF(ISBLANK(Бланк!L16),"",Бланк!L16)</f>
        <v/>
      </c>
      <c r="M16" s="923" t="str">
        <f>IF(ISBLANK(Бланк!M16),"",Бланк!M16)</f>
        <v/>
      </c>
      <c r="N16" s="923" t="str">
        <f>IF(ISBLANK(Бланк!N16),"",Бланк!N16)</f>
        <v/>
      </c>
      <c r="O16" s="925" t="str">
        <f>IF(ISBLANK(Бланк!O16),"",Бланк!O16)</f>
        <v/>
      </c>
      <c r="P16" s="489"/>
      <c r="Q16" s="504" t="str">
        <f>IF($R16="","",IF(D!EQ7=0,"Тип кабеля не найден","Тип кабеля найден"))</f>
        <v/>
      </c>
      <c r="R16" s="504" t="str">
        <f>IF(D!$ES7&gt;0,D!$ES7,"")</f>
        <v/>
      </c>
      <c r="S16" s="504">
        <f>IF(ISERR(FIND("пофазно",$C16)),0,D!BS88+D!BV88)</f>
        <v>0</v>
      </c>
      <c r="T16" s="504">
        <f>IF(ISERR(FIND("пофазно",$C16)),0,D!BT88+D!BW88)</f>
        <v>0</v>
      </c>
      <c r="U16" s="504">
        <f>IF(ISERR(FIND("пофазно",$C16)),0,D!BU88+D!BX88)</f>
        <v>0</v>
      </c>
      <c r="V16" s="475"/>
      <c r="W16" s="1001" t="s">
        <v>88</v>
      </c>
      <c r="X16" s="504">
        <f>Габариты!CK10</f>
        <v>0</v>
      </c>
      <c r="Y16" s="504">
        <f>Габариты!CL10</f>
        <v>0</v>
      </c>
      <c r="Z16" s="504">
        <f>Габариты!CN10</f>
        <v>0</v>
      </c>
      <c r="AA16" s="504">
        <f>Габариты!CO10</f>
        <v>0</v>
      </c>
      <c r="AB16" s="504">
        <f>Габариты!CQ10</f>
        <v>0</v>
      </c>
      <c r="AC16" s="504">
        <f>Габариты!CR10</f>
        <v>0</v>
      </c>
      <c r="AD16" s="504">
        <f>Габариты!CT10</f>
        <v>0</v>
      </c>
      <c r="AE16" s="504">
        <f>Габариты!CU10</f>
        <v>0</v>
      </c>
      <c r="AF16" s="504">
        <f>Габариты!CW10</f>
        <v>0</v>
      </c>
      <c r="AG16" s="504">
        <f>Габариты!CX10</f>
        <v>0</v>
      </c>
      <c r="AH16" s="504">
        <f>Габариты!CZ10</f>
        <v>0</v>
      </c>
      <c r="AI16" s="504">
        <f>Габариты!DA10</f>
        <v>0</v>
      </c>
      <c r="AJ16" s="504">
        <f>Габариты!DC10</f>
        <v>0</v>
      </c>
      <c r="AK16" s="504">
        <f>Габариты!DD10</f>
        <v>0</v>
      </c>
      <c r="AL16" s="504">
        <f>Габариты!DF10</f>
        <v>0</v>
      </c>
      <c r="AM16" s="504">
        <f>Габариты!DG10</f>
        <v>0</v>
      </c>
      <c r="AN16" s="504">
        <f>Габариты!DI10</f>
        <v>0</v>
      </c>
      <c r="AO16" s="504">
        <f>Габариты!DJ10</f>
        <v>0</v>
      </c>
      <c r="AP16" s="504">
        <f>Габариты!DL10</f>
        <v>0</v>
      </c>
      <c r="AQ16" s="504">
        <f>Габариты!DM10</f>
        <v>0</v>
      </c>
      <c r="AR16" s="82"/>
      <c r="AS16" s="1001" t="s">
        <v>88</v>
      </c>
      <c r="AT16" s="504">
        <f>Габариты!CK39</f>
        <v>0</v>
      </c>
      <c r="AU16" s="504">
        <f>Габариты!CL39</f>
        <v>0</v>
      </c>
      <c r="AV16" s="504">
        <f>Габариты!CN39</f>
        <v>0</v>
      </c>
      <c r="AW16" s="504">
        <f>Габариты!CO39</f>
        <v>0</v>
      </c>
      <c r="AX16" s="504">
        <f>Габариты!CQ39</f>
        <v>0</v>
      </c>
      <c r="AY16" s="504">
        <f>Габариты!CR39</f>
        <v>0</v>
      </c>
      <c r="AZ16" s="504">
        <f>Габариты!CT39</f>
        <v>0</v>
      </c>
      <c r="BA16" s="504">
        <f>Габариты!CU39</f>
        <v>0</v>
      </c>
      <c r="BB16" s="504">
        <f>Габариты!CW39</f>
        <v>0</v>
      </c>
      <c r="BC16" s="504">
        <f>Габариты!CX39</f>
        <v>0</v>
      </c>
      <c r="BD16" s="504">
        <f>Габариты!CZ39</f>
        <v>0</v>
      </c>
      <c r="BE16" s="504">
        <f>Габариты!DA39</f>
        <v>0</v>
      </c>
      <c r="BF16" s="504">
        <f>Габариты!DC39</f>
        <v>0</v>
      </c>
      <c r="BG16" s="504">
        <f>Габариты!DD39</f>
        <v>0</v>
      </c>
      <c r="BH16" s="504">
        <f>Габариты!DF39</f>
        <v>0</v>
      </c>
      <c r="BI16" s="504">
        <f>Габариты!DG39</f>
        <v>0</v>
      </c>
      <c r="BJ16" s="504">
        <f>Габариты!DI39</f>
        <v>0</v>
      </c>
      <c r="BK16" s="504">
        <f>Габариты!DJ39</f>
        <v>0</v>
      </c>
      <c r="BL16" s="504">
        <f>Габариты!DL39</f>
        <v>0</v>
      </c>
      <c r="BM16" s="504">
        <f>Габариты!DM39</f>
        <v>0</v>
      </c>
      <c r="BN16" s="82"/>
      <c r="BO16" s="1001" t="s">
        <v>88</v>
      </c>
      <c r="BP16" s="507">
        <f>Габариты!CK66</f>
        <v>0</v>
      </c>
      <c r="BQ16" s="507">
        <f>Габариты!CL66</f>
        <v>0</v>
      </c>
      <c r="BR16" s="507">
        <f>Габариты!CN66</f>
        <v>0</v>
      </c>
      <c r="BS16" s="507">
        <f>Габариты!CO66</f>
        <v>0</v>
      </c>
      <c r="BT16" s="507">
        <f>Габариты!CQ66</f>
        <v>0</v>
      </c>
      <c r="BU16" s="507">
        <f>Габариты!CR66</f>
        <v>0</v>
      </c>
      <c r="BV16" s="507">
        <f>Габариты!CT66</f>
        <v>0</v>
      </c>
      <c r="BW16" s="507">
        <f>Габариты!CU66</f>
        <v>0</v>
      </c>
      <c r="BX16" s="507">
        <f>Габариты!CW66</f>
        <v>0</v>
      </c>
      <c r="BY16" s="507">
        <f>Габариты!CX66</f>
        <v>0</v>
      </c>
      <c r="BZ16" s="507">
        <f>Габариты!CZ66</f>
        <v>0</v>
      </c>
      <c r="CA16" s="507">
        <f>Габариты!DA66</f>
        <v>0</v>
      </c>
      <c r="CB16" s="507">
        <f>Габариты!DC66</f>
        <v>0</v>
      </c>
      <c r="CC16" s="507">
        <f>Габариты!DD66</f>
        <v>0</v>
      </c>
      <c r="CD16" s="507">
        <f>Габариты!DF66</f>
        <v>0</v>
      </c>
      <c r="CE16" s="507">
        <f>Габариты!DG66</f>
        <v>0</v>
      </c>
      <c r="CF16" s="507">
        <f>Габариты!DI66</f>
        <v>0</v>
      </c>
      <c r="CG16" s="507">
        <f>Габариты!DJ66</f>
        <v>0</v>
      </c>
      <c r="CH16" s="507">
        <f>Габариты!DL66</f>
        <v>0</v>
      </c>
      <c r="CI16" s="507">
        <f>Габариты!DM66</f>
        <v>0</v>
      </c>
      <c r="CY16" s="542"/>
    </row>
    <row r="17" spans="1:103" ht="18" x14ac:dyDescent="0.25">
      <c r="A17" s="434">
        <v>5</v>
      </c>
      <c r="B17" s="924" t="str">
        <f>_xlfn.IFNA(IF(VLOOKUP(Бланк!B17,'Замена SE на LS'!$A$2:$B$70,2,FALSE)=0,"замена не найдена",VLOOKUP(Бланк!B17,'Замена SE на LS'!$A$2:$B$70,2,FALSE)),"")</f>
        <v/>
      </c>
      <c r="C17" s="923" t="str">
        <f>IF(ISBLANK(Бланк!C17),"",Бланк!C17)</f>
        <v/>
      </c>
      <c r="D17" s="923" t="str">
        <f>IF(ISBLANK(Бланк!D17),"",Бланк!D17)</f>
        <v/>
      </c>
      <c r="E17" s="923" t="str">
        <f>_xlfn.IFNA(IF(VLOOKUP(Бланк!E17,'Замена SE на LS'!$C:$D,2,FALSE)=0,"замена не найдена",VLOOKUP(Бланк!E17,'Замена SE на LS'!$C:$D,2,FALSE)),"")</f>
        <v/>
      </c>
      <c r="F17" s="923" t="str">
        <f>IF(ISBLANK(Бланк!F17),"",Бланк!F17)</f>
        <v/>
      </c>
      <c r="G17" s="923" t="str">
        <f>IF(ISBLANK(Бланк!G17),"",Бланк!G17)</f>
        <v/>
      </c>
      <c r="H17" s="923" t="str">
        <f>IF(ISBLANK(Бланк!H17),"",Бланк!H17)</f>
        <v/>
      </c>
      <c r="I17" s="923" t="str">
        <f>IF(ISBLANK(Бланк!I17),"",Бланк!I17)</f>
        <v/>
      </c>
      <c r="J17" s="923" t="str">
        <f>IF(ISBLANK(Бланк!J17),"",Бланк!J17)</f>
        <v/>
      </c>
      <c r="K17" s="923" t="str">
        <f>IF(ISBLANK(Бланк!K17),"",Бланк!K17)</f>
        <v/>
      </c>
      <c r="L17" s="923" t="str">
        <f>IF(ISBLANK(Бланк!L17),"",Бланк!L17)</f>
        <v/>
      </c>
      <c r="M17" s="923" t="str">
        <f>IF(ISBLANK(Бланк!M17),"",Бланк!M17)</f>
        <v/>
      </c>
      <c r="N17" s="923" t="str">
        <f>IF(ISBLANK(Бланк!N17),"",Бланк!N17)</f>
        <v/>
      </c>
      <c r="O17" s="925" t="str">
        <f>IF(ISBLANK(Бланк!O17),"",Бланк!O17)</f>
        <v/>
      </c>
      <c r="P17" s="489"/>
      <c r="Q17" s="504" t="str">
        <f>IF($R17="","",IF(D!EQ8=0,"Тип кабеля не найден","Тип кабеля найден"))</f>
        <v/>
      </c>
      <c r="R17" s="504" t="str">
        <f>IF(D!$ES8&gt;0,D!$ES8,"")</f>
        <v/>
      </c>
      <c r="S17" s="504">
        <f>IF(ISERR(FIND("пофазно",$C17)),0,D!BS89+D!BV89)</f>
        <v>0</v>
      </c>
      <c r="T17" s="504">
        <f>IF(ISERR(FIND("пофазно",$C17)),0,D!BT89+D!BW89)</f>
        <v>0</v>
      </c>
      <c r="U17" s="504">
        <f>IF(ISERR(FIND("пофазно",$C17)),0,D!BU89+D!BX89)</f>
        <v>0</v>
      </c>
      <c r="V17" s="475"/>
      <c r="W17" s="1001" t="s">
        <v>89</v>
      </c>
      <c r="X17" s="504">
        <f>Габариты!CK11</f>
        <v>0</v>
      </c>
      <c r="Y17" s="504">
        <f>Габариты!CL11</f>
        <v>0</v>
      </c>
      <c r="Z17" s="504">
        <f>Габариты!CN11</f>
        <v>0</v>
      </c>
      <c r="AA17" s="504">
        <f>Габариты!CO11</f>
        <v>0</v>
      </c>
      <c r="AB17" s="504">
        <f>Габариты!CQ11</f>
        <v>0</v>
      </c>
      <c r="AC17" s="504">
        <f>Габариты!CR11</f>
        <v>0</v>
      </c>
      <c r="AD17" s="504">
        <f>Габариты!CT11</f>
        <v>0</v>
      </c>
      <c r="AE17" s="504">
        <f>Габариты!CU11</f>
        <v>0</v>
      </c>
      <c r="AF17" s="504">
        <f>Габариты!CW11</f>
        <v>0</v>
      </c>
      <c r="AG17" s="504">
        <f>Габариты!CX11</f>
        <v>0</v>
      </c>
      <c r="AH17" s="504">
        <f>Габариты!CZ11</f>
        <v>0</v>
      </c>
      <c r="AI17" s="504">
        <f>Габариты!DA11</f>
        <v>0</v>
      </c>
      <c r="AJ17" s="504">
        <f>Габариты!DC11</f>
        <v>0</v>
      </c>
      <c r="AK17" s="504">
        <f>Габариты!DD11</f>
        <v>0</v>
      </c>
      <c r="AL17" s="504">
        <f>Габариты!DF11</f>
        <v>0</v>
      </c>
      <c r="AM17" s="504">
        <f>Габариты!DG11</f>
        <v>0</v>
      </c>
      <c r="AN17" s="504">
        <f>Габариты!DI11</f>
        <v>0</v>
      </c>
      <c r="AO17" s="504">
        <f>Габариты!DJ11</f>
        <v>0</v>
      </c>
      <c r="AP17" s="504">
        <f>Габариты!DL11</f>
        <v>0</v>
      </c>
      <c r="AQ17" s="504">
        <f>Габариты!DM11</f>
        <v>0</v>
      </c>
      <c r="AR17" s="82"/>
      <c r="AS17" s="1001" t="s">
        <v>89</v>
      </c>
      <c r="AT17" s="504">
        <f>Габариты!CK40</f>
        <v>0</v>
      </c>
      <c r="AU17" s="504">
        <f>Габариты!CL40</f>
        <v>0</v>
      </c>
      <c r="AV17" s="504">
        <f>Габариты!CN40</f>
        <v>0</v>
      </c>
      <c r="AW17" s="504">
        <f>Габариты!CO40</f>
        <v>0</v>
      </c>
      <c r="AX17" s="504">
        <f>Габариты!CQ40</f>
        <v>0</v>
      </c>
      <c r="AY17" s="504">
        <f>Габариты!CR40</f>
        <v>0</v>
      </c>
      <c r="AZ17" s="504">
        <f>Габариты!CT40</f>
        <v>0</v>
      </c>
      <c r="BA17" s="504">
        <f>Габариты!CU40</f>
        <v>0</v>
      </c>
      <c r="BB17" s="504">
        <f>Габариты!CW40</f>
        <v>0</v>
      </c>
      <c r="BC17" s="504">
        <f>Габариты!CX40</f>
        <v>0</v>
      </c>
      <c r="BD17" s="504">
        <f>Габариты!CZ40</f>
        <v>0</v>
      </c>
      <c r="BE17" s="504">
        <f>Габариты!DA40</f>
        <v>0</v>
      </c>
      <c r="BF17" s="504">
        <f>Габариты!DC40</f>
        <v>0</v>
      </c>
      <c r="BG17" s="504">
        <f>Габариты!DD40</f>
        <v>0</v>
      </c>
      <c r="BH17" s="504">
        <f>Габариты!DF40</f>
        <v>0</v>
      </c>
      <c r="BI17" s="504">
        <f>Габариты!DG40</f>
        <v>0</v>
      </c>
      <c r="BJ17" s="504">
        <f>Габариты!DI40</f>
        <v>0</v>
      </c>
      <c r="BK17" s="504">
        <f>Габариты!DJ40</f>
        <v>0</v>
      </c>
      <c r="BL17" s="504">
        <f>Габариты!DL40</f>
        <v>0</v>
      </c>
      <c r="BM17" s="504">
        <f>Габариты!DM40</f>
        <v>0</v>
      </c>
      <c r="BN17" s="82"/>
      <c r="BO17" s="1001" t="s">
        <v>89</v>
      </c>
      <c r="BP17" s="507">
        <f>Габариты!CK67</f>
        <v>0</v>
      </c>
      <c r="BQ17" s="507">
        <f>Габариты!CL67</f>
        <v>0</v>
      </c>
      <c r="BR17" s="507">
        <f>Габариты!CN67</f>
        <v>0</v>
      </c>
      <c r="BS17" s="507">
        <f>Габариты!CO67</f>
        <v>0</v>
      </c>
      <c r="BT17" s="507">
        <f>Габариты!CQ67</f>
        <v>0</v>
      </c>
      <c r="BU17" s="507">
        <f>Габариты!CR67</f>
        <v>0</v>
      </c>
      <c r="BV17" s="507">
        <f>Габариты!CT67</f>
        <v>0</v>
      </c>
      <c r="BW17" s="507">
        <f>Габариты!CU67</f>
        <v>0</v>
      </c>
      <c r="BX17" s="507">
        <f>Габариты!CW67</f>
        <v>0</v>
      </c>
      <c r="BY17" s="507">
        <f>Габариты!CX67</f>
        <v>0</v>
      </c>
      <c r="BZ17" s="507">
        <f>Габариты!CZ67</f>
        <v>0</v>
      </c>
      <c r="CA17" s="507">
        <f>Габариты!DA67</f>
        <v>0</v>
      </c>
      <c r="CB17" s="507">
        <f>Габариты!DC67</f>
        <v>0</v>
      </c>
      <c r="CC17" s="507">
        <f>Габариты!DD67</f>
        <v>0</v>
      </c>
      <c r="CD17" s="507">
        <f>Габариты!DF67</f>
        <v>0</v>
      </c>
      <c r="CE17" s="507">
        <f>Габариты!DG67</f>
        <v>0</v>
      </c>
      <c r="CF17" s="507">
        <f>Габариты!DI67</f>
        <v>0</v>
      </c>
      <c r="CG17" s="507">
        <f>Габариты!DJ67</f>
        <v>0</v>
      </c>
      <c r="CH17" s="507">
        <f>Габариты!DL67</f>
        <v>0</v>
      </c>
      <c r="CI17" s="507">
        <f>Габариты!DM67</f>
        <v>0</v>
      </c>
      <c r="CY17" s="1004"/>
    </row>
    <row r="18" spans="1:103" ht="18" x14ac:dyDescent="0.25">
      <c r="A18" s="434">
        <v>6</v>
      </c>
      <c r="B18" s="924" t="str">
        <f>_xlfn.IFNA(IF(VLOOKUP(Бланк!B18,'Замена SE на LS'!$A$2:$B$70,2,FALSE)=0,"замена не найдена",VLOOKUP(Бланк!B18,'Замена SE на LS'!$A$2:$B$70,2,FALSE)),"")</f>
        <v/>
      </c>
      <c r="C18" s="923" t="str">
        <f>IF(ISBLANK(Бланк!C18),"",Бланк!C18)</f>
        <v/>
      </c>
      <c r="D18" s="923" t="str">
        <f>IF(ISBLANK(Бланк!D18),"",Бланк!D18)</f>
        <v/>
      </c>
      <c r="E18" s="923" t="str">
        <f>_xlfn.IFNA(IF(VLOOKUP(Бланк!E18,'Замена SE на LS'!$C:$D,2,FALSE)=0,"замена не найдена",VLOOKUP(Бланк!E18,'Замена SE на LS'!$C:$D,2,FALSE)),"")</f>
        <v/>
      </c>
      <c r="F18" s="923" t="str">
        <f>IF(ISBLANK(Бланк!F18),"",Бланк!F18)</f>
        <v/>
      </c>
      <c r="G18" s="923" t="str">
        <f>IF(ISBLANK(Бланк!G18),"",Бланк!G18)</f>
        <v/>
      </c>
      <c r="H18" s="923" t="str">
        <f>IF(ISBLANK(Бланк!H18),"",Бланк!H18)</f>
        <v/>
      </c>
      <c r="I18" s="923" t="str">
        <f>IF(ISBLANK(Бланк!I18),"",Бланк!I18)</f>
        <v/>
      </c>
      <c r="J18" s="923" t="str">
        <f>IF(ISBLANK(Бланк!J18),"",Бланк!J18)</f>
        <v/>
      </c>
      <c r="K18" s="923" t="str">
        <f>IF(ISBLANK(Бланк!K18),"",Бланк!K18)</f>
        <v/>
      </c>
      <c r="L18" s="923" t="str">
        <f>IF(ISBLANK(Бланк!L18),"",Бланк!L18)</f>
        <v/>
      </c>
      <c r="M18" s="923" t="str">
        <f>IF(ISBLANK(Бланк!M18),"",Бланк!M18)</f>
        <v/>
      </c>
      <c r="N18" s="923" t="str">
        <f>IF(ISBLANK(Бланк!N18),"",Бланк!N18)</f>
        <v/>
      </c>
      <c r="O18" s="925" t="str">
        <f>IF(ISBLANK(Бланк!O18),"",Бланк!O18)</f>
        <v/>
      </c>
      <c r="P18" s="489"/>
      <c r="Q18" s="504" t="str">
        <f>IF($R18="","",IF(D!EQ9=0,"Тип кабеля не найден","Тип кабеля найден"))</f>
        <v/>
      </c>
      <c r="R18" s="504" t="str">
        <f>IF(D!$ES9&gt;0,D!$ES9,"")</f>
        <v/>
      </c>
      <c r="S18" s="504">
        <f>IF(ISERR(FIND("пофазно",$C18)),0,D!BS90+D!BV90)</f>
        <v>0</v>
      </c>
      <c r="T18" s="504">
        <f>IF(ISERR(FIND("пофазно",$C18)),0,D!BT90+D!BW90)</f>
        <v>0</v>
      </c>
      <c r="U18" s="504">
        <f>IF(ISERR(FIND("пофазно",$C18)),0,D!BU90+D!BX90)</f>
        <v>0</v>
      </c>
      <c r="V18" s="475"/>
      <c r="W18" s="1001" t="s">
        <v>90</v>
      </c>
      <c r="X18" s="504">
        <f>Габариты!CK12</f>
        <v>0</v>
      </c>
      <c r="Y18" s="504">
        <f>Габариты!CL12</f>
        <v>0</v>
      </c>
      <c r="Z18" s="504">
        <f>Габариты!CN12</f>
        <v>0</v>
      </c>
      <c r="AA18" s="504">
        <f>Габариты!CO12</f>
        <v>0</v>
      </c>
      <c r="AB18" s="504">
        <f>Габариты!CQ12</f>
        <v>0</v>
      </c>
      <c r="AC18" s="504">
        <f>Габариты!CR12</f>
        <v>0</v>
      </c>
      <c r="AD18" s="504">
        <f>Габариты!CT12</f>
        <v>0</v>
      </c>
      <c r="AE18" s="504">
        <f>Габариты!CU12</f>
        <v>0</v>
      </c>
      <c r="AF18" s="504">
        <f>Габариты!CW12</f>
        <v>0</v>
      </c>
      <c r="AG18" s="504">
        <f>Габариты!CX12</f>
        <v>0</v>
      </c>
      <c r="AH18" s="504">
        <f>Габариты!CZ12</f>
        <v>0</v>
      </c>
      <c r="AI18" s="504">
        <f>Габариты!DA12</f>
        <v>0</v>
      </c>
      <c r="AJ18" s="504">
        <f>Габариты!DC12</f>
        <v>0</v>
      </c>
      <c r="AK18" s="504">
        <f>Габариты!DD12</f>
        <v>0</v>
      </c>
      <c r="AL18" s="504">
        <f>Габариты!DF12</f>
        <v>0</v>
      </c>
      <c r="AM18" s="504">
        <f>Габариты!DG12</f>
        <v>0</v>
      </c>
      <c r="AN18" s="504">
        <f>Габариты!DI12</f>
        <v>0</v>
      </c>
      <c r="AO18" s="504">
        <f>Габариты!DJ12</f>
        <v>0</v>
      </c>
      <c r="AP18" s="504">
        <f>Габариты!DL12</f>
        <v>0</v>
      </c>
      <c r="AQ18" s="504">
        <f>Габариты!DM12</f>
        <v>0</v>
      </c>
      <c r="AR18" s="82"/>
      <c r="AS18" s="1001" t="s">
        <v>90</v>
      </c>
      <c r="AT18" s="504">
        <f>Габариты!CK41</f>
        <v>0</v>
      </c>
      <c r="AU18" s="504">
        <f>Габариты!CL41</f>
        <v>0</v>
      </c>
      <c r="AV18" s="504">
        <f>Габариты!CN41</f>
        <v>0</v>
      </c>
      <c r="AW18" s="504">
        <f>Габариты!CO41</f>
        <v>0</v>
      </c>
      <c r="AX18" s="504">
        <f>Габариты!CQ41</f>
        <v>0</v>
      </c>
      <c r="AY18" s="504">
        <f>Габариты!CR41</f>
        <v>0</v>
      </c>
      <c r="AZ18" s="504">
        <f>Габариты!CT41</f>
        <v>0</v>
      </c>
      <c r="BA18" s="504">
        <f>Габариты!CU41</f>
        <v>0</v>
      </c>
      <c r="BB18" s="504">
        <f>Габариты!CW41</f>
        <v>0</v>
      </c>
      <c r="BC18" s="504">
        <f>Габариты!CX41</f>
        <v>0</v>
      </c>
      <c r="BD18" s="504">
        <f>Габариты!CZ41</f>
        <v>0</v>
      </c>
      <c r="BE18" s="504">
        <f>Габариты!DA41</f>
        <v>0</v>
      </c>
      <c r="BF18" s="504">
        <f>Габариты!DC41</f>
        <v>0</v>
      </c>
      <c r="BG18" s="504">
        <f>Габариты!DD41</f>
        <v>0</v>
      </c>
      <c r="BH18" s="504">
        <f>Габариты!DF41</f>
        <v>0</v>
      </c>
      <c r="BI18" s="504">
        <f>Габариты!DG41</f>
        <v>0</v>
      </c>
      <c r="BJ18" s="504">
        <f>Габариты!DI41</f>
        <v>0</v>
      </c>
      <c r="BK18" s="504">
        <f>Габариты!DJ41</f>
        <v>0</v>
      </c>
      <c r="BL18" s="504">
        <f>Габариты!DL41</f>
        <v>0</v>
      </c>
      <c r="BM18" s="504">
        <f>Габариты!DM41</f>
        <v>0</v>
      </c>
      <c r="BN18" s="82"/>
      <c r="BO18" s="1001" t="s">
        <v>90</v>
      </c>
      <c r="BP18" s="507">
        <f>Габариты!CK68</f>
        <v>0</v>
      </c>
      <c r="BQ18" s="507">
        <f>Габариты!CL68</f>
        <v>0</v>
      </c>
      <c r="BR18" s="507">
        <f>Габариты!CN68</f>
        <v>0</v>
      </c>
      <c r="BS18" s="507">
        <f>Габариты!CO68</f>
        <v>0</v>
      </c>
      <c r="BT18" s="507">
        <f>Габариты!CQ68</f>
        <v>0</v>
      </c>
      <c r="BU18" s="507">
        <f>Габариты!CR68</f>
        <v>0</v>
      </c>
      <c r="BV18" s="507">
        <f>Габариты!CT68</f>
        <v>0</v>
      </c>
      <c r="BW18" s="507">
        <f>Габариты!CU68</f>
        <v>0</v>
      </c>
      <c r="BX18" s="507">
        <f>Габариты!CW68</f>
        <v>0</v>
      </c>
      <c r="BY18" s="507">
        <f>Габариты!CX68</f>
        <v>0</v>
      </c>
      <c r="BZ18" s="507">
        <f>Габариты!CZ68</f>
        <v>0</v>
      </c>
      <c r="CA18" s="507">
        <f>Габариты!DA68</f>
        <v>0</v>
      </c>
      <c r="CB18" s="507">
        <f>Габариты!DC68</f>
        <v>0</v>
      </c>
      <c r="CC18" s="507">
        <f>Габариты!DD68</f>
        <v>0</v>
      </c>
      <c r="CD18" s="507">
        <f>Габариты!DF68</f>
        <v>0</v>
      </c>
      <c r="CE18" s="507">
        <f>Габариты!DG68</f>
        <v>0</v>
      </c>
      <c r="CF18" s="507">
        <f>Габариты!DI68</f>
        <v>0</v>
      </c>
      <c r="CG18" s="507">
        <f>Габариты!DJ68</f>
        <v>0</v>
      </c>
      <c r="CH18" s="507">
        <f>Габариты!DL68</f>
        <v>0</v>
      </c>
      <c r="CI18" s="507">
        <f>Габариты!DM68</f>
        <v>0</v>
      </c>
      <c r="CY18" s="1004"/>
    </row>
    <row r="19" spans="1:103" ht="18" x14ac:dyDescent="0.25">
      <c r="A19" s="434">
        <v>7</v>
      </c>
      <c r="B19" s="924" t="str">
        <f>_xlfn.IFNA(IF(VLOOKUP(Бланк!B19,'Замена SE на LS'!$A$2:$B$70,2,FALSE)=0,"замена не найдена",VLOOKUP(Бланк!B19,'Замена SE на LS'!$A$2:$B$70,2,FALSE)),"")</f>
        <v/>
      </c>
      <c r="C19" s="923" t="str">
        <f>IF(ISBLANK(Бланк!C19),"",Бланк!C19)</f>
        <v/>
      </c>
      <c r="D19" s="923" t="str">
        <f>IF(ISBLANK(Бланк!D19),"",Бланк!D19)</f>
        <v/>
      </c>
      <c r="E19" s="923" t="str">
        <f>_xlfn.IFNA(IF(VLOOKUP(Бланк!E19,'Замена SE на LS'!$C:$D,2,FALSE)=0,"замена не найдена",VLOOKUP(Бланк!E19,'Замена SE на LS'!$C:$D,2,FALSE)),"")</f>
        <v/>
      </c>
      <c r="F19" s="923" t="str">
        <f>IF(ISBLANK(Бланк!F19),"",Бланк!F19)</f>
        <v/>
      </c>
      <c r="G19" s="923" t="str">
        <f>IF(ISBLANK(Бланк!G19),"",Бланк!G19)</f>
        <v/>
      </c>
      <c r="H19" s="923" t="str">
        <f>IF(ISBLANK(Бланк!H19),"",Бланк!H19)</f>
        <v/>
      </c>
      <c r="I19" s="923" t="str">
        <f>IF(ISBLANK(Бланк!I19),"",Бланк!I19)</f>
        <v/>
      </c>
      <c r="J19" s="923" t="str">
        <f>IF(ISBLANK(Бланк!J19),"",Бланк!J19)</f>
        <v/>
      </c>
      <c r="K19" s="923" t="str">
        <f>IF(ISBLANK(Бланк!K19),"",Бланк!K19)</f>
        <v/>
      </c>
      <c r="L19" s="923" t="str">
        <f>IF(ISBLANK(Бланк!L19),"",Бланк!L19)</f>
        <v/>
      </c>
      <c r="M19" s="923" t="str">
        <f>IF(ISBLANK(Бланк!M19),"",Бланк!M19)</f>
        <v/>
      </c>
      <c r="N19" s="923" t="str">
        <f>IF(ISBLANK(Бланк!N19),"",Бланк!N19)</f>
        <v/>
      </c>
      <c r="O19" s="925" t="str">
        <f>IF(ISBLANK(Бланк!O19),"",Бланк!O19)</f>
        <v/>
      </c>
      <c r="P19" s="489"/>
      <c r="Q19" s="504" t="str">
        <f>IF($R19="","",IF(D!EQ10=0,"Тип кабеля не найден","Тип кабеля найден"))</f>
        <v/>
      </c>
      <c r="R19" s="504" t="str">
        <f>IF(D!$ES10&gt;0,D!$ES10,"")</f>
        <v/>
      </c>
      <c r="S19" s="504">
        <f>IF(ISERR(FIND("пофазно",$C19)),0,D!BS91+D!BV91)</f>
        <v>0</v>
      </c>
      <c r="T19" s="504">
        <f>IF(ISERR(FIND("пофазно",$C19)),0,D!BT91+D!BW91)</f>
        <v>0</v>
      </c>
      <c r="U19" s="504">
        <f>IF(ISERR(FIND("пофазно",$C19)),0,D!BU91+D!BX91)</f>
        <v>0</v>
      </c>
      <c r="V19" s="475"/>
      <c r="W19" s="1001" t="s">
        <v>91</v>
      </c>
      <c r="X19" s="504">
        <f>Габариты!CK13</f>
        <v>0</v>
      </c>
      <c r="Y19" s="504">
        <f>Габариты!CL13</f>
        <v>0</v>
      </c>
      <c r="Z19" s="504">
        <f>Габариты!CN13</f>
        <v>0</v>
      </c>
      <c r="AA19" s="504">
        <f>Габариты!CO13</f>
        <v>0</v>
      </c>
      <c r="AB19" s="504">
        <f>Габариты!CQ13</f>
        <v>0</v>
      </c>
      <c r="AC19" s="504">
        <f>Габариты!CR13</f>
        <v>0</v>
      </c>
      <c r="AD19" s="504">
        <f>Габариты!CT13</f>
        <v>0</v>
      </c>
      <c r="AE19" s="504">
        <f>Габариты!CU13</f>
        <v>0</v>
      </c>
      <c r="AF19" s="504">
        <f>Габариты!CW13</f>
        <v>0</v>
      </c>
      <c r="AG19" s="504">
        <f>Габариты!CX13</f>
        <v>0</v>
      </c>
      <c r="AH19" s="504">
        <f>Габариты!CZ13</f>
        <v>0</v>
      </c>
      <c r="AI19" s="504">
        <f>Габариты!DA13</f>
        <v>0</v>
      </c>
      <c r="AJ19" s="504">
        <f>Габариты!DC13</f>
        <v>0</v>
      </c>
      <c r="AK19" s="504">
        <f>Габариты!DD13</f>
        <v>0</v>
      </c>
      <c r="AL19" s="504">
        <f>Габариты!DF13</f>
        <v>0</v>
      </c>
      <c r="AM19" s="504">
        <f>Габариты!DG13</f>
        <v>0</v>
      </c>
      <c r="AN19" s="504">
        <f>Габариты!DI13</f>
        <v>0</v>
      </c>
      <c r="AO19" s="504">
        <f>Габариты!DJ13</f>
        <v>0</v>
      </c>
      <c r="AP19" s="504">
        <f>Габариты!DL13</f>
        <v>0</v>
      </c>
      <c r="AQ19" s="504">
        <f>Габариты!DM13</f>
        <v>0</v>
      </c>
      <c r="AR19" s="82"/>
      <c r="AS19" s="1001" t="s">
        <v>91</v>
      </c>
      <c r="AT19" s="504">
        <f>Габариты!CK42</f>
        <v>0</v>
      </c>
      <c r="AU19" s="504">
        <f>Габариты!CL42</f>
        <v>0</v>
      </c>
      <c r="AV19" s="504">
        <f>Габариты!CN42</f>
        <v>0</v>
      </c>
      <c r="AW19" s="504">
        <f>Габариты!CO42</f>
        <v>0</v>
      </c>
      <c r="AX19" s="504">
        <f>Габариты!CQ42</f>
        <v>0</v>
      </c>
      <c r="AY19" s="504">
        <f>Габариты!CR42</f>
        <v>0</v>
      </c>
      <c r="AZ19" s="504">
        <f>Габариты!CT42</f>
        <v>0</v>
      </c>
      <c r="BA19" s="504">
        <f>Габариты!CU42</f>
        <v>0</v>
      </c>
      <c r="BB19" s="504">
        <f>Габариты!CW42</f>
        <v>0</v>
      </c>
      <c r="BC19" s="504">
        <f>Габариты!CX42</f>
        <v>0</v>
      </c>
      <c r="BD19" s="504">
        <f>Габариты!CZ42</f>
        <v>0</v>
      </c>
      <c r="BE19" s="504">
        <f>Габариты!DA42</f>
        <v>0</v>
      </c>
      <c r="BF19" s="504">
        <f>Габариты!DC42</f>
        <v>0</v>
      </c>
      <c r="BG19" s="504">
        <f>Габариты!DD42</f>
        <v>0</v>
      </c>
      <c r="BH19" s="504">
        <f>Габариты!DF42</f>
        <v>0</v>
      </c>
      <c r="BI19" s="504">
        <f>Габариты!DG42</f>
        <v>0</v>
      </c>
      <c r="BJ19" s="504">
        <f>Габариты!DI42</f>
        <v>0</v>
      </c>
      <c r="BK19" s="504">
        <f>Габариты!DJ42</f>
        <v>0</v>
      </c>
      <c r="BL19" s="504">
        <f>Габариты!DL42</f>
        <v>0</v>
      </c>
      <c r="BM19" s="504">
        <f>Габариты!DM42</f>
        <v>0</v>
      </c>
      <c r="BN19" s="82"/>
      <c r="BO19" s="1001" t="s">
        <v>91</v>
      </c>
      <c r="BP19" s="507">
        <f>Габариты!CK69</f>
        <v>0</v>
      </c>
      <c r="BQ19" s="507">
        <f>Габариты!CL69</f>
        <v>0</v>
      </c>
      <c r="BR19" s="507">
        <f>Габариты!CN69</f>
        <v>0</v>
      </c>
      <c r="BS19" s="507">
        <f>Габариты!CO69</f>
        <v>0</v>
      </c>
      <c r="BT19" s="507">
        <f>Габариты!CQ69</f>
        <v>0</v>
      </c>
      <c r="BU19" s="507">
        <f>Габариты!CR69</f>
        <v>0</v>
      </c>
      <c r="BV19" s="507">
        <f>Габариты!CT69</f>
        <v>0</v>
      </c>
      <c r="BW19" s="507">
        <f>Габариты!CU69</f>
        <v>0</v>
      </c>
      <c r="BX19" s="507">
        <f>Габариты!CW69</f>
        <v>0</v>
      </c>
      <c r="BY19" s="507">
        <f>Габариты!CX69</f>
        <v>0</v>
      </c>
      <c r="BZ19" s="507">
        <f>Габариты!CZ69</f>
        <v>0</v>
      </c>
      <c r="CA19" s="507">
        <f>Габариты!DA69</f>
        <v>0</v>
      </c>
      <c r="CB19" s="507">
        <f>Габариты!DC69</f>
        <v>0</v>
      </c>
      <c r="CC19" s="507">
        <f>Габариты!DD69</f>
        <v>0</v>
      </c>
      <c r="CD19" s="507">
        <f>Габариты!DF69</f>
        <v>0</v>
      </c>
      <c r="CE19" s="507">
        <f>Габариты!DG69</f>
        <v>0</v>
      </c>
      <c r="CF19" s="507">
        <f>Габариты!DI69</f>
        <v>0</v>
      </c>
      <c r="CG19" s="507">
        <f>Габариты!DJ69</f>
        <v>0</v>
      </c>
      <c r="CH19" s="507">
        <f>Габариты!DL69</f>
        <v>0</v>
      </c>
      <c r="CI19" s="507">
        <f>Габариты!DM69</f>
        <v>0</v>
      </c>
      <c r="CY19" s="1004"/>
    </row>
    <row r="20" spans="1:103" ht="18" x14ac:dyDescent="0.25">
      <c r="A20" s="434">
        <v>8</v>
      </c>
      <c r="B20" s="924" t="str">
        <f>_xlfn.IFNA(IF(VLOOKUP(Бланк!B20,'Замена SE на LS'!$A$2:$B$70,2,FALSE)=0,"замена не найдена",VLOOKUP(Бланк!B20,'Замена SE на LS'!$A$2:$B$70,2,FALSE)),"")</f>
        <v/>
      </c>
      <c r="C20" s="923" t="str">
        <f>IF(ISBLANK(Бланк!C20),"",Бланк!C20)</f>
        <v/>
      </c>
      <c r="D20" s="923" t="str">
        <f>IF(ISBLANK(Бланк!D20),"",Бланк!D20)</f>
        <v/>
      </c>
      <c r="E20" s="923" t="str">
        <f>_xlfn.IFNA(IF(VLOOKUP(Бланк!E20,'Замена SE на LS'!$C:$D,2,FALSE)=0,"замена не найдена",VLOOKUP(Бланк!E20,'Замена SE на LS'!$C:$D,2,FALSE)),"")</f>
        <v/>
      </c>
      <c r="F20" s="923" t="str">
        <f>IF(ISBLANK(Бланк!F20),"",Бланк!F20)</f>
        <v/>
      </c>
      <c r="G20" s="923" t="str">
        <f>IF(ISBLANK(Бланк!G20),"",Бланк!G20)</f>
        <v/>
      </c>
      <c r="H20" s="923" t="str">
        <f>IF(ISBLANK(Бланк!H20),"",Бланк!H20)</f>
        <v/>
      </c>
      <c r="I20" s="923" t="str">
        <f>IF(ISBLANK(Бланк!I20),"",Бланк!I20)</f>
        <v/>
      </c>
      <c r="J20" s="923" t="str">
        <f>IF(ISBLANK(Бланк!J20),"",Бланк!J20)</f>
        <v/>
      </c>
      <c r="K20" s="923" t="str">
        <f>IF(ISBLANK(Бланк!K20),"",Бланк!K20)</f>
        <v/>
      </c>
      <c r="L20" s="923" t="str">
        <f>IF(ISBLANK(Бланк!L20),"",Бланк!L20)</f>
        <v/>
      </c>
      <c r="M20" s="923" t="str">
        <f>IF(ISBLANK(Бланк!M20),"",Бланк!M20)</f>
        <v/>
      </c>
      <c r="N20" s="923" t="str">
        <f>IF(ISBLANK(Бланк!N20),"",Бланк!N20)</f>
        <v/>
      </c>
      <c r="O20" s="925" t="str">
        <f>IF(ISBLANK(Бланк!O20),"",Бланк!O20)</f>
        <v/>
      </c>
      <c r="P20" s="489"/>
      <c r="Q20" s="504" t="str">
        <f>IF($R20="","",IF(D!EQ11=0,"Тип кабеля не найден","Тип кабеля найден"))</f>
        <v/>
      </c>
      <c r="R20" s="504" t="str">
        <f>IF(D!$ES11&gt;0,D!$ES11,"")</f>
        <v/>
      </c>
      <c r="S20" s="504">
        <f>IF(ISERR(FIND("пофазно",$C20)),0,D!BS92+D!BV92)</f>
        <v>0</v>
      </c>
      <c r="T20" s="504">
        <f>IF(ISERR(FIND("пофазно",$C20)),0,D!BT92+D!BW92)</f>
        <v>0</v>
      </c>
      <c r="U20" s="504">
        <f>IF(ISERR(FIND("пофазно",$C20)),0,D!BU92+D!BX92)</f>
        <v>0</v>
      </c>
      <c r="V20" s="475"/>
      <c r="W20" s="1001" t="s">
        <v>92</v>
      </c>
      <c r="X20" s="504">
        <f>Габариты!CK14</f>
        <v>0</v>
      </c>
      <c r="Y20" s="504">
        <f>Габариты!CL14</f>
        <v>0</v>
      </c>
      <c r="Z20" s="504">
        <f>Габариты!CN14</f>
        <v>0</v>
      </c>
      <c r="AA20" s="504">
        <f>Габариты!CO14</f>
        <v>0</v>
      </c>
      <c r="AB20" s="504">
        <f>Габариты!CQ14</f>
        <v>0</v>
      </c>
      <c r="AC20" s="504">
        <f>Габариты!CR14</f>
        <v>0</v>
      </c>
      <c r="AD20" s="504">
        <f>Габариты!CT14</f>
        <v>0</v>
      </c>
      <c r="AE20" s="504">
        <f>Габариты!CU14</f>
        <v>0</v>
      </c>
      <c r="AF20" s="504">
        <f>Габариты!CW14</f>
        <v>0</v>
      </c>
      <c r="AG20" s="504">
        <f>Габариты!CX14</f>
        <v>0</v>
      </c>
      <c r="AH20" s="504">
        <f>Габариты!CZ14</f>
        <v>0</v>
      </c>
      <c r="AI20" s="504">
        <f>Габариты!DA14</f>
        <v>0</v>
      </c>
      <c r="AJ20" s="504">
        <f>Габариты!DC14</f>
        <v>0</v>
      </c>
      <c r="AK20" s="504">
        <f>Габариты!DD14</f>
        <v>0</v>
      </c>
      <c r="AL20" s="504">
        <f>Габариты!DF14</f>
        <v>0</v>
      </c>
      <c r="AM20" s="504">
        <f>Габариты!DG14</f>
        <v>0</v>
      </c>
      <c r="AN20" s="504">
        <f>Габариты!DI14</f>
        <v>0</v>
      </c>
      <c r="AO20" s="504">
        <f>Габариты!DJ14</f>
        <v>0</v>
      </c>
      <c r="AP20" s="504">
        <f>Габариты!DL14</f>
        <v>0</v>
      </c>
      <c r="AQ20" s="504">
        <f>Габариты!DM14</f>
        <v>0</v>
      </c>
      <c r="AR20" s="82"/>
      <c r="AS20" s="1001" t="s">
        <v>92</v>
      </c>
      <c r="AT20" s="504">
        <f>Габариты!CK43</f>
        <v>0</v>
      </c>
      <c r="AU20" s="504">
        <f>Габариты!CL43</f>
        <v>0</v>
      </c>
      <c r="AV20" s="504">
        <f>Габариты!CN43</f>
        <v>0</v>
      </c>
      <c r="AW20" s="504">
        <f>Габариты!CO43</f>
        <v>0</v>
      </c>
      <c r="AX20" s="504">
        <f>Габариты!CQ43</f>
        <v>0</v>
      </c>
      <c r="AY20" s="504">
        <f>Габариты!CR43</f>
        <v>0</v>
      </c>
      <c r="AZ20" s="504">
        <f>Габариты!CT43</f>
        <v>0</v>
      </c>
      <c r="BA20" s="504">
        <f>Габариты!CU43</f>
        <v>0</v>
      </c>
      <c r="BB20" s="504">
        <f>Габариты!CW43</f>
        <v>0</v>
      </c>
      <c r="BC20" s="504">
        <f>Габариты!CX43</f>
        <v>0</v>
      </c>
      <c r="BD20" s="504">
        <f>Габариты!CZ43</f>
        <v>0</v>
      </c>
      <c r="BE20" s="504">
        <f>Габариты!DA43</f>
        <v>0</v>
      </c>
      <c r="BF20" s="504">
        <f>Габариты!DC43</f>
        <v>0</v>
      </c>
      <c r="BG20" s="504">
        <f>Габариты!DD43</f>
        <v>0</v>
      </c>
      <c r="BH20" s="504">
        <f>Габариты!DF43</f>
        <v>0</v>
      </c>
      <c r="BI20" s="504">
        <f>Габариты!DG43</f>
        <v>0</v>
      </c>
      <c r="BJ20" s="504">
        <f>Габариты!DI43</f>
        <v>0</v>
      </c>
      <c r="BK20" s="504">
        <f>Габариты!DJ43</f>
        <v>0</v>
      </c>
      <c r="BL20" s="504">
        <f>Габариты!DL43</f>
        <v>0</v>
      </c>
      <c r="BM20" s="504">
        <f>Габариты!DM43</f>
        <v>0</v>
      </c>
      <c r="BN20" s="82"/>
      <c r="BO20" s="1001" t="s">
        <v>92</v>
      </c>
      <c r="BP20" s="507">
        <f>Габариты!CK70</f>
        <v>0</v>
      </c>
      <c r="BQ20" s="507">
        <f>Габариты!CL70</f>
        <v>0</v>
      </c>
      <c r="BR20" s="507">
        <f>Габариты!CN70</f>
        <v>0</v>
      </c>
      <c r="BS20" s="507">
        <f>Габариты!CO70</f>
        <v>0</v>
      </c>
      <c r="BT20" s="507">
        <f>Габариты!CQ70</f>
        <v>0</v>
      </c>
      <c r="BU20" s="507">
        <f>Габариты!CR70</f>
        <v>0</v>
      </c>
      <c r="BV20" s="507">
        <f>Габариты!CT70</f>
        <v>0</v>
      </c>
      <c r="BW20" s="507">
        <f>Габариты!CU70</f>
        <v>0</v>
      </c>
      <c r="BX20" s="507">
        <f>Габариты!CW70</f>
        <v>0</v>
      </c>
      <c r="BY20" s="507">
        <f>Габариты!CX70</f>
        <v>0</v>
      </c>
      <c r="BZ20" s="507">
        <f>Габариты!CZ70</f>
        <v>0</v>
      </c>
      <c r="CA20" s="507">
        <f>Габариты!DA70</f>
        <v>0</v>
      </c>
      <c r="CB20" s="507">
        <f>Габариты!DC70</f>
        <v>0</v>
      </c>
      <c r="CC20" s="507">
        <f>Габариты!DD70</f>
        <v>0</v>
      </c>
      <c r="CD20" s="507">
        <f>Габариты!DF70</f>
        <v>0</v>
      </c>
      <c r="CE20" s="507">
        <f>Габариты!DG70</f>
        <v>0</v>
      </c>
      <c r="CF20" s="507">
        <f>Габариты!DI70</f>
        <v>0</v>
      </c>
      <c r="CG20" s="507">
        <f>Габариты!DJ70</f>
        <v>0</v>
      </c>
      <c r="CH20" s="507">
        <f>Габариты!DL70</f>
        <v>0</v>
      </c>
      <c r="CI20" s="507">
        <f>Габариты!DM70</f>
        <v>0</v>
      </c>
      <c r="CY20" s="1004"/>
    </row>
    <row r="21" spans="1:103" ht="18" x14ac:dyDescent="0.25">
      <c r="A21" s="434">
        <v>9</v>
      </c>
      <c r="B21" s="924" t="str">
        <f>_xlfn.IFNA(IF(VLOOKUP(Бланк!B21,'Замена SE на LS'!$A$2:$B$70,2,FALSE)=0,"замена не найдена",VLOOKUP(Бланк!B21,'Замена SE на LS'!$A$2:$B$70,2,FALSE)),"")</f>
        <v/>
      </c>
      <c r="C21" s="923" t="str">
        <f>IF(ISBLANK(Бланк!C21),"",Бланк!C21)</f>
        <v/>
      </c>
      <c r="D21" s="923" t="str">
        <f>IF(ISBLANK(Бланк!D21),"",Бланк!D21)</f>
        <v/>
      </c>
      <c r="E21" s="923" t="str">
        <f>_xlfn.IFNA(IF(VLOOKUP(Бланк!E21,'Замена SE на LS'!$C:$D,2,FALSE)=0,"замена не найдена",VLOOKUP(Бланк!E21,'Замена SE на LS'!$C:$D,2,FALSE)),"")</f>
        <v/>
      </c>
      <c r="F21" s="923" t="str">
        <f>IF(ISBLANK(Бланк!F21),"",Бланк!F21)</f>
        <v/>
      </c>
      <c r="G21" s="923" t="str">
        <f>IF(ISBLANK(Бланк!G21),"",Бланк!G21)</f>
        <v/>
      </c>
      <c r="H21" s="923" t="str">
        <f>IF(ISBLANK(Бланк!H21),"",Бланк!H21)</f>
        <v/>
      </c>
      <c r="I21" s="923" t="str">
        <f>IF(ISBLANK(Бланк!I21),"",Бланк!I21)</f>
        <v/>
      </c>
      <c r="J21" s="923" t="str">
        <f>IF(ISBLANK(Бланк!J21),"",Бланк!J21)</f>
        <v/>
      </c>
      <c r="K21" s="923" t="str">
        <f>IF(ISBLANK(Бланк!K21),"",Бланк!K21)</f>
        <v/>
      </c>
      <c r="L21" s="923" t="str">
        <f>IF(ISBLANK(Бланк!L21),"",Бланк!L21)</f>
        <v/>
      </c>
      <c r="M21" s="923" t="str">
        <f>IF(ISBLANK(Бланк!M21),"",Бланк!M21)</f>
        <v/>
      </c>
      <c r="N21" s="923" t="str">
        <f>IF(ISBLANK(Бланк!N21),"",Бланк!N21)</f>
        <v/>
      </c>
      <c r="O21" s="925" t="str">
        <f>IF(ISBLANK(Бланк!O21),"",Бланк!O21)</f>
        <v/>
      </c>
      <c r="P21" s="489"/>
      <c r="Q21" s="504" t="str">
        <f>IF($R21="","",IF(D!EQ12=0,"Тип кабеля не найден","Тип кабеля найден"))</f>
        <v/>
      </c>
      <c r="R21" s="504" t="str">
        <f>IF(D!$ES12&gt;0,D!$ES12,"")</f>
        <v/>
      </c>
      <c r="S21" s="504">
        <f>IF(ISERR(FIND("пофазно",$C21)),0,D!BS93+D!BV93)</f>
        <v>0</v>
      </c>
      <c r="T21" s="504">
        <f>IF(ISERR(FIND("пофазно",$C21)),0,D!BT93+D!BW93)</f>
        <v>0</v>
      </c>
      <c r="U21" s="504">
        <f>IF(ISERR(FIND("пофазно",$C21)),0,D!BU93+D!BX93)</f>
        <v>0</v>
      </c>
      <c r="V21" s="475"/>
      <c r="W21" s="1001" t="s">
        <v>93</v>
      </c>
      <c r="X21" s="504">
        <f>Габариты!CK15</f>
        <v>0</v>
      </c>
      <c r="Y21" s="504">
        <f>Габариты!CL15</f>
        <v>0</v>
      </c>
      <c r="Z21" s="504">
        <f>Габариты!CN15</f>
        <v>0</v>
      </c>
      <c r="AA21" s="504">
        <f>Габариты!CO15</f>
        <v>0</v>
      </c>
      <c r="AB21" s="504">
        <f>Габариты!CQ15</f>
        <v>0</v>
      </c>
      <c r="AC21" s="504">
        <f>Габариты!CR15</f>
        <v>0</v>
      </c>
      <c r="AD21" s="504">
        <f>Габариты!CT15</f>
        <v>0</v>
      </c>
      <c r="AE21" s="504">
        <f>Габариты!CU15</f>
        <v>0</v>
      </c>
      <c r="AF21" s="504">
        <f>Габариты!CW15</f>
        <v>0</v>
      </c>
      <c r="AG21" s="504">
        <f>Габариты!CX15</f>
        <v>0</v>
      </c>
      <c r="AH21" s="504">
        <f>Габариты!CZ15</f>
        <v>0</v>
      </c>
      <c r="AI21" s="504">
        <f>Габариты!DA15</f>
        <v>0</v>
      </c>
      <c r="AJ21" s="504">
        <f>Габариты!DC15</f>
        <v>0</v>
      </c>
      <c r="AK21" s="504">
        <f>Габариты!DD15</f>
        <v>0</v>
      </c>
      <c r="AL21" s="504">
        <f>Габариты!DF15</f>
        <v>0</v>
      </c>
      <c r="AM21" s="504">
        <f>Габариты!DG15</f>
        <v>0</v>
      </c>
      <c r="AN21" s="504">
        <f>Габариты!DI15</f>
        <v>0</v>
      </c>
      <c r="AO21" s="504">
        <f>Габариты!DJ15</f>
        <v>0</v>
      </c>
      <c r="AP21" s="504">
        <f>Габариты!DL15</f>
        <v>0</v>
      </c>
      <c r="AQ21" s="504">
        <f>Габариты!DM15</f>
        <v>0</v>
      </c>
      <c r="AR21" s="82"/>
      <c r="AS21" s="1001" t="s">
        <v>93</v>
      </c>
      <c r="AT21" s="504">
        <f>Габариты!CK44</f>
        <v>0</v>
      </c>
      <c r="AU21" s="504">
        <f>Габариты!CL44</f>
        <v>0</v>
      </c>
      <c r="AV21" s="504">
        <f>Габариты!CN44</f>
        <v>0</v>
      </c>
      <c r="AW21" s="504">
        <f>Габариты!CO44</f>
        <v>0</v>
      </c>
      <c r="AX21" s="504">
        <f>Габариты!CQ44</f>
        <v>0</v>
      </c>
      <c r="AY21" s="504">
        <f>Габариты!CR44</f>
        <v>0</v>
      </c>
      <c r="AZ21" s="504">
        <f>Габариты!CT44</f>
        <v>0</v>
      </c>
      <c r="BA21" s="504">
        <f>Габариты!CU44</f>
        <v>0</v>
      </c>
      <c r="BB21" s="504">
        <f>Габариты!CW44</f>
        <v>0</v>
      </c>
      <c r="BC21" s="504">
        <f>Габариты!CX44</f>
        <v>0</v>
      </c>
      <c r="BD21" s="504">
        <f>Габариты!CZ44</f>
        <v>0</v>
      </c>
      <c r="BE21" s="504">
        <f>Габариты!DA44</f>
        <v>0</v>
      </c>
      <c r="BF21" s="504">
        <f>Габариты!DC44</f>
        <v>0</v>
      </c>
      <c r="BG21" s="504">
        <f>Габариты!DD44</f>
        <v>0</v>
      </c>
      <c r="BH21" s="504">
        <f>Габариты!DF44</f>
        <v>0</v>
      </c>
      <c r="BI21" s="504">
        <f>Габариты!DG44</f>
        <v>0</v>
      </c>
      <c r="BJ21" s="504">
        <f>Габариты!DI44</f>
        <v>0</v>
      </c>
      <c r="BK21" s="504">
        <f>Габариты!DJ44</f>
        <v>0</v>
      </c>
      <c r="BL21" s="504">
        <f>Габариты!DL44</f>
        <v>0</v>
      </c>
      <c r="BM21" s="504">
        <f>Габариты!DM44</f>
        <v>0</v>
      </c>
      <c r="BN21" s="82"/>
      <c r="BO21" s="1001" t="s">
        <v>93</v>
      </c>
      <c r="BP21" s="507">
        <f>Габариты!CK71</f>
        <v>0</v>
      </c>
      <c r="BQ21" s="507">
        <f>Габариты!CL71</f>
        <v>0</v>
      </c>
      <c r="BR21" s="507">
        <f>Габариты!CN71</f>
        <v>0</v>
      </c>
      <c r="BS21" s="507">
        <f>Габариты!CO71</f>
        <v>0</v>
      </c>
      <c r="BT21" s="507">
        <f>Габариты!CQ71</f>
        <v>0</v>
      </c>
      <c r="BU21" s="507">
        <f>Габариты!CR71</f>
        <v>0</v>
      </c>
      <c r="BV21" s="507">
        <f>Габариты!CT71</f>
        <v>0</v>
      </c>
      <c r="BW21" s="507">
        <f>Габариты!CU71</f>
        <v>0</v>
      </c>
      <c r="BX21" s="507">
        <f>Габариты!CW71</f>
        <v>0</v>
      </c>
      <c r="BY21" s="507">
        <f>Габариты!CX71</f>
        <v>0</v>
      </c>
      <c r="BZ21" s="507">
        <f>Габариты!CZ71</f>
        <v>0</v>
      </c>
      <c r="CA21" s="507">
        <f>Габариты!DA71</f>
        <v>0</v>
      </c>
      <c r="CB21" s="507">
        <f>Габариты!DC71</f>
        <v>0</v>
      </c>
      <c r="CC21" s="507">
        <f>Габариты!DD71</f>
        <v>0</v>
      </c>
      <c r="CD21" s="507">
        <f>Габариты!DF71</f>
        <v>0</v>
      </c>
      <c r="CE21" s="507">
        <f>Габариты!DG71</f>
        <v>0</v>
      </c>
      <c r="CF21" s="507">
        <f>Габариты!DI71</f>
        <v>0</v>
      </c>
      <c r="CG21" s="507">
        <f>Габариты!DJ71</f>
        <v>0</v>
      </c>
      <c r="CH21" s="507">
        <f>Габариты!DL71</f>
        <v>0</v>
      </c>
      <c r="CI21" s="507">
        <f>Габариты!DM71</f>
        <v>0</v>
      </c>
      <c r="CY21" s="1004"/>
    </row>
    <row r="22" spans="1:103" ht="18" x14ac:dyDescent="0.25">
      <c r="A22" s="434">
        <v>10</v>
      </c>
      <c r="B22" s="924" t="str">
        <f>_xlfn.IFNA(IF(VLOOKUP(Бланк!B22,'Замена SE на LS'!$A$2:$B$70,2,FALSE)=0,"замена не найдена",VLOOKUP(Бланк!B22,'Замена SE на LS'!$A$2:$B$70,2,FALSE)),"")</f>
        <v/>
      </c>
      <c r="C22" s="923" t="str">
        <f>IF(ISBLANK(Бланк!C22),"",Бланк!C22)</f>
        <v/>
      </c>
      <c r="D22" s="923" t="str">
        <f>IF(ISBLANK(Бланк!D22),"",Бланк!D22)</f>
        <v/>
      </c>
      <c r="E22" s="923" t="str">
        <f>_xlfn.IFNA(IF(VLOOKUP(Бланк!E22,'Замена SE на LS'!$C:$D,2,FALSE)=0,"замена не найдена",VLOOKUP(Бланк!E22,'Замена SE на LS'!$C:$D,2,FALSE)),"")</f>
        <v/>
      </c>
      <c r="F22" s="923" t="str">
        <f>IF(ISBLANK(Бланк!F22),"",Бланк!F22)</f>
        <v/>
      </c>
      <c r="G22" s="923" t="str">
        <f>IF(ISBLANK(Бланк!G22),"",Бланк!G22)</f>
        <v/>
      </c>
      <c r="H22" s="923" t="str">
        <f>IF(ISBLANK(Бланк!H22),"",Бланк!H22)</f>
        <v/>
      </c>
      <c r="I22" s="923" t="str">
        <f>IF(ISBLANK(Бланк!I22),"",Бланк!I22)</f>
        <v/>
      </c>
      <c r="J22" s="923" t="str">
        <f>IF(ISBLANK(Бланк!J22),"",Бланк!J22)</f>
        <v/>
      </c>
      <c r="K22" s="923" t="str">
        <f>IF(ISBLANK(Бланк!K22),"",Бланк!K22)</f>
        <v/>
      </c>
      <c r="L22" s="923" t="str">
        <f>IF(ISBLANK(Бланк!L22),"",Бланк!L22)</f>
        <v/>
      </c>
      <c r="M22" s="923" t="str">
        <f>IF(ISBLANK(Бланк!M22),"",Бланк!M22)</f>
        <v/>
      </c>
      <c r="N22" s="923" t="str">
        <f>IF(ISBLANK(Бланк!N22),"",Бланк!N22)</f>
        <v/>
      </c>
      <c r="O22" s="925" t="str">
        <f>IF(ISBLANK(Бланк!O22),"",Бланк!O22)</f>
        <v/>
      </c>
      <c r="P22" s="489"/>
      <c r="Q22" s="504" t="str">
        <f>IF($R22="","",IF(D!EQ13=0,"Тип кабеля не найден","Тип кабеля найден"))</f>
        <v/>
      </c>
      <c r="R22" s="504" t="str">
        <f>IF(D!$ES13&gt;0,D!$ES13,"")</f>
        <v/>
      </c>
      <c r="S22" s="504">
        <f>IF(ISERR(FIND("пофазно",$C22)),0,D!BS94+D!BV94)</f>
        <v>0</v>
      </c>
      <c r="T22" s="504">
        <f>IF(ISERR(FIND("пофазно",$C22)),0,D!BT94+D!BW94)</f>
        <v>0</v>
      </c>
      <c r="U22" s="504">
        <f>IF(ISERR(FIND("пофазно",$C22)),0,D!BU94+D!BX94)</f>
        <v>0</v>
      </c>
      <c r="V22" s="475"/>
      <c r="W22" s="1001" t="s">
        <v>94</v>
      </c>
      <c r="X22" s="504">
        <f>Габариты!CK16</f>
        <v>0</v>
      </c>
      <c r="Y22" s="504">
        <f>Габариты!CL16</f>
        <v>0</v>
      </c>
      <c r="Z22" s="504">
        <f>Габариты!CN16</f>
        <v>0</v>
      </c>
      <c r="AA22" s="504">
        <f>Габариты!CO16</f>
        <v>0</v>
      </c>
      <c r="AB22" s="504">
        <f>Габариты!CQ16</f>
        <v>0</v>
      </c>
      <c r="AC22" s="504">
        <f>Габариты!CR16</f>
        <v>0</v>
      </c>
      <c r="AD22" s="504">
        <f>Габариты!CT16</f>
        <v>0</v>
      </c>
      <c r="AE22" s="504">
        <f>Габариты!CU16</f>
        <v>0</v>
      </c>
      <c r="AF22" s="504">
        <f>Габариты!CW16</f>
        <v>0</v>
      </c>
      <c r="AG22" s="504">
        <f>Габариты!CX16</f>
        <v>0</v>
      </c>
      <c r="AH22" s="504">
        <f>Габариты!CZ16</f>
        <v>0</v>
      </c>
      <c r="AI22" s="504">
        <f>Габариты!DA16</f>
        <v>0</v>
      </c>
      <c r="AJ22" s="504">
        <f>Габариты!DC16</f>
        <v>0</v>
      </c>
      <c r="AK22" s="504">
        <f>Габариты!DD16</f>
        <v>0</v>
      </c>
      <c r="AL22" s="504">
        <f>Габариты!DF16</f>
        <v>0</v>
      </c>
      <c r="AM22" s="504">
        <f>Габариты!DG16</f>
        <v>0</v>
      </c>
      <c r="AN22" s="504">
        <f>Габариты!DI16</f>
        <v>0</v>
      </c>
      <c r="AO22" s="504">
        <f>Габариты!DJ16</f>
        <v>0</v>
      </c>
      <c r="AP22" s="504">
        <f>Габариты!DL16</f>
        <v>0</v>
      </c>
      <c r="AQ22" s="504">
        <f>Габариты!DM16</f>
        <v>0</v>
      </c>
      <c r="AR22" s="82"/>
      <c r="AS22" s="1001" t="s">
        <v>94</v>
      </c>
      <c r="AT22" s="504">
        <f>Габариты!CK45</f>
        <v>0</v>
      </c>
      <c r="AU22" s="504">
        <f>Габариты!CL45</f>
        <v>0</v>
      </c>
      <c r="AV22" s="504">
        <f>Габариты!CN45</f>
        <v>0</v>
      </c>
      <c r="AW22" s="504">
        <f>Габариты!CO45</f>
        <v>0</v>
      </c>
      <c r="AX22" s="504">
        <f>Габариты!CQ45</f>
        <v>0</v>
      </c>
      <c r="AY22" s="504">
        <f>Габариты!CR45</f>
        <v>0</v>
      </c>
      <c r="AZ22" s="504">
        <f>Габариты!CT45</f>
        <v>0</v>
      </c>
      <c r="BA22" s="504">
        <f>Габариты!CU45</f>
        <v>0</v>
      </c>
      <c r="BB22" s="504">
        <f>Габариты!CW45</f>
        <v>0</v>
      </c>
      <c r="BC22" s="504">
        <f>Габариты!CX45</f>
        <v>0</v>
      </c>
      <c r="BD22" s="504">
        <f>Габариты!CZ45</f>
        <v>0</v>
      </c>
      <c r="BE22" s="504">
        <f>Габариты!DA45</f>
        <v>0</v>
      </c>
      <c r="BF22" s="504">
        <f>Габариты!DC45</f>
        <v>0</v>
      </c>
      <c r="BG22" s="504">
        <f>Габариты!DD45</f>
        <v>0</v>
      </c>
      <c r="BH22" s="504">
        <f>Габариты!DF45</f>
        <v>0</v>
      </c>
      <c r="BI22" s="504">
        <f>Габариты!DG45</f>
        <v>0</v>
      </c>
      <c r="BJ22" s="504">
        <f>Габариты!DI45</f>
        <v>0</v>
      </c>
      <c r="BK22" s="504">
        <f>Габариты!DJ45</f>
        <v>0</v>
      </c>
      <c r="BL22" s="504">
        <f>Габариты!DL45</f>
        <v>0</v>
      </c>
      <c r="BM22" s="504">
        <f>Габариты!DM45</f>
        <v>0</v>
      </c>
      <c r="BN22" s="82"/>
      <c r="BO22" s="1001" t="s">
        <v>94</v>
      </c>
      <c r="BP22" s="507">
        <f>Габариты!CK72</f>
        <v>0</v>
      </c>
      <c r="BQ22" s="507">
        <f>Габариты!CL72</f>
        <v>0</v>
      </c>
      <c r="BR22" s="507">
        <f>Габариты!CN72</f>
        <v>0</v>
      </c>
      <c r="BS22" s="507">
        <f>Габариты!CO72</f>
        <v>0</v>
      </c>
      <c r="BT22" s="507">
        <f>Габариты!CQ72</f>
        <v>0</v>
      </c>
      <c r="BU22" s="507">
        <f>Габариты!CR72</f>
        <v>0</v>
      </c>
      <c r="BV22" s="507">
        <f>Габариты!CT72</f>
        <v>0</v>
      </c>
      <c r="BW22" s="507">
        <f>Габариты!CU72</f>
        <v>0</v>
      </c>
      <c r="BX22" s="507">
        <f>Габариты!CW72</f>
        <v>0</v>
      </c>
      <c r="BY22" s="507">
        <f>Габариты!CX72</f>
        <v>0</v>
      </c>
      <c r="BZ22" s="507">
        <f>Габариты!CZ72</f>
        <v>0</v>
      </c>
      <c r="CA22" s="507">
        <f>Габариты!DA72</f>
        <v>0</v>
      </c>
      <c r="CB22" s="507">
        <f>Габариты!DC72</f>
        <v>0</v>
      </c>
      <c r="CC22" s="507">
        <f>Габариты!DD72</f>
        <v>0</v>
      </c>
      <c r="CD22" s="507">
        <f>Габариты!DF72</f>
        <v>0</v>
      </c>
      <c r="CE22" s="507">
        <f>Габариты!DG72</f>
        <v>0</v>
      </c>
      <c r="CF22" s="507">
        <f>Габариты!DI72</f>
        <v>0</v>
      </c>
      <c r="CG22" s="507">
        <f>Габариты!DJ72</f>
        <v>0</v>
      </c>
      <c r="CH22" s="507">
        <f>Габариты!DL72</f>
        <v>0</v>
      </c>
      <c r="CI22" s="507">
        <f>Габариты!DM72</f>
        <v>0</v>
      </c>
      <c r="CY22" s="1004"/>
    </row>
    <row r="23" spans="1:103" ht="18" x14ac:dyDescent="0.25">
      <c r="A23" s="434">
        <v>11</v>
      </c>
      <c r="B23" s="924" t="s">
        <v>21</v>
      </c>
      <c r="C23" s="923" t="str">
        <f>IF(ISBLANK(Бланк!C23),"",Бланк!C23)</f>
        <v/>
      </c>
      <c r="D23" s="923" t="str">
        <f>IF(ISBLANK(Бланк!D23),"",Бланк!D23)</f>
        <v/>
      </c>
      <c r="E23" s="923" t="str">
        <f>_xlfn.IFNA(IF(VLOOKUP(Бланк!E23,'Замена SE на LS'!$C:$D,2,FALSE)=0,"замена не найдена",VLOOKUP(Бланк!E23,'Замена SE на LS'!$C:$D,2,FALSE)),"")</f>
        <v/>
      </c>
      <c r="F23" s="923" t="str">
        <f>IF(ISBLANK(Бланк!F23),"",Бланк!F23)</f>
        <v/>
      </c>
      <c r="G23" s="923" t="str">
        <f>IF(ISBLANK(Бланк!G23),"",Бланк!G23)</f>
        <v/>
      </c>
      <c r="H23" s="923" t="str">
        <f>IF(ISBLANK(Бланк!H23),"",Бланк!H23)</f>
        <v/>
      </c>
      <c r="I23" s="923" t="str">
        <f>IF(ISBLANK(Бланк!I23),"",Бланк!I23)</f>
        <v/>
      </c>
      <c r="J23" s="923" t="str">
        <f>IF(ISBLANK(Бланк!J23),"",Бланк!J23)</f>
        <v/>
      </c>
      <c r="K23" s="923" t="str">
        <f>IF(ISBLANK(Бланк!K23),"",Бланк!K23)</f>
        <v/>
      </c>
      <c r="L23" s="923" t="str">
        <f>IF(ISBLANK(Бланк!L23),"",Бланк!L23)</f>
        <v/>
      </c>
      <c r="M23" s="923" t="str">
        <f>IF(ISBLANK(Бланк!M23),"",Бланк!M23)</f>
        <v/>
      </c>
      <c r="N23" s="923" t="str">
        <f>IF(ISBLANK(Бланк!N23),"",Бланк!N23)</f>
        <v/>
      </c>
      <c r="O23" s="925" t="str">
        <f>IF(ISBLANK(Бланк!O23),"",Бланк!O23)</f>
        <v/>
      </c>
      <c r="P23" s="489"/>
      <c r="Q23" s="504" t="str">
        <f>IF($R23="","",IF(D!EQ14=0,"Тип кабеля не найден","Тип кабеля найден"))</f>
        <v/>
      </c>
      <c r="R23" s="504" t="str">
        <f>IF(D!$ES14&gt;0,D!$ES14,"")</f>
        <v/>
      </c>
      <c r="S23" s="504">
        <f>IF(ISERR(FIND("пофазно",$C23)),0,D!BS95+D!BV95)</f>
        <v>0</v>
      </c>
      <c r="T23" s="504">
        <f>IF(ISERR(FIND("пофазно",$C23)),0,D!BT95+D!BW95)</f>
        <v>0</v>
      </c>
      <c r="U23" s="504">
        <f>IF(ISERR(FIND("пофазно",$C23)),0,D!BU95+D!BX95)</f>
        <v>0</v>
      </c>
      <c r="V23" s="475"/>
      <c r="W23" s="1001" t="s">
        <v>162</v>
      </c>
      <c r="X23" s="504">
        <f>Габариты!CK17</f>
        <v>0</v>
      </c>
      <c r="Y23" s="504">
        <f>Габариты!CL17</f>
        <v>0</v>
      </c>
      <c r="Z23" s="504">
        <f>Габариты!CN17</f>
        <v>0</v>
      </c>
      <c r="AA23" s="504">
        <f>Габариты!CO17</f>
        <v>0</v>
      </c>
      <c r="AB23" s="504">
        <f>Габариты!CQ17</f>
        <v>0</v>
      </c>
      <c r="AC23" s="504">
        <f>Габариты!CR17</f>
        <v>0</v>
      </c>
      <c r="AD23" s="504">
        <f>Габариты!CT17</f>
        <v>0</v>
      </c>
      <c r="AE23" s="504">
        <f>Габариты!CU17</f>
        <v>0</v>
      </c>
      <c r="AF23" s="504">
        <f>Габариты!CW17</f>
        <v>0</v>
      </c>
      <c r="AG23" s="504">
        <f>Габариты!CX17</f>
        <v>0</v>
      </c>
      <c r="AH23" s="504">
        <f>Габариты!CZ17</f>
        <v>0</v>
      </c>
      <c r="AI23" s="504">
        <f>Габариты!DA17</f>
        <v>0</v>
      </c>
      <c r="AJ23" s="504">
        <f>Габариты!DC17</f>
        <v>0</v>
      </c>
      <c r="AK23" s="504">
        <f>Габариты!DD17</f>
        <v>0</v>
      </c>
      <c r="AL23" s="504">
        <f>Габариты!DF17</f>
        <v>0</v>
      </c>
      <c r="AM23" s="504">
        <f>Габариты!DG17</f>
        <v>0</v>
      </c>
      <c r="AN23" s="504">
        <f>Габариты!DI17</f>
        <v>0</v>
      </c>
      <c r="AO23" s="504">
        <f>Габариты!DJ17</f>
        <v>0</v>
      </c>
      <c r="AP23" s="504">
        <f>Габариты!DL17</f>
        <v>0</v>
      </c>
      <c r="AQ23" s="504">
        <f>Габариты!DM17</f>
        <v>0</v>
      </c>
      <c r="AR23" s="82"/>
      <c r="AS23" s="1001" t="s">
        <v>162</v>
      </c>
      <c r="AT23" s="504">
        <f>Габариты!CK46</f>
        <v>0</v>
      </c>
      <c r="AU23" s="504">
        <f>Габариты!CL46</f>
        <v>0</v>
      </c>
      <c r="AV23" s="504">
        <f>Габариты!CN46</f>
        <v>0</v>
      </c>
      <c r="AW23" s="504">
        <f>Габариты!CO46</f>
        <v>0</v>
      </c>
      <c r="AX23" s="504">
        <f>Габариты!CQ46</f>
        <v>0</v>
      </c>
      <c r="AY23" s="504">
        <f>Габариты!CR46</f>
        <v>0</v>
      </c>
      <c r="AZ23" s="504">
        <f>Габариты!CT46</f>
        <v>0</v>
      </c>
      <c r="BA23" s="504">
        <f>Габариты!CU46</f>
        <v>0</v>
      </c>
      <c r="BB23" s="504">
        <f>Габариты!CW46</f>
        <v>0</v>
      </c>
      <c r="BC23" s="504">
        <f>Габариты!CX46</f>
        <v>0</v>
      </c>
      <c r="BD23" s="504">
        <f>Габариты!CZ46</f>
        <v>0</v>
      </c>
      <c r="BE23" s="504">
        <f>Габариты!DA46</f>
        <v>0</v>
      </c>
      <c r="BF23" s="504">
        <f>Габариты!DC46</f>
        <v>0</v>
      </c>
      <c r="BG23" s="504">
        <f>Габариты!DD46</f>
        <v>0</v>
      </c>
      <c r="BH23" s="504">
        <f>Габариты!DF46</f>
        <v>0</v>
      </c>
      <c r="BI23" s="504">
        <f>Габариты!DG46</f>
        <v>0</v>
      </c>
      <c r="BJ23" s="504">
        <f>Габариты!DI46</f>
        <v>0</v>
      </c>
      <c r="BK23" s="504">
        <f>Габариты!DJ46</f>
        <v>0</v>
      </c>
      <c r="BL23" s="504">
        <f>Габариты!DL46</f>
        <v>0</v>
      </c>
      <c r="BM23" s="504">
        <f>Габариты!DM46</f>
        <v>0</v>
      </c>
      <c r="BN23" s="82"/>
      <c r="BO23" s="1001" t="s">
        <v>162</v>
      </c>
      <c r="BP23" s="507">
        <f>Габариты!CK73</f>
        <v>0</v>
      </c>
      <c r="BQ23" s="507">
        <f>Габариты!CL73</f>
        <v>0</v>
      </c>
      <c r="BR23" s="507">
        <f>Габариты!CN73</f>
        <v>0</v>
      </c>
      <c r="BS23" s="507">
        <f>Габариты!CO73</f>
        <v>0</v>
      </c>
      <c r="BT23" s="507">
        <f>Габариты!CQ73</f>
        <v>0</v>
      </c>
      <c r="BU23" s="507">
        <f>Габариты!CR73</f>
        <v>0</v>
      </c>
      <c r="BV23" s="507">
        <f>Габариты!CT73</f>
        <v>0</v>
      </c>
      <c r="BW23" s="507">
        <f>Габариты!CU73</f>
        <v>0</v>
      </c>
      <c r="BX23" s="507">
        <f>Габариты!CW73</f>
        <v>0</v>
      </c>
      <c r="BY23" s="507">
        <f>Габариты!CX73</f>
        <v>0</v>
      </c>
      <c r="BZ23" s="507">
        <f>Габариты!CZ73</f>
        <v>0</v>
      </c>
      <c r="CA23" s="507">
        <f>Габариты!DA73</f>
        <v>0</v>
      </c>
      <c r="CB23" s="507">
        <f>Габариты!DC73</f>
        <v>0</v>
      </c>
      <c r="CC23" s="507">
        <f>Габариты!DD73</f>
        <v>0</v>
      </c>
      <c r="CD23" s="507">
        <f>Габариты!DF73</f>
        <v>0</v>
      </c>
      <c r="CE23" s="507">
        <f>Габариты!DG73</f>
        <v>0</v>
      </c>
      <c r="CF23" s="507">
        <f>Габариты!DI73</f>
        <v>0</v>
      </c>
      <c r="CG23" s="507">
        <f>Габариты!DJ73</f>
        <v>0</v>
      </c>
      <c r="CH23" s="507">
        <f>Габариты!DL73</f>
        <v>0</v>
      </c>
      <c r="CI23" s="507">
        <f>Габариты!DM73</f>
        <v>0</v>
      </c>
      <c r="CY23" s="1004"/>
    </row>
    <row r="24" spans="1:103" ht="18" x14ac:dyDescent="0.25">
      <c r="A24" s="434">
        <v>12</v>
      </c>
      <c r="B24" s="924" t="s">
        <v>21</v>
      </c>
      <c r="C24" s="923" t="str">
        <f>IF(ISBLANK(Бланк!C24),"",Бланк!C24)</f>
        <v/>
      </c>
      <c r="D24" s="923" t="str">
        <f>IF(ISBLANK(Бланк!D24),"",Бланк!D24)</f>
        <v/>
      </c>
      <c r="E24" s="923" t="str">
        <f>_xlfn.IFNA(IF(VLOOKUP(Бланк!E24,'Замена SE на LS'!$C:$D,2,FALSE)=0,"замена не найдена",VLOOKUP(Бланк!E24,'Замена SE на LS'!$C:$D,2,FALSE)),"")</f>
        <v/>
      </c>
      <c r="F24" s="923" t="str">
        <f>IF(ISBLANK(Бланк!F24),"",Бланк!F24)</f>
        <v/>
      </c>
      <c r="G24" s="923" t="str">
        <f>IF(ISBLANK(Бланк!G24),"",Бланк!G24)</f>
        <v/>
      </c>
      <c r="H24" s="923" t="str">
        <f>IF(ISBLANK(Бланк!H24),"",Бланк!H24)</f>
        <v/>
      </c>
      <c r="I24" s="923" t="str">
        <f>IF(ISBLANK(Бланк!I24),"",Бланк!I24)</f>
        <v/>
      </c>
      <c r="J24" s="923" t="str">
        <f>IF(ISBLANK(Бланк!J24),"",Бланк!J24)</f>
        <v/>
      </c>
      <c r="K24" s="923" t="str">
        <f>IF(ISBLANK(Бланк!K24),"",Бланк!K24)</f>
        <v/>
      </c>
      <c r="L24" s="923" t="str">
        <f>IF(ISBLANK(Бланк!L24),"",Бланк!L24)</f>
        <v/>
      </c>
      <c r="M24" s="923" t="str">
        <f>IF(ISBLANK(Бланк!M24),"",Бланк!M24)</f>
        <v/>
      </c>
      <c r="N24" s="923" t="str">
        <f>IF(ISBLANK(Бланк!N24),"",Бланк!N24)</f>
        <v/>
      </c>
      <c r="O24" s="925" t="str">
        <f>IF(ISBLANK(Бланк!O24),"",Бланк!O24)</f>
        <v/>
      </c>
      <c r="P24" s="489"/>
      <c r="Q24" s="504" t="str">
        <f>IF($R24="","",IF(D!EQ15=0,"Тип кабеля не найден","Тип кабеля найден"))</f>
        <v/>
      </c>
      <c r="R24" s="504" t="str">
        <f>IF(D!$ES15&gt;0,D!$ES15,"")</f>
        <v/>
      </c>
      <c r="S24" s="504">
        <f>IF(ISERR(FIND("пофазно",$C24)),0,D!BS96+D!BV96)</f>
        <v>0</v>
      </c>
      <c r="T24" s="504">
        <f>IF(ISERR(FIND("пофазно",$C24)),0,D!BT96+D!BW96)</f>
        <v>0</v>
      </c>
      <c r="U24" s="504">
        <f>IF(ISERR(FIND("пофазно",$C24)),0,D!BU96+D!BX96)</f>
        <v>0</v>
      </c>
      <c r="V24" s="475"/>
      <c r="W24" s="1001" t="s">
        <v>163</v>
      </c>
      <c r="X24" s="504">
        <f>Габариты!CK18</f>
        <v>0</v>
      </c>
      <c r="Y24" s="504">
        <f>Габариты!CL18</f>
        <v>0</v>
      </c>
      <c r="Z24" s="504">
        <f>Габариты!CN18</f>
        <v>0</v>
      </c>
      <c r="AA24" s="504">
        <f>Габариты!CO18</f>
        <v>0</v>
      </c>
      <c r="AB24" s="504">
        <f>Габариты!CQ18</f>
        <v>0</v>
      </c>
      <c r="AC24" s="504">
        <f>Габариты!CR18</f>
        <v>0</v>
      </c>
      <c r="AD24" s="504">
        <f>Габариты!CT18</f>
        <v>0</v>
      </c>
      <c r="AE24" s="504">
        <f>Габариты!CU18</f>
        <v>0</v>
      </c>
      <c r="AF24" s="504">
        <f>Габариты!CW18</f>
        <v>0</v>
      </c>
      <c r="AG24" s="504">
        <f>Габариты!CX18</f>
        <v>0</v>
      </c>
      <c r="AH24" s="504">
        <f>Габариты!CZ18</f>
        <v>0</v>
      </c>
      <c r="AI24" s="504">
        <f>Габариты!DA18</f>
        <v>0</v>
      </c>
      <c r="AJ24" s="504">
        <f>Габариты!DC18</f>
        <v>0</v>
      </c>
      <c r="AK24" s="504">
        <f>Габариты!DD18</f>
        <v>0</v>
      </c>
      <c r="AL24" s="504">
        <f>Габариты!DF18</f>
        <v>0</v>
      </c>
      <c r="AM24" s="504">
        <f>Габариты!DG18</f>
        <v>0</v>
      </c>
      <c r="AN24" s="504">
        <f>Габариты!DI18</f>
        <v>0</v>
      </c>
      <c r="AO24" s="504">
        <f>Габариты!DJ18</f>
        <v>0</v>
      </c>
      <c r="AP24" s="504">
        <f>Габариты!DL18</f>
        <v>0</v>
      </c>
      <c r="AQ24" s="504">
        <f>Габариты!DM18</f>
        <v>0</v>
      </c>
      <c r="AR24" s="82"/>
      <c r="AS24" s="1001" t="s">
        <v>163</v>
      </c>
      <c r="AT24" s="504">
        <f>Габариты!CK47</f>
        <v>0</v>
      </c>
      <c r="AU24" s="504">
        <f>Габариты!CL47</f>
        <v>0</v>
      </c>
      <c r="AV24" s="504">
        <f>Габариты!CN47</f>
        <v>0</v>
      </c>
      <c r="AW24" s="504">
        <f>Габариты!CO47</f>
        <v>0</v>
      </c>
      <c r="AX24" s="504">
        <f>Габариты!CQ47</f>
        <v>0</v>
      </c>
      <c r="AY24" s="504">
        <f>Габариты!CR47</f>
        <v>0</v>
      </c>
      <c r="AZ24" s="504">
        <f>Габариты!CT47</f>
        <v>0</v>
      </c>
      <c r="BA24" s="504">
        <f>Габариты!CU47</f>
        <v>0</v>
      </c>
      <c r="BB24" s="504">
        <f>Габариты!CW47</f>
        <v>0</v>
      </c>
      <c r="BC24" s="504">
        <f>Габариты!CX47</f>
        <v>0</v>
      </c>
      <c r="BD24" s="504">
        <f>Габариты!CZ47</f>
        <v>0</v>
      </c>
      <c r="BE24" s="504">
        <f>Габариты!DA47</f>
        <v>0</v>
      </c>
      <c r="BF24" s="504">
        <f>Габариты!DC47</f>
        <v>0</v>
      </c>
      <c r="BG24" s="504">
        <f>Габариты!DD47</f>
        <v>0</v>
      </c>
      <c r="BH24" s="504">
        <f>Габариты!DF47</f>
        <v>0</v>
      </c>
      <c r="BI24" s="504">
        <f>Габариты!DG47</f>
        <v>0</v>
      </c>
      <c r="BJ24" s="504">
        <f>Габариты!DI47</f>
        <v>0</v>
      </c>
      <c r="BK24" s="504">
        <f>Габариты!DJ47</f>
        <v>0</v>
      </c>
      <c r="BL24" s="504">
        <f>Габариты!DL47</f>
        <v>0</v>
      </c>
      <c r="BM24" s="504">
        <f>Габариты!DM47</f>
        <v>0</v>
      </c>
      <c r="BN24" s="82"/>
      <c r="BO24" s="1001" t="s">
        <v>163</v>
      </c>
      <c r="BP24" s="507">
        <f>Габариты!CK74</f>
        <v>0</v>
      </c>
      <c r="BQ24" s="507">
        <f>Габариты!CL74</f>
        <v>0</v>
      </c>
      <c r="BR24" s="507">
        <f>Габариты!CN74</f>
        <v>0</v>
      </c>
      <c r="BS24" s="507">
        <f>Габариты!CO74</f>
        <v>0</v>
      </c>
      <c r="BT24" s="507">
        <f>Габариты!CQ74</f>
        <v>0</v>
      </c>
      <c r="BU24" s="507">
        <f>Габариты!CR74</f>
        <v>0</v>
      </c>
      <c r="BV24" s="507">
        <f>Габариты!CT74</f>
        <v>0</v>
      </c>
      <c r="BW24" s="507">
        <f>Габариты!CU74</f>
        <v>0</v>
      </c>
      <c r="BX24" s="507">
        <f>Габариты!CW74</f>
        <v>0</v>
      </c>
      <c r="BY24" s="507">
        <f>Габариты!CX74</f>
        <v>0</v>
      </c>
      <c r="BZ24" s="507">
        <f>Габариты!CZ74</f>
        <v>0</v>
      </c>
      <c r="CA24" s="507">
        <f>Габариты!DA74</f>
        <v>0</v>
      </c>
      <c r="CB24" s="507">
        <f>Габариты!DC74</f>
        <v>0</v>
      </c>
      <c r="CC24" s="507">
        <f>Габариты!DD74</f>
        <v>0</v>
      </c>
      <c r="CD24" s="507">
        <f>Габариты!DF74</f>
        <v>0</v>
      </c>
      <c r="CE24" s="507">
        <f>Габариты!DG74</f>
        <v>0</v>
      </c>
      <c r="CF24" s="507">
        <f>Габариты!DI74</f>
        <v>0</v>
      </c>
      <c r="CG24" s="507">
        <f>Габариты!DJ74</f>
        <v>0</v>
      </c>
      <c r="CH24" s="507">
        <f>Габариты!DL74</f>
        <v>0</v>
      </c>
      <c r="CI24" s="507">
        <f>Габариты!DM74</f>
        <v>0</v>
      </c>
      <c r="CY24" s="1004"/>
    </row>
    <row r="25" spans="1:103" ht="18" x14ac:dyDescent="0.25">
      <c r="A25" s="434">
        <v>13</v>
      </c>
      <c r="B25" s="924" t="s">
        <v>21</v>
      </c>
      <c r="C25" s="923" t="str">
        <f>IF(ISBLANK(Бланк!C25),"",Бланк!C25)</f>
        <v/>
      </c>
      <c r="D25" s="923" t="str">
        <f>IF(ISBLANK(Бланк!D25),"",Бланк!D25)</f>
        <v/>
      </c>
      <c r="E25" s="923" t="str">
        <f>_xlfn.IFNA(IF(VLOOKUP(Бланк!E25,'Замена SE на LS'!$C:$D,2,FALSE)=0,"замена не найдена",VLOOKUP(Бланк!E25,'Замена SE на LS'!$C:$D,2,FALSE)),"")</f>
        <v/>
      </c>
      <c r="F25" s="923" t="str">
        <f>IF(ISBLANK(Бланк!F25),"",Бланк!F25)</f>
        <v/>
      </c>
      <c r="G25" s="923" t="str">
        <f>IF(ISBLANK(Бланк!G25),"",Бланк!G25)</f>
        <v/>
      </c>
      <c r="H25" s="923" t="str">
        <f>IF(ISBLANK(Бланк!H25),"",Бланк!H25)</f>
        <v/>
      </c>
      <c r="I25" s="923" t="str">
        <f>IF(ISBLANK(Бланк!I25),"",Бланк!I25)</f>
        <v/>
      </c>
      <c r="J25" s="923" t="str">
        <f>IF(ISBLANK(Бланк!J25),"",Бланк!J25)</f>
        <v/>
      </c>
      <c r="K25" s="923" t="str">
        <f>IF(ISBLANK(Бланк!K25),"",Бланк!K25)</f>
        <v/>
      </c>
      <c r="L25" s="923" t="str">
        <f>IF(ISBLANK(Бланк!L25),"",Бланк!L25)</f>
        <v/>
      </c>
      <c r="M25" s="923" t="str">
        <f>IF(ISBLANK(Бланк!M25),"",Бланк!M25)</f>
        <v/>
      </c>
      <c r="N25" s="923" t="str">
        <f>IF(ISBLANK(Бланк!N25),"",Бланк!N25)</f>
        <v/>
      </c>
      <c r="O25" s="925" t="str">
        <f>IF(ISBLANK(Бланк!O25),"",Бланк!O25)</f>
        <v/>
      </c>
      <c r="P25" s="489"/>
      <c r="Q25" s="504" t="str">
        <f>IF($R25="","",IF(D!EQ16=0,"Тип кабеля не найден","Тип кабеля найден"))</f>
        <v/>
      </c>
      <c r="R25" s="504" t="str">
        <f>IF(D!$ES16&gt;0,D!$ES16,"")</f>
        <v/>
      </c>
      <c r="S25" s="504">
        <f>IF(ISERR(FIND("пофазно",$C25)),0,D!BS97+D!BV97)</f>
        <v>0</v>
      </c>
      <c r="T25" s="504">
        <f>IF(ISERR(FIND("пофазно",$C25)),0,D!BT97+D!BW97)</f>
        <v>0</v>
      </c>
      <c r="U25" s="504">
        <f>IF(ISERR(FIND("пофазно",$C25)),0,D!BU97+D!BX97)</f>
        <v>0</v>
      </c>
      <c r="V25" s="475"/>
      <c r="W25" s="1001" t="s">
        <v>164</v>
      </c>
      <c r="X25" s="504">
        <f>Габариты!CK19</f>
        <v>0</v>
      </c>
      <c r="Y25" s="504">
        <f>Габариты!CL19</f>
        <v>0</v>
      </c>
      <c r="Z25" s="504">
        <f>Габариты!CN19</f>
        <v>0</v>
      </c>
      <c r="AA25" s="504">
        <f>Габариты!CO19</f>
        <v>0</v>
      </c>
      <c r="AB25" s="504">
        <f>Габариты!CQ19</f>
        <v>0</v>
      </c>
      <c r="AC25" s="504">
        <f>Габариты!CR19</f>
        <v>0</v>
      </c>
      <c r="AD25" s="504">
        <f>Габариты!CT19</f>
        <v>0</v>
      </c>
      <c r="AE25" s="504">
        <f>Габариты!CU19</f>
        <v>0</v>
      </c>
      <c r="AF25" s="504">
        <f>Габариты!CW19</f>
        <v>0</v>
      </c>
      <c r="AG25" s="504">
        <f>Габариты!CX19</f>
        <v>0</v>
      </c>
      <c r="AH25" s="504">
        <f>Габариты!CZ19</f>
        <v>0</v>
      </c>
      <c r="AI25" s="504">
        <f>Габариты!DA19</f>
        <v>0</v>
      </c>
      <c r="AJ25" s="504">
        <f>Габариты!DC19</f>
        <v>0</v>
      </c>
      <c r="AK25" s="504">
        <f>Габариты!DD19</f>
        <v>0</v>
      </c>
      <c r="AL25" s="504">
        <f>Габариты!DF19</f>
        <v>0</v>
      </c>
      <c r="AM25" s="504">
        <f>Габариты!DG19</f>
        <v>0</v>
      </c>
      <c r="AN25" s="504">
        <f>Габариты!DI19</f>
        <v>0</v>
      </c>
      <c r="AO25" s="504">
        <f>Габариты!DJ19</f>
        <v>0</v>
      </c>
      <c r="AP25" s="504">
        <f>Габариты!DL19</f>
        <v>0</v>
      </c>
      <c r="AQ25" s="504">
        <f>Габариты!DM19</f>
        <v>0</v>
      </c>
      <c r="AR25" s="82"/>
      <c r="AS25" s="1001" t="s">
        <v>164</v>
      </c>
      <c r="AT25" s="504">
        <f>Габариты!CK48</f>
        <v>0</v>
      </c>
      <c r="AU25" s="504">
        <f>Габариты!CL48</f>
        <v>0</v>
      </c>
      <c r="AV25" s="504">
        <f>Габариты!CN48</f>
        <v>0</v>
      </c>
      <c r="AW25" s="504">
        <f>Габариты!CO48</f>
        <v>0</v>
      </c>
      <c r="AX25" s="504">
        <f>Габариты!CQ48</f>
        <v>0</v>
      </c>
      <c r="AY25" s="504">
        <f>Габариты!CR48</f>
        <v>0</v>
      </c>
      <c r="AZ25" s="504">
        <f>Габариты!CT48</f>
        <v>0</v>
      </c>
      <c r="BA25" s="504">
        <f>Габариты!CU48</f>
        <v>0</v>
      </c>
      <c r="BB25" s="504">
        <f>Габариты!CW48</f>
        <v>0</v>
      </c>
      <c r="BC25" s="504">
        <f>Габариты!CX48</f>
        <v>0</v>
      </c>
      <c r="BD25" s="504">
        <f>Габариты!CZ48</f>
        <v>0</v>
      </c>
      <c r="BE25" s="504">
        <f>Габариты!DA48</f>
        <v>0</v>
      </c>
      <c r="BF25" s="504">
        <f>Габариты!DC48</f>
        <v>0</v>
      </c>
      <c r="BG25" s="504">
        <f>Габариты!DD48</f>
        <v>0</v>
      </c>
      <c r="BH25" s="504">
        <f>Габариты!DF48</f>
        <v>0</v>
      </c>
      <c r="BI25" s="504">
        <f>Габариты!DG48</f>
        <v>0</v>
      </c>
      <c r="BJ25" s="504">
        <f>Габариты!DI48</f>
        <v>0</v>
      </c>
      <c r="BK25" s="504">
        <f>Габариты!DJ48</f>
        <v>0</v>
      </c>
      <c r="BL25" s="504">
        <f>Габариты!DL48</f>
        <v>0</v>
      </c>
      <c r="BM25" s="504">
        <f>Габариты!DM48</f>
        <v>0</v>
      </c>
      <c r="BN25" s="82"/>
      <c r="BO25" s="1001" t="s">
        <v>164</v>
      </c>
      <c r="BP25" s="507">
        <f>Габариты!CK75</f>
        <v>0</v>
      </c>
      <c r="BQ25" s="507">
        <f>Габариты!CL75</f>
        <v>0</v>
      </c>
      <c r="BR25" s="507">
        <f>Габариты!CN75</f>
        <v>0</v>
      </c>
      <c r="BS25" s="507">
        <f>Габариты!CO75</f>
        <v>0</v>
      </c>
      <c r="BT25" s="507">
        <f>Габариты!CQ75</f>
        <v>0</v>
      </c>
      <c r="BU25" s="507">
        <f>Габариты!CR75</f>
        <v>0</v>
      </c>
      <c r="BV25" s="507">
        <f>Габариты!CT75</f>
        <v>0</v>
      </c>
      <c r="BW25" s="507">
        <f>Габариты!CU75</f>
        <v>0</v>
      </c>
      <c r="BX25" s="507">
        <f>Габариты!CW75</f>
        <v>0</v>
      </c>
      <c r="BY25" s="507">
        <f>Габариты!CX75</f>
        <v>0</v>
      </c>
      <c r="BZ25" s="507">
        <f>Габариты!CZ75</f>
        <v>0</v>
      </c>
      <c r="CA25" s="507">
        <f>Габариты!DA75</f>
        <v>0</v>
      </c>
      <c r="CB25" s="507">
        <f>Габариты!DC75</f>
        <v>0</v>
      </c>
      <c r="CC25" s="507">
        <f>Габариты!DD75</f>
        <v>0</v>
      </c>
      <c r="CD25" s="507">
        <f>Габариты!DF75</f>
        <v>0</v>
      </c>
      <c r="CE25" s="507">
        <f>Габариты!DG75</f>
        <v>0</v>
      </c>
      <c r="CF25" s="507">
        <f>Габариты!DI75</f>
        <v>0</v>
      </c>
      <c r="CG25" s="507">
        <f>Габариты!DJ75</f>
        <v>0</v>
      </c>
      <c r="CH25" s="507">
        <f>Габариты!DL75</f>
        <v>0</v>
      </c>
      <c r="CI25" s="507">
        <f>Габариты!DM75</f>
        <v>0</v>
      </c>
      <c r="CY25" s="1004"/>
    </row>
    <row r="26" spans="1:103" ht="18" x14ac:dyDescent="0.25">
      <c r="A26" s="434">
        <v>14</v>
      </c>
      <c r="B26" s="924" t="s">
        <v>21</v>
      </c>
      <c r="C26" s="923" t="str">
        <f>IF(ISBLANK(Бланк!C26),"",Бланк!C26)</f>
        <v/>
      </c>
      <c r="D26" s="923" t="str">
        <f>IF(ISBLANK(Бланк!D26),"",Бланк!D26)</f>
        <v/>
      </c>
      <c r="E26" s="923" t="str">
        <f>_xlfn.IFNA(IF(VLOOKUP(Бланк!E26,'Замена SE на LS'!$C:$D,2,FALSE)=0,"замена не найдена",VLOOKUP(Бланк!E26,'Замена SE на LS'!$C:$D,2,FALSE)),"")</f>
        <v/>
      </c>
      <c r="F26" s="923" t="str">
        <f>IF(ISBLANK(Бланк!F26),"",Бланк!F26)</f>
        <v/>
      </c>
      <c r="G26" s="923" t="str">
        <f>IF(ISBLANK(Бланк!G26),"",Бланк!G26)</f>
        <v/>
      </c>
      <c r="H26" s="923" t="str">
        <f>IF(ISBLANK(Бланк!H26),"",Бланк!H26)</f>
        <v/>
      </c>
      <c r="I26" s="923" t="str">
        <f>IF(ISBLANK(Бланк!I26),"",Бланк!I26)</f>
        <v/>
      </c>
      <c r="J26" s="923" t="str">
        <f>IF(ISBLANK(Бланк!J26),"",Бланк!J26)</f>
        <v/>
      </c>
      <c r="K26" s="923" t="str">
        <f>IF(ISBLANK(Бланк!K26),"",Бланк!K26)</f>
        <v/>
      </c>
      <c r="L26" s="923" t="str">
        <f>IF(ISBLANK(Бланк!L26),"",Бланк!L26)</f>
        <v/>
      </c>
      <c r="M26" s="923" t="str">
        <f>IF(ISBLANK(Бланк!M26),"",Бланк!M26)</f>
        <v/>
      </c>
      <c r="N26" s="923" t="str">
        <f>IF(ISBLANK(Бланк!N26),"",Бланк!N26)</f>
        <v/>
      </c>
      <c r="O26" s="925" t="str">
        <f>IF(ISBLANK(Бланк!O26),"",Бланк!O26)</f>
        <v/>
      </c>
      <c r="P26" s="489"/>
      <c r="Q26" s="504" t="str">
        <f>IF($R26="","",IF(D!EQ17=0,"Тип кабеля не найден","Тип кабеля найден"))</f>
        <v/>
      </c>
      <c r="R26" s="504" t="str">
        <f>IF(D!$ES17&gt;0,D!$ES17,"")</f>
        <v/>
      </c>
      <c r="S26" s="504">
        <f>IF(ISERR(FIND("пофазно",$C26)),0,D!BS98+D!BV98)</f>
        <v>0</v>
      </c>
      <c r="T26" s="504">
        <f>IF(ISERR(FIND("пофазно",$C26)),0,D!BT98+D!BW98)</f>
        <v>0</v>
      </c>
      <c r="U26" s="504">
        <f>IF(ISERR(FIND("пофазно",$C26)),0,D!BU98+D!BX98)</f>
        <v>0</v>
      </c>
      <c r="V26" s="475"/>
      <c r="W26" s="1001" t="s">
        <v>165</v>
      </c>
      <c r="X26" s="504">
        <f>Габариты!CK20</f>
        <v>0</v>
      </c>
      <c r="Y26" s="504">
        <f>Габариты!CL20</f>
        <v>0</v>
      </c>
      <c r="Z26" s="504">
        <f>Габариты!CN20</f>
        <v>0</v>
      </c>
      <c r="AA26" s="504">
        <f>Габариты!CO20</f>
        <v>0</v>
      </c>
      <c r="AB26" s="504">
        <f>Габариты!CQ20</f>
        <v>0</v>
      </c>
      <c r="AC26" s="504">
        <f>Габариты!CR20</f>
        <v>0</v>
      </c>
      <c r="AD26" s="504">
        <f>Габариты!CT20</f>
        <v>0</v>
      </c>
      <c r="AE26" s="504">
        <f>Габариты!CU20</f>
        <v>0</v>
      </c>
      <c r="AF26" s="504">
        <f>Габариты!CW20</f>
        <v>0</v>
      </c>
      <c r="AG26" s="504">
        <f>Габариты!CX20</f>
        <v>0</v>
      </c>
      <c r="AH26" s="504">
        <f>Габариты!CZ20</f>
        <v>0</v>
      </c>
      <c r="AI26" s="504">
        <f>Габариты!DA20</f>
        <v>0</v>
      </c>
      <c r="AJ26" s="504">
        <f>Габариты!DC20</f>
        <v>0</v>
      </c>
      <c r="AK26" s="504">
        <f>Габариты!DD20</f>
        <v>0</v>
      </c>
      <c r="AL26" s="504">
        <f>Габариты!DF20</f>
        <v>0</v>
      </c>
      <c r="AM26" s="504">
        <f>Габариты!DG20</f>
        <v>0</v>
      </c>
      <c r="AN26" s="504">
        <f>Габариты!DI20</f>
        <v>0</v>
      </c>
      <c r="AO26" s="504">
        <f>Габариты!DJ20</f>
        <v>0</v>
      </c>
      <c r="AP26" s="504">
        <f>Габариты!DL20</f>
        <v>0</v>
      </c>
      <c r="AQ26" s="504">
        <f>Габариты!DM20</f>
        <v>0</v>
      </c>
      <c r="AR26" s="82"/>
      <c r="AS26" s="1001" t="s">
        <v>165</v>
      </c>
      <c r="AT26" s="504">
        <f>Габариты!CK49</f>
        <v>0</v>
      </c>
      <c r="AU26" s="504">
        <f>Габариты!CL49</f>
        <v>0</v>
      </c>
      <c r="AV26" s="504">
        <f>Габариты!CN49</f>
        <v>0</v>
      </c>
      <c r="AW26" s="504">
        <f>Габариты!CO49</f>
        <v>0</v>
      </c>
      <c r="AX26" s="504">
        <f>Габариты!CQ49</f>
        <v>0</v>
      </c>
      <c r="AY26" s="504">
        <f>Габариты!CR49</f>
        <v>0</v>
      </c>
      <c r="AZ26" s="504">
        <f>Габариты!CT49</f>
        <v>0</v>
      </c>
      <c r="BA26" s="504">
        <f>Габариты!CU49</f>
        <v>0</v>
      </c>
      <c r="BB26" s="504">
        <f>Габариты!CW49</f>
        <v>0</v>
      </c>
      <c r="BC26" s="504">
        <f>Габариты!CX49</f>
        <v>0</v>
      </c>
      <c r="BD26" s="504">
        <f>Габариты!CZ49</f>
        <v>0</v>
      </c>
      <c r="BE26" s="504">
        <f>Габариты!DA49</f>
        <v>0</v>
      </c>
      <c r="BF26" s="504">
        <f>Габариты!DC49</f>
        <v>0</v>
      </c>
      <c r="BG26" s="504">
        <f>Габариты!DD49</f>
        <v>0</v>
      </c>
      <c r="BH26" s="504">
        <f>Габариты!DF49</f>
        <v>0</v>
      </c>
      <c r="BI26" s="504">
        <f>Габариты!DG49</f>
        <v>0</v>
      </c>
      <c r="BJ26" s="504">
        <f>Габариты!DI49</f>
        <v>0</v>
      </c>
      <c r="BK26" s="504">
        <f>Габариты!DJ49</f>
        <v>0</v>
      </c>
      <c r="BL26" s="504">
        <f>Габариты!DL49</f>
        <v>0</v>
      </c>
      <c r="BM26" s="504">
        <f>Габариты!DM49</f>
        <v>0</v>
      </c>
      <c r="BN26" s="82"/>
      <c r="BO26" s="1001" t="s">
        <v>165</v>
      </c>
      <c r="BP26" s="507">
        <f>Габариты!CK76</f>
        <v>0</v>
      </c>
      <c r="BQ26" s="507">
        <f>Габариты!CL76</f>
        <v>0</v>
      </c>
      <c r="BR26" s="507">
        <f>Габариты!CN76</f>
        <v>0</v>
      </c>
      <c r="BS26" s="507">
        <f>Габариты!CO76</f>
        <v>0</v>
      </c>
      <c r="BT26" s="507">
        <f>Габариты!CQ76</f>
        <v>0</v>
      </c>
      <c r="BU26" s="507">
        <f>Габариты!CR76</f>
        <v>0</v>
      </c>
      <c r="BV26" s="507">
        <f>Габариты!CT76</f>
        <v>0</v>
      </c>
      <c r="BW26" s="507">
        <f>Габариты!CU76</f>
        <v>0</v>
      </c>
      <c r="BX26" s="507">
        <f>Габариты!CW76</f>
        <v>0</v>
      </c>
      <c r="BY26" s="507">
        <f>Габариты!CX76</f>
        <v>0</v>
      </c>
      <c r="BZ26" s="507">
        <f>Габариты!CZ76</f>
        <v>0</v>
      </c>
      <c r="CA26" s="507">
        <f>Габариты!DA76</f>
        <v>0</v>
      </c>
      <c r="CB26" s="507">
        <f>Габариты!DC76</f>
        <v>0</v>
      </c>
      <c r="CC26" s="507">
        <f>Габариты!DD76</f>
        <v>0</v>
      </c>
      <c r="CD26" s="507">
        <f>Габариты!DF76</f>
        <v>0</v>
      </c>
      <c r="CE26" s="507">
        <f>Габариты!DG76</f>
        <v>0</v>
      </c>
      <c r="CF26" s="507">
        <f>Габариты!DI76</f>
        <v>0</v>
      </c>
      <c r="CG26" s="507">
        <f>Габариты!DJ76</f>
        <v>0</v>
      </c>
      <c r="CH26" s="507">
        <f>Габариты!DL76</f>
        <v>0</v>
      </c>
      <c r="CI26" s="507">
        <f>Габариты!DM76</f>
        <v>0</v>
      </c>
      <c r="CY26" s="1004"/>
    </row>
    <row r="27" spans="1:103" ht="18" x14ac:dyDescent="0.25">
      <c r="A27" s="434">
        <v>15</v>
      </c>
      <c r="B27" s="924" t="s">
        <v>21</v>
      </c>
      <c r="C27" s="923" t="str">
        <f>IF(ISBLANK(Бланк!C27),"",Бланк!C27)</f>
        <v/>
      </c>
      <c r="D27" s="923" t="str">
        <f>IF(ISBLANK(Бланк!D27),"",Бланк!D27)</f>
        <v/>
      </c>
      <c r="E27" s="923" t="str">
        <f>_xlfn.IFNA(IF(VLOOKUP(Бланк!E27,'Замена SE на LS'!$C:$D,2,FALSE)=0,"замена не найдена",VLOOKUP(Бланк!E27,'Замена SE на LS'!$C:$D,2,FALSE)),"")</f>
        <v/>
      </c>
      <c r="F27" s="923" t="str">
        <f>IF(ISBLANK(Бланк!F27),"",Бланк!F27)</f>
        <v/>
      </c>
      <c r="G27" s="923" t="str">
        <f>IF(ISBLANK(Бланк!G27),"",Бланк!G27)</f>
        <v/>
      </c>
      <c r="H27" s="923" t="str">
        <f>IF(ISBLANK(Бланк!H27),"",Бланк!H27)</f>
        <v/>
      </c>
      <c r="I27" s="923" t="str">
        <f>IF(ISBLANK(Бланк!I27),"",Бланк!I27)</f>
        <v/>
      </c>
      <c r="J27" s="923" t="str">
        <f>IF(ISBLANK(Бланк!J27),"",Бланк!J27)</f>
        <v/>
      </c>
      <c r="K27" s="923" t="str">
        <f>IF(ISBLANK(Бланк!K27),"",Бланк!K27)</f>
        <v/>
      </c>
      <c r="L27" s="923" t="str">
        <f>IF(ISBLANK(Бланк!L27),"",Бланк!L27)</f>
        <v/>
      </c>
      <c r="M27" s="923" t="str">
        <f>IF(ISBLANK(Бланк!M27),"",Бланк!M27)</f>
        <v/>
      </c>
      <c r="N27" s="923" t="str">
        <f>IF(ISBLANK(Бланк!N27),"",Бланк!N27)</f>
        <v/>
      </c>
      <c r="O27" s="925" t="str">
        <f>IF(ISBLANK(Бланк!O27),"",Бланк!O27)</f>
        <v/>
      </c>
      <c r="P27" s="489"/>
      <c r="Q27" s="504"/>
      <c r="R27" s="504"/>
      <c r="S27" s="504"/>
      <c r="T27" s="504"/>
      <c r="U27" s="504"/>
      <c r="V27" s="475"/>
      <c r="W27" s="1001"/>
      <c r="X27" s="504"/>
      <c r="Y27" s="504"/>
      <c r="Z27" s="504"/>
      <c r="AA27" s="504"/>
      <c r="AB27" s="504"/>
      <c r="AC27" s="504"/>
      <c r="AD27" s="504"/>
      <c r="AE27" s="504"/>
      <c r="AF27" s="504"/>
      <c r="AG27" s="504"/>
      <c r="AH27" s="504"/>
      <c r="AI27" s="504"/>
      <c r="AJ27" s="504"/>
      <c r="AK27" s="504"/>
      <c r="AL27" s="504"/>
      <c r="AM27" s="504"/>
      <c r="AN27" s="504"/>
      <c r="AO27" s="504"/>
      <c r="AP27" s="504"/>
      <c r="AQ27" s="504"/>
      <c r="AR27" s="82"/>
      <c r="AS27" s="1001"/>
      <c r="AT27" s="504"/>
      <c r="AU27" s="504"/>
      <c r="AV27" s="504"/>
      <c r="AW27" s="504"/>
      <c r="AX27" s="504"/>
      <c r="AY27" s="504"/>
      <c r="AZ27" s="504"/>
      <c r="BA27" s="504"/>
      <c r="BB27" s="504"/>
      <c r="BC27" s="504"/>
      <c r="BD27" s="504"/>
      <c r="BE27" s="504"/>
      <c r="BF27" s="504"/>
      <c r="BG27" s="504"/>
      <c r="BH27" s="504"/>
      <c r="BI27" s="504"/>
      <c r="BJ27" s="504"/>
      <c r="BK27" s="504"/>
      <c r="BL27" s="504"/>
      <c r="BM27" s="504"/>
      <c r="BN27" s="82"/>
      <c r="BO27" s="1001"/>
      <c r="BP27" s="507"/>
      <c r="BQ27" s="507"/>
      <c r="BR27" s="507"/>
      <c r="BS27" s="507"/>
      <c r="BT27" s="507"/>
      <c r="BU27" s="507"/>
      <c r="BV27" s="507"/>
      <c r="BW27" s="507"/>
      <c r="BX27" s="507"/>
      <c r="BY27" s="507"/>
      <c r="BZ27" s="507"/>
      <c r="CA27" s="507"/>
      <c r="CB27" s="507"/>
      <c r="CC27" s="507"/>
      <c r="CD27" s="507"/>
      <c r="CE27" s="507"/>
      <c r="CF27" s="507"/>
      <c r="CG27" s="507"/>
      <c r="CH27" s="507"/>
      <c r="CI27" s="507"/>
      <c r="CY27" s="1004"/>
    </row>
    <row r="28" spans="1:103" ht="18" x14ac:dyDescent="0.25">
      <c r="A28" s="434">
        <v>16</v>
      </c>
      <c r="B28" s="924" t="s">
        <v>21</v>
      </c>
      <c r="C28" s="923" t="str">
        <f>IF(ISBLANK(Бланк!C28),"",Бланк!C28)</f>
        <v/>
      </c>
      <c r="D28" s="923" t="str">
        <f>IF(ISBLANK(Бланк!D28),"",Бланк!D28)</f>
        <v/>
      </c>
      <c r="E28" s="923" t="str">
        <f>_xlfn.IFNA(IF(VLOOKUP(Бланк!E28,'Замена SE на LS'!$C:$D,2,FALSE)=0,"замена не найдена",VLOOKUP(Бланк!E28,'Замена SE на LS'!$C:$D,2,FALSE)),"")</f>
        <v/>
      </c>
      <c r="F28" s="923" t="str">
        <f>IF(ISBLANK(Бланк!F28),"",Бланк!F28)</f>
        <v/>
      </c>
      <c r="G28" s="923" t="str">
        <f>IF(ISBLANK(Бланк!G28),"",Бланк!G28)</f>
        <v/>
      </c>
      <c r="H28" s="923" t="str">
        <f>IF(ISBLANK(Бланк!H28),"",Бланк!H28)</f>
        <v/>
      </c>
      <c r="I28" s="923" t="str">
        <f>IF(ISBLANK(Бланк!I28),"",Бланк!I28)</f>
        <v/>
      </c>
      <c r="J28" s="923" t="str">
        <f>IF(ISBLANK(Бланк!J28),"",Бланк!J28)</f>
        <v/>
      </c>
      <c r="K28" s="923" t="str">
        <f>IF(ISBLANK(Бланк!K28),"",Бланк!K28)</f>
        <v/>
      </c>
      <c r="L28" s="923" t="str">
        <f>IF(ISBLANK(Бланк!L28),"",Бланк!L28)</f>
        <v/>
      </c>
      <c r="M28" s="923" t="str">
        <f>IF(ISBLANK(Бланк!M28),"",Бланк!M28)</f>
        <v/>
      </c>
      <c r="N28" s="923" t="str">
        <f>IF(ISBLANK(Бланк!N28),"",Бланк!N28)</f>
        <v/>
      </c>
      <c r="O28" s="925" t="str">
        <f>IF(ISBLANK(Бланк!O28),"",Бланк!O28)</f>
        <v/>
      </c>
      <c r="P28" s="489"/>
      <c r="Q28" s="504" t="str">
        <f>IF($R28="","",IF(D!EQ18=0,"Тип кабеля не найден","Тип кабеля найден"))</f>
        <v/>
      </c>
      <c r="R28" s="504" t="str">
        <f>IF(D!$ES18&gt;0,D!$ES18,"")</f>
        <v/>
      </c>
      <c r="S28" s="504">
        <f>IF(ISERR(FIND("пофазно",$C28)),0,D!BS99+D!BV99)</f>
        <v>0</v>
      </c>
      <c r="T28" s="504">
        <f>IF(ISERR(FIND("пофазно",$C28)),0,D!BT99+D!BW99)</f>
        <v>0</v>
      </c>
      <c r="U28" s="504">
        <f>IF(ISERR(FIND("пофазно",$C28)),0,D!BU99+D!BX99)</f>
        <v>0</v>
      </c>
      <c r="V28" s="475"/>
      <c r="W28" s="1001" t="s">
        <v>166</v>
      </c>
      <c r="X28" s="504">
        <f>Габариты!CK21</f>
        <v>0</v>
      </c>
      <c r="Y28" s="504">
        <f>Габариты!CL21</f>
        <v>0</v>
      </c>
      <c r="Z28" s="504">
        <f>Габариты!CN21</f>
        <v>0</v>
      </c>
      <c r="AA28" s="504">
        <f>Габариты!CO21</f>
        <v>0</v>
      </c>
      <c r="AB28" s="504">
        <f>Габариты!CQ21</f>
        <v>0</v>
      </c>
      <c r="AC28" s="504">
        <f>Габариты!CR21</f>
        <v>0</v>
      </c>
      <c r="AD28" s="504">
        <f>Габариты!CT21</f>
        <v>0</v>
      </c>
      <c r="AE28" s="504">
        <f>Габариты!CU21</f>
        <v>0</v>
      </c>
      <c r="AF28" s="504">
        <f>Габариты!CW21</f>
        <v>0</v>
      </c>
      <c r="AG28" s="504">
        <f>Габариты!CX21</f>
        <v>0</v>
      </c>
      <c r="AH28" s="504">
        <f>Габариты!CZ21</f>
        <v>0</v>
      </c>
      <c r="AI28" s="504">
        <f>Габариты!DA21</f>
        <v>0</v>
      </c>
      <c r="AJ28" s="504">
        <f>Габариты!DC21</f>
        <v>0</v>
      </c>
      <c r="AK28" s="504">
        <f>Габариты!DD21</f>
        <v>0</v>
      </c>
      <c r="AL28" s="504">
        <f>Габариты!DF21</f>
        <v>0</v>
      </c>
      <c r="AM28" s="504">
        <f>Габариты!DG21</f>
        <v>0</v>
      </c>
      <c r="AN28" s="504">
        <f>Габариты!DI21</f>
        <v>0</v>
      </c>
      <c r="AO28" s="504">
        <f>Габариты!DJ21</f>
        <v>0</v>
      </c>
      <c r="AP28" s="504">
        <f>Габариты!DL21</f>
        <v>0</v>
      </c>
      <c r="AQ28" s="504">
        <f>Габариты!DM21</f>
        <v>0</v>
      </c>
      <c r="AR28" s="82"/>
      <c r="AS28" s="1001" t="s">
        <v>166</v>
      </c>
      <c r="AT28" s="504">
        <f>Габариты!CK50</f>
        <v>0</v>
      </c>
      <c r="AU28" s="504">
        <f>Габариты!CL50</f>
        <v>0</v>
      </c>
      <c r="AV28" s="504">
        <f>Габариты!CN50</f>
        <v>0</v>
      </c>
      <c r="AW28" s="504">
        <f>Габариты!CO50</f>
        <v>0</v>
      </c>
      <c r="AX28" s="504">
        <f>Габариты!CQ50</f>
        <v>0</v>
      </c>
      <c r="AY28" s="504">
        <f>Габариты!CR50</f>
        <v>0</v>
      </c>
      <c r="AZ28" s="504">
        <f>Габариты!CT50</f>
        <v>0</v>
      </c>
      <c r="BA28" s="504">
        <f>Габариты!CU50</f>
        <v>0</v>
      </c>
      <c r="BB28" s="504">
        <f>Габариты!CW50</f>
        <v>0</v>
      </c>
      <c r="BC28" s="504">
        <f>Габариты!CX50</f>
        <v>0</v>
      </c>
      <c r="BD28" s="504">
        <f>Габариты!CZ50</f>
        <v>0</v>
      </c>
      <c r="BE28" s="504">
        <f>Габариты!DA50</f>
        <v>0</v>
      </c>
      <c r="BF28" s="504">
        <f>Габариты!DC50</f>
        <v>0</v>
      </c>
      <c r="BG28" s="504">
        <f>Габариты!DD50</f>
        <v>0</v>
      </c>
      <c r="BH28" s="504">
        <f>Габариты!DF50</f>
        <v>0</v>
      </c>
      <c r="BI28" s="504">
        <f>Габариты!DG50</f>
        <v>0</v>
      </c>
      <c r="BJ28" s="504">
        <f>Габариты!DI50</f>
        <v>0</v>
      </c>
      <c r="BK28" s="504">
        <f>Габариты!DJ50</f>
        <v>0</v>
      </c>
      <c r="BL28" s="504">
        <f>Габариты!DL50</f>
        <v>0</v>
      </c>
      <c r="BM28" s="504">
        <f>Габариты!DM50</f>
        <v>0</v>
      </c>
      <c r="BN28" s="82"/>
      <c r="BO28" s="1001" t="s">
        <v>166</v>
      </c>
      <c r="BP28" s="507">
        <f>Габариты!CK77</f>
        <v>0</v>
      </c>
      <c r="BQ28" s="507">
        <f>Габариты!CL77</f>
        <v>0</v>
      </c>
      <c r="BR28" s="507">
        <f>Габариты!CN77</f>
        <v>0</v>
      </c>
      <c r="BS28" s="507">
        <f>Габариты!CO77</f>
        <v>0</v>
      </c>
      <c r="BT28" s="507">
        <f>Габариты!CQ77</f>
        <v>0</v>
      </c>
      <c r="BU28" s="507">
        <f>Габариты!CR77</f>
        <v>0</v>
      </c>
      <c r="BV28" s="507">
        <f>Габариты!CT77</f>
        <v>0</v>
      </c>
      <c r="BW28" s="507">
        <f>Габариты!CU77</f>
        <v>0</v>
      </c>
      <c r="BX28" s="507">
        <f>Габариты!CW77</f>
        <v>0</v>
      </c>
      <c r="BY28" s="507">
        <f>Габариты!CX77</f>
        <v>0</v>
      </c>
      <c r="BZ28" s="507">
        <f>Габариты!CZ77</f>
        <v>0</v>
      </c>
      <c r="CA28" s="507">
        <f>Габариты!DA77</f>
        <v>0</v>
      </c>
      <c r="CB28" s="507">
        <f>Габариты!DC77</f>
        <v>0</v>
      </c>
      <c r="CC28" s="507">
        <f>Габариты!DD77</f>
        <v>0</v>
      </c>
      <c r="CD28" s="507">
        <f>Габариты!DF77</f>
        <v>0</v>
      </c>
      <c r="CE28" s="507">
        <f>Габариты!DG77</f>
        <v>0</v>
      </c>
      <c r="CF28" s="507">
        <f>Габариты!DI77</f>
        <v>0</v>
      </c>
      <c r="CG28" s="507">
        <f>Габариты!DJ77</f>
        <v>0</v>
      </c>
      <c r="CH28" s="507">
        <f>Габариты!DL77</f>
        <v>0</v>
      </c>
      <c r="CI28" s="507">
        <f>Габариты!DM77</f>
        <v>0</v>
      </c>
      <c r="CY28" s="1004"/>
    </row>
    <row r="29" spans="1:103" ht="18" x14ac:dyDescent="0.25">
      <c r="A29" s="434"/>
      <c r="B29" s="924" t="str">
        <f>_xlfn.IFNA(IF(VLOOKUP(Бланк!B29,'Замена SE на LS'!$A$2:$B$70,2,FALSE)=0,"замена не найдена",VLOOKUP(Бланк!B29,'Замена SE на LS'!$A$2:$B$70,2,FALSE)),"")</f>
        <v/>
      </c>
      <c r="C29" s="923" t="str">
        <f>IF(ISBLANK(Бланк!C29),"",Бланк!C29)</f>
        <v/>
      </c>
      <c r="D29" s="923" t="str">
        <f>IF(ISBLANK(Бланк!D29),"",Бланк!D29)</f>
        <v/>
      </c>
      <c r="E29" s="923" t="str">
        <f>_xlfn.IFNA(IF(VLOOKUP(Бланк!E29,'Замена SE на LS'!$C:$D,2,FALSE)=0,"замена не найдена",VLOOKUP(Бланк!E29,'Замена SE на LS'!$C:$D,2,FALSE)),"")</f>
        <v/>
      </c>
      <c r="F29" s="923" t="str">
        <f>IF(ISBLANK(Бланк!F29),"",Бланк!F29)</f>
        <v/>
      </c>
      <c r="G29" s="923" t="str">
        <f>IF(ISBLANK(Бланк!G29),"",Бланк!G29)</f>
        <v/>
      </c>
      <c r="H29" s="923" t="str">
        <f>IF(ISBLANK(Бланк!H29),"",Бланк!H29)</f>
        <v/>
      </c>
      <c r="I29" s="923" t="str">
        <f>IF(ISBLANK(Бланк!I29),"",Бланк!I29)</f>
        <v/>
      </c>
      <c r="J29" s="923" t="str">
        <f>IF(ISBLANK(Бланк!J29),"",Бланк!J29)</f>
        <v/>
      </c>
      <c r="K29" s="923" t="str">
        <f>IF(ISBLANK(Бланк!K29),"",Бланк!K29)</f>
        <v/>
      </c>
      <c r="L29" s="923" t="str">
        <f>IF(ISBLANK(Бланк!L29),"",Бланк!L29)</f>
        <v/>
      </c>
      <c r="M29" s="923" t="str">
        <f>IF(ISBLANK(Бланк!M29),"",Бланк!M29)</f>
        <v/>
      </c>
      <c r="N29" s="923" t="str">
        <f>IF(ISBLANK(Бланк!N29),"",Бланк!N29)</f>
        <v/>
      </c>
      <c r="O29" s="925" t="str">
        <f>IF(ISBLANK(Бланк!O29),"",Бланк!O29)</f>
        <v/>
      </c>
      <c r="P29" s="477"/>
      <c r="Q29" s="1081"/>
      <c r="R29" s="1081"/>
      <c r="S29" s="1081"/>
      <c r="T29" s="1081"/>
      <c r="U29" s="1081"/>
      <c r="V29" s="475"/>
      <c r="W29" s="1033"/>
      <c r="X29" s="504"/>
      <c r="Y29" s="504"/>
      <c r="Z29" s="504"/>
      <c r="AA29" s="504"/>
      <c r="AB29" s="504"/>
      <c r="AC29" s="504"/>
      <c r="AD29" s="504"/>
      <c r="AE29" s="504"/>
      <c r="AF29" s="504"/>
      <c r="AG29" s="504"/>
      <c r="AH29" s="504"/>
      <c r="AI29" s="504"/>
      <c r="AJ29" s="504"/>
      <c r="AK29" s="504"/>
      <c r="AL29" s="504"/>
      <c r="AM29" s="504"/>
      <c r="AN29" s="504"/>
      <c r="AO29" s="504"/>
      <c r="AP29" s="504"/>
      <c r="AQ29" s="504"/>
      <c r="AR29" s="82"/>
      <c r="AS29" s="1082"/>
      <c r="AT29" s="1083"/>
      <c r="AU29" s="1083"/>
      <c r="AV29" s="1083"/>
      <c r="AW29" s="1083"/>
      <c r="AX29" s="1083"/>
      <c r="AY29" s="1083"/>
      <c r="AZ29" s="1083"/>
      <c r="BA29" s="1083"/>
      <c r="BB29" s="1083"/>
      <c r="BC29" s="1083"/>
      <c r="BD29" s="1083"/>
      <c r="BE29" s="1083"/>
      <c r="BF29" s="1083"/>
      <c r="BG29" s="1083"/>
      <c r="BH29" s="1083"/>
      <c r="BI29" s="1083"/>
      <c r="BJ29" s="1083"/>
      <c r="BK29" s="1083"/>
      <c r="BL29" s="1083"/>
      <c r="BM29" s="1083"/>
      <c r="BN29" s="82"/>
      <c r="BO29" s="1082"/>
      <c r="BP29" s="1084"/>
      <c r="BQ29" s="1084"/>
      <c r="BR29" s="1084"/>
      <c r="BS29" s="1084"/>
      <c r="BT29" s="1084"/>
      <c r="BU29" s="1084"/>
      <c r="BV29" s="1084"/>
      <c r="BW29" s="1084"/>
      <c r="BX29" s="1084"/>
      <c r="BY29" s="1084"/>
      <c r="BZ29" s="1084"/>
      <c r="CA29" s="1084"/>
      <c r="CB29" s="1084"/>
      <c r="CC29" s="1084"/>
      <c r="CD29" s="1084"/>
      <c r="CE29" s="1084"/>
      <c r="CF29" s="1084"/>
      <c r="CG29" s="1084"/>
      <c r="CH29" s="1084"/>
      <c r="CI29" s="1084"/>
      <c r="CY29" s="1034"/>
    </row>
    <row r="30" spans="1:103" ht="18" x14ac:dyDescent="0.25">
      <c r="A30" s="434"/>
      <c r="B30" s="924" t="str">
        <f>_xlfn.IFNA(IF(VLOOKUP(Бланк!B30,'Замена SE на LS'!$A$2:$B$70,2,FALSE)=0,"замена не найдена",VLOOKUP(Бланк!B30,'Замена SE на LS'!$A$2:$B$70,2,FALSE)),"")</f>
        <v/>
      </c>
      <c r="C30" s="923" t="str">
        <f>IF(ISBLANK(Бланк!C30),"",Бланк!C30)</f>
        <v/>
      </c>
      <c r="D30" s="923" t="str">
        <f>IF(ISBLANK(Бланк!D30),"",Бланк!D30)</f>
        <v/>
      </c>
      <c r="E30" s="923" t="str">
        <f>_xlfn.IFNA(IF(VLOOKUP(Бланк!E30,'Замена SE на LS'!$C:$D,2,FALSE)=0,"замена не найдена",VLOOKUP(Бланк!E30,'Замена SE на LS'!$C:$D,2,FALSE)),"")</f>
        <v/>
      </c>
      <c r="F30" s="923" t="str">
        <f>IF(ISBLANK(Бланк!F30),"",Бланк!F30)</f>
        <v/>
      </c>
      <c r="G30" s="923" t="str">
        <f>IF(ISBLANK(Бланк!G30),"",Бланк!G30)</f>
        <v/>
      </c>
      <c r="H30" s="923" t="str">
        <f>IF(ISBLANK(Бланк!H30),"",Бланк!H30)</f>
        <v/>
      </c>
      <c r="I30" s="923" t="str">
        <f>IF(ISBLANK(Бланк!I30),"",Бланк!I30)</f>
        <v/>
      </c>
      <c r="J30" s="923" t="str">
        <f>IF(ISBLANK(Бланк!J30),"",Бланк!J30)</f>
        <v/>
      </c>
      <c r="K30" s="923" t="str">
        <f>IF(ISBLANK(Бланк!K30),"",Бланк!K30)</f>
        <v/>
      </c>
      <c r="L30" s="923" t="str">
        <f>IF(ISBLANK(Бланк!L30),"",Бланк!L30)</f>
        <v/>
      </c>
      <c r="M30" s="923" t="str">
        <f>IF(ISBLANK(Бланк!M30),"",Бланк!M30)</f>
        <v/>
      </c>
      <c r="N30" s="923" t="str">
        <f>IF(ISBLANK(Бланк!N30),"",Бланк!N30)</f>
        <v/>
      </c>
      <c r="O30" s="925" t="str">
        <f>IF(ISBLANK(Бланк!O30),"",Бланк!O30)</f>
        <v/>
      </c>
      <c r="P30" s="477"/>
      <c r="Q30" s="1081"/>
      <c r="R30" s="1081"/>
      <c r="S30" s="1081"/>
      <c r="T30" s="1081"/>
      <c r="U30" s="1081"/>
      <c r="V30" s="475"/>
      <c r="W30" s="1033"/>
      <c r="X30" s="504"/>
      <c r="Y30" s="504"/>
      <c r="Z30" s="504"/>
      <c r="AA30" s="504"/>
      <c r="AB30" s="504"/>
      <c r="AC30" s="504"/>
      <c r="AD30" s="504"/>
      <c r="AE30" s="504"/>
      <c r="AF30" s="504"/>
      <c r="AG30" s="504"/>
      <c r="AH30" s="504"/>
      <c r="AI30" s="504"/>
      <c r="AJ30" s="504"/>
      <c r="AK30" s="504"/>
      <c r="AL30" s="504"/>
      <c r="AM30" s="504"/>
      <c r="AN30" s="504"/>
      <c r="AO30" s="504"/>
      <c r="AP30" s="504"/>
      <c r="AQ30" s="504"/>
      <c r="AR30" s="82"/>
      <c r="AS30" s="1082"/>
      <c r="AT30" s="1083"/>
      <c r="AU30" s="1083"/>
      <c r="AV30" s="1083"/>
      <c r="AW30" s="1083"/>
      <c r="AX30" s="1083"/>
      <c r="AY30" s="1083"/>
      <c r="AZ30" s="1083"/>
      <c r="BA30" s="1083"/>
      <c r="BB30" s="1083"/>
      <c r="BC30" s="1083"/>
      <c r="BD30" s="1083"/>
      <c r="BE30" s="1083"/>
      <c r="BF30" s="1083"/>
      <c r="BG30" s="1083"/>
      <c r="BH30" s="1083"/>
      <c r="BI30" s="1083"/>
      <c r="BJ30" s="1083"/>
      <c r="BK30" s="1083"/>
      <c r="BL30" s="1083"/>
      <c r="BM30" s="1083"/>
      <c r="BN30" s="82"/>
      <c r="BO30" s="1082"/>
      <c r="BP30" s="1084"/>
      <c r="BQ30" s="1084"/>
      <c r="BR30" s="1084"/>
      <c r="BS30" s="1084"/>
      <c r="BT30" s="1084"/>
      <c r="BU30" s="1084"/>
      <c r="BV30" s="1084"/>
      <c r="BW30" s="1084"/>
      <c r="BX30" s="1084"/>
      <c r="BY30" s="1084"/>
      <c r="BZ30" s="1084"/>
      <c r="CA30" s="1084"/>
      <c r="CB30" s="1084"/>
      <c r="CC30" s="1084"/>
      <c r="CD30" s="1084"/>
      <c r="CE30" s="1084"/>
      <c r="CF30" s="1084"/>
      <c r="CG30" s="1084"/>
      <c r="CH30" s="1084"/>
      <c r="CI30" s="1084"/>
      <c r="CY30" s="1034"/>
    </row>
    <row r="31" spans="1:103" ht="18" x14ac:dyDescent="0.25">
      <c r="A31" s="434"/>
      <c r="B31" s="924" t="str">
        <f>_xlfn.IFNA(IF(VLOOKUP(Бланк!B31,'Замена SE на LS'!$A$2:$B$70,2,FALSE)=0,"замена не найдена",VLOOKUP(Бланк!B31,'Замена SE на LS'!$A$2:$B$70,2,FALSE)),"")</f>
        <v/>
      </c>
      <c r="C31" s="923" t="str">
        <f>IF(ISBLANK(Бланк!C31),"",Бланк!C31)</f>
        <v/>
      </c>
      <c r="D31" s="923" t="str">
        <f>IF(ISBLANK(Бланк!D31),"",Бланк!D31)</f>
        <v/>
      </c>
      <c r="E31" s="923" t="str">
        <f>_xlfn.IFNA(IF(VLOOKUP(Бланк!E31,'Замена SE на LS'!$C:$D,2,FALSE)=0,"замена не найдена",VLOOKUP(Бланк!E31,'Замена SE на LS'!$C:$D,2,FALSE)),"")</f>
        <v/>
      </c>
      <c r="F31" s="923" t="str">
        <f>IF(ISBLANK(Бланк!F31),"",Бланк!F31)</f>
        <v/>
      </c>
      <c r="G31" s="923" t="str">
        <f>IF(ISBLANK(Бланк!G31),"",Бланк!G31)</f>
        <v/>
      </c>
      <c r="H31" s="923" t="str">
        <f>IF(ISBLANK(Бланк!H31),"",Бланк!H31)</f>
        <v/>
      </c>
      <c r="I31" s="923" t="str">
        <f>IF(ISBLANK(Бланк!I31),"",Бланк!I31)</f>
        <v/>
      </c>
      <c r="J31" s="923" t="str">
        <f>IF(ISBLANK(Бланк!J31),"",Бланк!J31)</f>
        <v/>
      </c>
      <c r="K31" s="923" t="str">
        <f>IF(ISBLANK(Бланк!K31),"",Бланк!K31)</f>
        <v/>
      </c>
      <c r="L31" s="923" t="str">
        <f>IF(ISBLANK(Бланк!L31),"",Бланк!L31)</f>
        <v/>
      </c>
      <c r="M31" s="923" t="str">
        <f>IF(ISBLANK(Бланк!M31),"",Бланк!M31)</f>
        <v/>
      </c>
      <c r="N31" s="923" t="str">
        <f>IF(ISBLANK(Бланк!N31),"",Бланк!N31)</f>
        <v/>
      </c>
      <c r="O31" s="925" t="str">
        <f>IF(ISBLANK(Бланк!O31),"",Бланк!O31)</f>
        <v/>
      </c>
      <c r="P31" s="477"/>
      <c r="Q31" s="1081"/>
      <c r="R31" s="1081"/>
      <c r="S31" s="1081"/>
      <c r="T31" s="1081"/>
      <c r="U31" s="1081"/>
      <c r="V31" s="475"/>
      <c r="W31" s="1033"/>
      <c r="X31" s="504"/>
      <c r="Y31" s="504"/>
      <c r="Z31" s="504"/>
      <c r="AA31" s="504"/>
      <c r="AB31" s="504"/>
      <c r="AC31" s="504"/>
      <c r="AD31" s="504"/>
      <c r="AE31" s="504"/>
      <c r="AF31" s="504"/>
      <c r="AG31" s="504"/>
      <c r="AH31" s="504"/>
      <c r="AI31" s="504"/>
      <c r="AJ31" s="504"/>
      <c r="AK31" s="504"/>
      <c r="AL31" s="504"/>
      <c r="AM31" s="504"/>
      <c r="AN31" s="504"/>
      <c r="AO31" s="504"/>
      <c r="AP31" s="504"/>
      <c r="AQ31" s="504"/>
      <c r="AR31" s="82"/>
      <c r="AS31" s="1082"/>
      <c r="AT31" s="1083"/>
      <c r="AU31" s="1083"/>
      <c r="AV31" s="1083"/>
      <c r="AW31" s="1083"/>
      <c r="AX31" s="1083"/>
      <c r="AY31" s="1083"/>
      <c r="AZ31" s="1083"/>
      <c r="BA31" s="1083"/>
      <c r="BB31" s="1083"/>
      <c r="BC31" s="1083"/>
      <c r="BD31" s="1083"/>
      <c r="BE31" s="1083"/>
      <c r="BF31" s="1083"/>
      <c r="BG31" s="1083"/>
      <c r="BH31" s="1083"/>
      <c r="BI31" s="1083"/>
      <c r="BJ31" s="1083"/>
      <c r="BK31" s="1083"/>
      <c r="BL31" s="1083"/>
      <c r="BM31" s="1083"/>
      <c r="BN31" s="82"/>
      <c r="BO31" s="1082"/>
      <c r="BP31" s="1084"/>
      <c r="BQ31" s="1084"/>
      <c r="BR31" s="1084"/>
      <c r="BS31" s="1084"/>
      <c r="BT31" s="1084"/>
      <c r="BU31" s="1084"/>
      <c r="BV31" s="1084"/>
      <c r="BW31" s="1084"/>
      <c r="BX31" s="1084"/>
      <c r="BY31" s="1084"/>
      <c r="BZ31" s="1084"/>
      <c r="CA31" s="1084"/>
      <c r="CB31" s="1084"/>
      <c r="CC31" s="1084"/>
      <c r="CD31" s="1084"/>
      <c r="CE31" s="1084"/>
      <c r="CF31" s="1084"/>
      <c r="CG31" s="1084"/>
      <c r="CH31" s="1084"/>
      <c r="CI31" s="1084"/>
      <c r="CY31" s="1034"/>
    </row>
    <row r="32" spans="1:103" ht="18.75" thickBot="1" x14ac:dyDescent="0.3">
      <c r="A32" s="434"/>
      <c r="B32" s="926" t="str">
        <f>_xlfn.IFNA(IF(VLOOKUP(Бланк!B32,'Замена SE на LS'!$A$2:$B$70,2,FALSE)=0,"замена не найдена",VLOOKUP(Бланк!B32,'Замена SE на LS'!$A$2:$B$70,2,FALSE)),"")</f>
        <v/>
      </c>
      <c r="C32" s="927" t="str">
        <f>IF(ISBLANK(Бланк!C32),"",Бланк!C32)</f>
        <v/>
      </c>
      <c r="D32" s="927" t="str">
        <f>IF(ISBLANK(Бланк!D32),"",Бланк!D32)</f>
        <v/>
      </c>
      <c r="E32" s="927" t="str">
        <f>_xlfn.IFNA(IF(VLOOKUP(Бланк!E32,'Замена SE на LS'!$C:$D,2,FALSE)=0,"замена не найдена",VLOOKUP(Бланк!E32,'Замена SE на LS'!$C:$D,2,FALSE)),"")</f>
        <v/>
      </c>
      <c r="F32" s="927" t="str">
        <f>IF(ISBLANK(Бланк!F32),"",Бланк!F32)</f>
        <v/>
      </c>
      <c r="G32" s="927" t="str">
        <f>IF(ISBLANK(Бланк!G32),"",Бланк!G32)</f>
        <v/>
      </c>
      <c r="H32" s="927" t="str">
        <f>IF(ISBLANK(Бланк!H32),"",Бланк!H32)</f>
        <v/>
      </c>
      <c r="I32" s="927" t="str">
        <f>IF(ISBLANK(Бланк!I32),"",Бланк!I32)</f>
        <v/>
      </c>
      <c r="J32" s="927" t="str">
        <f>IF(ISBLANK(Бланк!J32),"",Бланк!J32)</f>
        <v/>
      </c>
      <c r="K32" s="927" t="str">
        <f>IF(ISBLANK(Бланк!K32),"",Бланк!K32)</f>
        <v/>
      </c>
      <c r="L32" s="927" t="str">
        <f>IF(ISBLANK(Бланк!L32),"",Бланк!L32)</f>
        <v/>
      </c>
      <c r="M32" s="927" t="str">
        <f>IF(ISBLANK(Бланк!M32),"",Бланк!M32)</f>
        <v/>
      </c>
      <c r="N32" s="927" t="str">
        <f>IF(ISBLANK(Бланк!N32),"",Бланк!N32)</f>
        <v/>
      </c>
      <c r="O32" s="928" t="str">
        <f>IF(ISBLANK(Бланк!O32),"",Бланк!O32)</f>
        <v/>
      </c>
      <c r="P32" s="477"/>
      <c r="Q32" s="1081"/>
      <c r="R32" s="1081"/>
      <c r="S32" s="1081"/>
      <c r="T32" s="1081"/>
      <c r="U32" s="1081"/>
      <c r="V32" s="475"/>
      <c r="W32" s="1033"/>
      <c r="X32" s="504"/>
      <c r="Y32" s="504"/>
      <c r="Z32" s="504"/>
      <c r="AA32" s="504"/>
      <c r="AB32" s="504"/>
      <c r="AC32" s="504"/>
      <c r="AD32" s="504"/>
      <c r="AE32" s="504"/>
      <c r="AF32" s="504"/>
      <c r="AG32" s="504"/>
      <c r="AH32" s="504"/>
      <c r="AI32" s="504"/>
      <c r="AJ32" s="504"/>
      <c r="AK32" s="504"/>
      <c r="AL32" s="504"/>
      <c r="AM32" s="504"/>
      <c r="AN32" s="504"/>
      <c r="AO32" s="504"/>
      <c r="AP32" s="504"/>
      <c r="AQ32" s="504"/>
      <c r="AR32" s="82"/>
      <c r="AS32" s="1082"/>
      <c r="AT32" s="1083"/>
      <c r="AU32" s="1083"/>
      <c r="AV32" s="1083"/>
      <c r="AW32" s="1083"/>
      <c r="AX32" s="1083"/>
      <c r="AY32" s="1083"/>
      <c r="AZ32" s="1083"/>
      <c r="BA32" s="1083"/>
      <c r="BB32" s="1083"/>
      <c r="BC32" s="1083"/>
      <c r="BD32" s="1083"/>
      <c r="BE32" s="1083"/>
      <c r="BF32" s="1083"/>
      <c r="BG32" s="1083"/>
      <c r="BH32" s="1083"/>
      <c r="BI32" s="1083"/>
      <c r="BJ32" s="1083"/>
      <c r="BK32" s="1083"/>
      <c r="BL32" s="1083"/>
      <c r="BM32" s="1083"/>
      <c r="BN32" s="82"/>
      <c r="BO32" s="1082"/>
      <c r="BP32" s="1084"/>
      <c r="BQ32" s="1084"/>
      <c r="BR32" s="1084"/>
      <c r="BS32" s="1084"/>
      <c r="BT32" s="1084"/>
      <c r="BU32" s="1084"/>
      <c r="BV32" s="1084"/>
      <c r="BW32" s="1084"/>
      <c r="BX32" s="1084"/>
      <c r="BY32" s="1084"/>
      <c r="BZ32" s="1084"/>
      <c r="CA32" s="1084"/>
      <c r="CB32" s="1084"/>
      <c r="CC32" s="1084"/>
      <c r="CD32" s="1084"/>
      <c r="CE32" s="1084"/>
      <c r="CF32" s="1084"/>
      <c r="CG32" s="1084"/>
      <c r="CH32" s="1084"/>
      <c r="CI32" s="1084"/>
      <c r="CY32" s="1034"/>
    </row>
    <row r="33" spans="2:103" ht="18" x14ac:dyDescent="0.25">
      <c r="B33" s="86"/>
      <c r="C33" s="87"/>
      <c r="D33" s="87"/>
      <c r="E33" s="87"/>
      <c r="F33" s="87"/>
      <c r="G33" s="87"/>
      <c r="H33" s="87"/>
      <c r="I33" s="86"/>
      <c r="J33" s="86"/>
      <c r="K33" s="86"/>
      <c r="L33" s="86"/>
      <c r="M33" s="86"/>
      <c r="N33" s="86"/>
      <c r="O33" s="86"/>
      <c r="P33" s="488"/>
      <c r="Q33" s="314"/>
      <c r="U33" s="71"/>
      <c r="V33" s="476"/>
      <c r="W33" s="1001" t="s">
        <v>851</v>
      </c>
      <c r="X33" s="504">
        <f>Габариты!CK27</f>
        <v>0</v>
      </c>
      <c r="Y33" s="504">
        <f>Габариты!CL27</f>
        <v>0</v>
      </c>
      <c r="Z33" s="504">
        <f>Габариты!CN27</f>
        <v>0</v>
      </c>
      <c r="AA33" s="504">
        <f>Габариты!CO27</f>
        <v>0</v>
      </c>
      <c r="AB33" s="504">
        <f>Габариты!CQ27</f>
        <v>0</v>
      </c>
      <c r="AC33" s="504">
        <f>Габариты!CR27</f>
        <v>0</v>
      </c>
      <c r="AD33" s="504">
        <f>Габариты!CT27</f>
        <v>0</v>
      </c>
      <c r="AE33" s="504">
        <f>Габариты!CU27</f>
        <v>0</v>
      </c>
      <c r="AF33" s="504">
        <f>Габариты!CW27</f>
        <v>0</v>
      </c>
      <c r="AG33" s="504">
        <f>Габариты!CX27</f>
        <v>0</v>
      </c>
      <c r="AH33" s="504">
        <f>Габариты!CZ27</f>
        <v>0</v>
      </c>
      <c r="AI33" s="504">
        <f>Габариты!DA27</f>
        <v>0</v>
      </c>
      <c r="AJ33" s="504">
        <f>Габариты!DC27</f>
        <v>0</v>
      </c>
      <c r="AK33" s="504">
        <f>Габариты!DD27</f>
        <v>0</v>
      </c>
      <c r="AL33" s="504">
        <f>Габариты!DF27</f>
        <v>0</v>
      </c>
      <c r="AM33" s="504">
        <f>Габариты!DG27</f>
        <v>0</v>
      </c>
      <c r="AN33" s="504">
        <f>Габариты!DI27</f>
        <v>0</v>
      </c>
      <c r="AO33" s="504">
        <f>Габариты!DJ27</f>
        <v>0</v>
      </c>
      <c r="AP33" s="504">
        <f>Габариты!DL27</f>
        <v>0</v>
      </c>
      <c r="AQ33" s="504">
        <f>Габариты!DM27</f>
        <v>0</v>
      </c>
      <c r="AR33" s="82"/>
      <c r="AS33" s="484"/>
      <c r="AT33" s="485"/>
      <c r="AU33" s="485"/>
      <c r="AV33" s="485"/>
      <c r="AW33" s="485"/>
      <c r="AX33" s="485"/>
      <c r="AY33" s="485"/>
      <c r="AZ33" s="485"/>
      <c r="BA33" s="485"/>
      <c r="BB33" s="485"/>
      <c r="BC33" s="485"/>
      <c r="BD33" s="485"/>
      <c r="BE33" s="485"/>
      <c r="BF33" s="485"/>
      <c r="BG33" s="485"/>
      <c r="BH33" s="485"/>
      <c r="BI33" s="485"/>
      <c r="BJ33" s="485"/>
      <c r="BK33" s="485"/>
      <c r="BL33" s="485"/>
      <c r="BM33" s="485"/>
      <c r="BN33" s="82"/>
      <c r="BO33" s="484"/>
      <c r="BP33" s="485"/>
      <c r="BQ33" s="485"/>
      <c r="BR33" s="485"/>
      <c r="BS33" s="485"/>
      <c r="BT33" s="485"/>
      <c r="BU33" s="485"/>
      <c r="BV33" s="485"/>
      <c r="BW33" s="485"/>
      <c r="BX33" s="485"/>
      <c r="BY33" s="485"/>
      <c r="BZ33" s="485"/>
      <c r="CA33" s="485"/>
      <c r="CB33" s="485"/>
      <c r="CC33" s="485"/>
      <c r="CD33" s="485"/>
      <c r="CE33" s="485"/>
      <c r="CF33" s="485"/>
      <c r="CG33" s="485"/>
      <c r="CH33" s="485"/>
      <c r="CI33" s="485"/>
      <c r="CY33" s="1004"/>
    </row>
    <row r="34" spans="2:103" ht="18" customHeight="1" x14ac:dyDescent="0.25">
      <c r="B34" s="1090" t="s">
        <v>102</v>
      </c>
      <c r="C34" s="1090"/>
      <c r="D34" s="1090"/>
      <c r="E34" s="923" t="str">
        <f>Бланк!E34</f>
        <v>-</v>
      </c>
      <c r="F34" s="87"/>
      <c r="G34" s="87"/>
      <c r="I34" s="1149" t="s">
        <v>325</v>
      </c>
      <c r="J34" s="1149"/>
      <c r="K34" s="1149"/>
      <c r="L34" s="1149"/>
      <c r="M34" s="1149"/>
      <c r="N34" s="1149"/>
      <c r="O34" s="1149"/>
      <c r="P34" s="490"/>
      <c r="Q34" s="315"/>
      <c r="U34" s="71"/>
      <c r="V34" s="476"/>
      <c r="W34" s="1001" t="s">
        <v>468</v>
      </c>
      <c r="X34" s="1508">
        <f>Габариты!CL29</f>
        <v>216</v>
      </c>
      <c r="Y34" s="1509"/>
      <c r="Z34" s="1508">
        <f>Габариты!CO29</f>
        <v>0</v>
      </c>
      <c r="AA34" s="1509"/>
      <c r="AB34" s="1508">
        <f>Габариты!CR29</f>
        <v>0</v>
      </c>
      <c r="AC34" s="1509"/>
      <c r="AD34" s="1508">
        <f>Габариты!CU29</f>
        <v>0</v>
      </c>
      <c r="AE34" s="1509"/>
      <c r="AF34" s="1508">
        <f>Габариты!CX29</f>
        <v>0</v>
      </c>
      <c r="AG34" s="1509"/>
      <c r="AH34" s="1508">
        <f>Габариты!DA29</f>
        <v>0</v>
      </c>
      <c r="AI34" s="1509"/>
      <c r="AJ34" s="1508">
        <f>Габариты!DD29</f>
        <v>0</v>
      </c>
      <c r="AK34" s="1509"/>
      <c r="AL34" s="1508">
        <f>Габариты!DG29</f>
        <v>0</v>
      </c>
      <c r="AM34" s="1509"/>
      <c r="AN34" s="1508">
        <f>Габариты!DJ29</f>
        <v>0</v>
      </c>
      <c r="AO34" s="1509"/>
      <c r="AP34" s="1508">
        <f>Габариты!DM29</f>
        <v>0</v>
      </c>
      <c r="AQ34" s="1509"/>
      <c r="AR34" s="82"/>
      <c r="AS34" s="1001" t="s">
        <v>468</v>
      </c>
      <c r="AT34" s="1508">
        <f>SUM(AU14:AU33)</f>
        <v>0</v>
      </c>
      <c r="AU34" s="1509"/>
      <c r="AV34" s="1508">
        <f>SUM(AW14:AW33)</f>
        <v>0</v>
      </c>
      <c r="AW34" s="1509"/>
      <c r="AX34" s="1508">
        <f>SUM(AY14:AY33)</f>
        <v>0</v>
      </c>
      <c r="AY34" s="1509"/>
      <c r="AZ34" s="1508">
        <f>SUM(BA14:BA33)</f>
        <v>0</v>
      </c>
      <c r="BA34" s="1509"/>
      <c r="BB34" s="1508">
        <f>SUM(BC14:BC33)</f>
        <v>0</v>
      </c>
      <c r="BC34" s="1509"/>
      <c r="BD34" s="1508">
        <f>SUM(BE14:BE33)</f>
        <v>0</v>
      </c>
      <c r="BE34" s="1509"/>
      <c r="BF34" s="1508">
        <f>SUM(BG14:BG33)</f>
        <v>0</v>
      </c>
      <c r="BG34" s="1509"/>
      <c r="BH34" s="1508">
        <f>SUM(BI14:BI33)</f>
        <v>0</v>
      </c>
      <c r="BI34" s="1509"/>
      <c r="BJ34" s="1508">
        <f>SUM(BK14:BK33)</f>
        <v>0</v>
      </c>
      <c r="BK34" s="1509"/>
      <c r="BL34" s="1508">
        <f>SUM(BM14:BM33)</f>
        <v>0</v>
      </c>
      <c r="BM34" s="1509"/>
      <c r="BN34" s="82"/>
      <c r="BO34" s="1001" t="s">
        <v>468</v>
      </c>
      <c r="BP34" s="1508">
        <f>Габариты!CL83</f>
        <v>0</v>
      </c>
      <c r="BQ34" s="1509"/>
      <c r="BR34" s="1508">
        <f>Габариты!CO83</f>
        <v>0</v>
      </c>
      <c r="BS34" s="1509"/>
      <c r="BT34" s="1508">
        <f>Габариты!CR83</f>
        <v>0</v>
      </c>
      <c r="BU34" s="1509"/>
      <c r="BV34" s="1508">
        <f>Габариты!CU83</f>
        <v>0</v>
      </c>
      <c r="BW34" s="1509"/>
      <c r="BX34" s="1508">
        <f>Габариты!CX83</f>
        <v>0</v>
      </c>
      <c r="BY34" s="1509"/>
      <c r="BZ34" s="1508">
        <f>Габариты!DA83</f>
        <v>0</v>
      </c>
      <c r="CA34" s="1509"/>
      <c r="CB34" s="1508">
        <f>Габариты!DD83</f>
        <v>0</v>
      </c>
      <c r="CC34" s="1509"/>
      <c r="CD34" s="1508">
        <f>Габариты!DG83</f>
        <v>0</v>
      </c>
      <c r="CE34" s="1509"/>
      <c r="CF34" s="1508">
        <f>Габариты!DJ83</f>
        <v>0</v>
      </c>
      <c r="CG34" s="1509"/>
      <c r="CH34" s="1508">
        <f>Габариты!DM83</f>
        <v>0</v>
      </c>
      <c r="CI34" s="1509"/>
      <c r="CY34" s="1004"/>
    </row>
    <row r="35" spans="2:103" ht="18" x14ac:dyDescent="0.25">
      <c r="B35" s="1090" t="s">
        <v>82</v>
      </c>
      <c r="C35" s="1090"/>
      <c r="D35" s="1090"/>
      <c r="E35" s="923" t="str">
        <f ca="1">Бланк!E35</f>
        <v>Навесное</v>
      </c>
      <c r="F35" s="86"/>
      <c r="G35" s="86"/>
      <c r="H35" s="140"/>
      <c r="I35" s="1149"/>
      <c r="J35" s="1149"/>
      <c r="K35" s="1149"/>
      <c r="L35" s="1149"/>
      <c r="M35" s="1149"/>
      <c r="N35" s="1149"/>
      <c r="O35" s="1149"/>
      <c r="P35" s="490"/>
      <c r="Q35" s="315"/>
      <c r="V35" s="474"/>
      <c r="CY35" s="1004"/>
    </row>
    <row r="36" spans="2:103" ht="18" x14ac:dyDescent="0.25">
      <c r="B36" s="1090" t="s">
        <v>31</v>
      </c>
      <c r="C36" s="1090"/>
      <c r="D36" s="1090"/>
      <c r="E36" s="923" t="str">
        <f>Бланк!E36</f>
        <v>IP41</v>
      </c>
      <c r="F36" s="86"/>
      <c r="G36" s="86"/>
      <c r="H36" s="140"/>
      <c r="I36" s="1149"/>
      <c r="J36" s="1149"/>
      <c r="K36" s="1149"/>
      <c r="L36" s="1149"/>
      <c r="M36" s="1149"/>
      <c r="N36" s="1149"/>
      <c r="O36" s="1149"/>
      <c r="P36" s="490"/>
      <c r="Q36" s="315"/>
      <c r="V36" s="474"/>
      <c r="CY36" s="1004"/>
    </row>
    <row r="37" spans="2:103" ht="18" customHeight="1" x14ac:dyDescent="0.25">
      <c r="B37" s="86"/>
      <c r="C37" s="90"/>
      <c r="D37" s="90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491"/>
      <c r="Q37" s="316"/>
      <c r="CY37" s="1004"/>
    </row>
    <row r="38" spans="2:103" ht="18" customHeight="1" x14ac:dyDescent="0.25">
      <c r="B38" s="91" t="s">
        <v>167</v>
      </c>
      <c r="C38" s="86"/>
      <c r="D38" s="90"/>
      <c r="E38" s="1004"/>
      <c r="G38" s="86"/>
      <c r="H38" s="86"/>
      <c r="I38" s="86"/>
      <c r="J38" s="86"/>
      <c r="K38" s="86"/>
      <c r="L38" s="86"/>
      <c r="M38" s="86"/>
      <c r="N38" s="86"/>
      <c r="O38" s="86"/>
      <c r="P38" s="486"/>
      <c r="Q38" s="316"/>
      <c r="CY38" s="1004"/>
    </row>
    <row r="39" spans="2:103" ht="36" customHeight="1" x14ac:dyDescent="0.2">
      <c r="B39" s="1154">
        <f>Бланк!B39</f>
        <v>0</v>
      </c>
      <c r="C39" s="1154"/>
      <c r="D39" s="1154"/>
      <c r="E39" s="1154"/>
      <c r="F39" s="1154"/>
      <c r="G39" s="1154"/>
      <c r="H39" s="1154"/>
      <c r="I39" s="1154"/>
      <c r="J39" s="1154"/>
      <c r="K39" s="1154"/>
      <c r="L39" s="1154"/>
      <c r="M39" s="1154"/>
      <c r="N39" s="1154"/>
      <c r="O39" s="1154"/>
      <c r="P39" s="486"/>
      <c r="Q39" s="316"/>
      <c r="CY39" s="1004"/>
    </row>
    <row r="40" spans="2:103" ht="18" customHeight="1" x14ac:dyDescent="0.2">
      <c r="B40" s="92"/>
      <c r="C40" s="92"/>
      <c r="D40" s="92"/>
      <c r="E40" s="92"/>
      <c r="F40" s="92"/>
      <c r="G40" s="92"/>
      <c r="H40" s="92"/>
      <c r="I40" s="92"/>
      <c r="J40" s="92"/>
      <c r="P40" s="486"/>
      <c r="Q40" s="316"/>
      <c r="CY40" s="1004"/>
    </row>
    <row r="41" spans="2:103" ht="18" hidden="1" customHeight="1" x14ac:dyDescent="0.25">
      <c r="B41" s="88" t="s">
        <v>272</v>
      </c>
      <c r="C41" s="923" t="str">
        <f>Бланк!C41</f>
        <v>ЩР</v>
      </c>
      <c r="D41" s="90"/>
      <c r="E41" s="86"/>
      <c r="F41" s="86"/>
      <c r="G41" s="86"/>
      <c r="H41" s="93"/>
      <c r="I41" s="85"/>
      <c r="J41" s="82"/>
      <c r="K41" s="82"/>
      <c r="L41" s="82"/>
      <c r="M41" s="82"/>
      <c r="N41" s="82"/>
      <c r="O41" s="82"/>
      <c r="P41" s="486"/>
      <c r="Q41" s="316"/>
      <c r="CY41" s="1004"/>
    </row>
    <row r="42" spans="2:103" ht="18" hidden="1" x14ac:dyDescent="0.25">
      <c r="B42" s="88" t="s">
        <v>32</v>
      </c>
      <c r="C42" s="923" t="str">
        <f>Бланк!C42</f>
        <v>УХЛ3</v>
      </c>
      <c r="D42" s="90"/>
      <c r="E42" s="86"/>
      <c r="F42" s="86"/>
      <c r="G42" s="86"/>
      <c r="H42" s="86"/>
      <c r="I42" s="85"/>
      <c r="P42" s="486"/>
      <c r="Q42" s="316"/>
      <c r="CY42" s="1004"/>
    </row>
    <row r="43" spans="2:103" ht="18" hidden="1" x14ac:dyDescent="0.25">
      <c r="B43" s="88" t="s">
        <v>284</v>
      </c>
      <c r="C43" s="923" t="str">
        <f>Бланк!C43</f>
        <v>Типовое</v>
      </c>
      <c r="D43" s="90"/>
      <c r="E43" s="86"/>
      <c r="F43" s="86"/>
      <c r="G43" s="86"/>
      <c r="H43" s="86"/>
      <c r="I43" s="94"/>
      <c r="P43" s="477"/>
      <c r="Q43" s="311"/>
      <c r="CY43" s="1004"/>
    </row>
    <row r="44" spans="2:103" ht="18" hidden="1" customHeight="1" x14ac:dyDescent="0.25">
      <c r="B44" s="182"/>
      <c r="C44" s="183"/>
      <c r="D44" s="183"/>
      <c r="F44" s="129"/>
      <c r="G44" s="129"/>
      <c r="CY44" s="1004"/>
    </row>
    <row r="45" spans="2:103" ht="18" hidden="1" x14ac:dyDescent="0.25">
      <c r="B45" s="1148" t="s">
        <v>532</v>
      </c>
      <c r="C45" s="1148"/>
      <c r="I45" s="82"/>
      <c r="J45" s="82"/>
      <c r="K45" s="82"/>
      <c r="L45" s="82"/>
      <c r="M45" s="82"/>
      <c r="N45" s="82"/>
      <c r="O45" s="82"/>
      <c r="CY45" s="1004"/>
    </row>
    <row r="46" spans="2:103" ht="18" hidden="1" customHeight="1" x14ac:dyDescent="0.25">
      <c r="B46" s="1146" t="s">
        <v>841</v>
      </c>
      <c r="C46" s="1121">
        <f>Габариты!H49</f>
        <v>0</v>
      </c>
      <c r="I46" s="82"/>
      <c r="J46" s="82"/>
      <c r="K46" s="82"/>
      <c r="L46" s="82"/>
      <c r="M46" s="82"/>
      <c r="N46" s="82"/>
      <c r="O46" s="82"/>
      <c r="CY46" s="1004"/>
    </row>
    <row r="47" spans="2:103" ht="18" hidden="1" customHeight="1" x14ac:dyDescent="0.25">
      <c r="B47" s="1147"/>
      <c r="C47" s="1122"/>
      <c r="D47" s="83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CY47" s="1004"/>
    </row>
    <row r="48" spans="2:103" ht="18" hidden="1" customHeight="1" x14ac:dyDescent="0.2">
      <c r="B48" s="1146" t="s">
        <v>842</v>
      </c>
      <c r="C48" s="1121" t="str">
        <f>Габариты!I49 &amp; " (" &amp; Габариты!J49 &amp; ")"</f>
        <v>0 (0)</v>
      </c>
      <c r="CY48" s="1004"/>
    </row>
    <row r="49" spans="2:103" ht="18" hidden="1" customHeight="1" x14ac:dyDescent="0.2">
      <c r="B49" s="1147"/>
      <c r="C49" s="1122"/>
      <c r="CY49" s="1004"/>
    </row>
    <row r="50" spans="2:103" ht="18" hidden="1" customHeight="1" x14ac:dyDescent="0.2">
      <c r="B50" s="1146" t="s">
        <v>848</v>
      </c>
      <c r="C50" s="1121">
        <f>Габариты!H58</f>
        <v>0</v>
      </c>
      <c r="CY50" s="1004"/>
    </row>
    <row r="51" spans="2:103" ht="18" hidden="1" customHeight="1" x14ac:dyDescent="0.2">
      <c r="B51" s="1147"/>
      <c r="C51" s="1122"/>
      <c r="CY51" s="1004"/>
    </row>
    <row r="52" spans="2:103" ht="18" hidden="1" customHeight="1" x14ac:dyDescent="0.2">
      <c r="B52" s="1146" t="s">
        <v>847</v>
      </c>
      <c r="C52" s="1121" t="str">
        <f>Габариты!I58 &amp; " (" &amp; Габариты!J58 &amp; ")"</f>
        <v>0 (0)</v>
      </c>
      <c r="CY52" s="1004"/>
    </row>
    <row r="53" spans="2:103" ht="18" hidden="1" customHeight="1" x14ac:dyDescent="0.2">
      <c r="B53" s="1147"/>
      <c r="C53" s="1122"/>
      <c r="CY53" s="1004"/>
    </row>
    <row r="54" spans="2:103" ht="18" hidden="1" customHeight="1" x14ac:dyDescent="0.2">
      <c r="B54" s="1146" t="s">
        <v>434</v>
      </c>
      <c r="C54" s="1121">
        <f>Габариты!H66</f>
        <v>1</v>
      </c>
      <c r="CY54" s="1004"/>
    </row>
    <row r="55" spans="2:103" ht="18" hidden="1" customHeight="1" x14ac:dyDescent="0.25">
      <c r="B55" s="1147"/>
      <c r="C55" s="1122"/>
      <c r="D55" s="82"/>
      <c r="E55" s="82"/>
      <c r="F55" s="82"/>
      <c r="CY55" s="1004"/>
    </row>
    <row r="56" spans="2:103" ht="18" hidden="1" customHeight="1" x14ac:dyDescent="0.25">
      <c r="B56" s="1146" t="s">
        <v>530</v>
      </c>
      <c r="C56" s="1121" t="str">
        <f>Габариты!I66 &amp; " (" &amp; Габариты!J66 &amp; ")"</f>
        <v>63 (7)</v>
      </c>
      <c r="D56" s="82"/>
      <c r="E56" s="82"/>
      <c r="CY56" s="1004"/>
    </row>
    <row r="57" spans="2:103" ht="18" hidden="1" customHeight="1" x14ac:dyDescent="0.2">
      <c r="B57" s="1147"/>
      <c r="C57" s="1122"/>
      <c r="CY57" s="1004"/>
    </row>
    <row r="58" spans="2:103" ht="18" hidden="1" customHeight="1" x14ac:dyDescent="0.2">
      <c r="CY58" s="1004"/>
    </row>
    <row r="59" spans="2:103" ht="18" hidden="1" customHeight="1" x14ac:dyDescent="0.2">
      <c r="B59" s="1002" t="s">
        <v>832</v>
      </c>
      <c r="C59" s="1003"/>
      <c r="CY59" s="1004"/>
    </row>
    <row r="60" spans="2:103" ht="18" hidden="1" customHeight="1" x14ac:dyDescent="0.25">
      <c r="B60" s="88" t="s">
        <v>815</v>
      </c>
      <c r="C60" s="89">
        <f ca="1">D!BP$129</f>
        <v>88</v>
      </c>
      <c r="Z60" s="77"/>
      <c r="AA60" s="77"/>
      <c r="CY60" s="1004"/>
    </row>
    <row r="61" spans="2:103" ht="18" hidden="1" customHeight="1" x14ac:dyDescent="0.25">
      <c r="B61" s="88" t="s">
        <v>816</v>
      </c>
      <c r="C61" s="89">
        <f ca="1">D!BQ$129</f>
        <v>88</v>
      </c>
      <c r="X61" s="77"/>
      <c r="Y61" s="77"/>
      <c r="CY61" s="1004"/>
    </row>
    <row r="62" spans="2:103" ht="18" hidden="1" customHeight="1" x14ac:dyDescent="0.25">
      <c r="B62" s="88" t="s">
        <v>817</v>
      </c>
      <c r="C62" s="89">
        <f ca="1">D!BR$129</f>
        <v>88</v>
      </c>
      <c r="CY62" s="1004"/>
    </row>
    <row r="63" spans="2:103" ht="18" customHeight="1" x14ac:dyDescent="0.2">
      <c r="CY63" s="1004"/>
    </row>
    <row r="64" spans="2:103" ht="18" customHeight="1" x14ac:dyDescent="0.2">
      <c r="CY64" s="1004"/>
    </row>
    <row r="65" spans="18:103" ht="18" customHeight="1" x14ac:dyDescent="0.2">
      <c r="CY65" s="1004"/>
    </row>
    <row r="66" spans="18:103" ht="18" customHeight="1" x14ac:dyDescent="0.2">
      <c r="CY66" s="1004"/>
    </row>
    <row r="67" spans="18:103" ht="18" customHeight="1" x14ac:dyDescent="0.2">
      <c r="CY67" s="1004"/>
    </row>
    <row r="68" spans="18:103" ht="18" customHeight="1" x14ac:dyDescent="0.2">
      <c r="CY68" s="1004"/>
    </row>
    <row r="69" spans="18:103" x14ac:dyDescent="0.2">
      <c r="CY69" s="1004"/>
    </row>
    <row r="70" spans="18:103" x14ac:dyDescent="0.2">
      <c r="CY70" s="1004"/>
    </row>
    <row r="71" spans="18:103" x14ac:dyDescent="0.2">
      <c r="CY71" s="1004"/>
    </row>
    <row r="72" spans="18:103" x14ac:dyDescent="0.2">
      <c r="CY72" s="1004"/>
    </row>
    <row r="73" spans="18:103" x14ac:dyDescent="0.2">
      <c r="CY73" s="1004"/>
    </row>
    <row r="74" spans="18:103" x14ac:dyDescent="0.2">
      <c r="CY74" s="1004"/>
    </row>
    <row r="75" spans="18:103" x14ac:dyDescent="0.2">
      <c r="CY75" s="1004"/>
    </row>
    <row r="76" spans="18:103" x14ac:dyDescent="0.2">
      <c r="CY76" s="1004"/>
    </row>
    <row r="77" spans="18:103" x14ac:dyDescent="0.2">
      <c r="CY77" s="1004"/>
    </row>
    <row r="78" spans="18:103" x14ac:dyDescent="0.2">
      <c r="R78" s="71"/>
      <c r="S78" s="72"/>
      <c r="T78" s="72"/>
      <c r="CY78" s="1004"/>
    </row>
    <row r="79" spans="18:103" x14ac:dyDescent="0.2">
      <c r="R79" s="72"/>
      <c r="S79" s="71"/>
      <c r="T79" s="72"/>
      <c r="CY79" s="1004"/>
    </row>
    <row r="80" spans="18:103" x14ac:dyDescent="0.2">
      <c r="R80" s="72"/>
      <c r="S80" s="71"/>
      <c r="T80" s="72"/>
      <c r="CY80" s="1004"/>
    </row>
    <row r="81" spans="18:103" x14ac:dyDescent="0.2">
      <c r="R81" s="72"/>
      <c r="S81" s="71"/>
      <c r="T81" s="72"/>
      <c r="CY81" s="1004"/>
    </row>
    <row r="82" spans="18:103" x14ac:dyDescent="0.2">
      <c r="R82" s="72"/>
      <c r="S82" s="71"/>
      <c r="T82" s="72"/>
      <c r="CY82" s="1004"/>
    </row>
    <row r="83" spans="18:103" x14ac:dyDescent="0.2">
      <c r="R83" s="72"/>
      <c r="S83" s="71"/>
      <c r="T83" s="72"/>
      <c r="CY83" s="1004"/>
    </row>
    <row r="84" spans="18:103" x14ac:dyDescent="0.2">
      <c r="R84" s="72"/>
      <c r="S84" s="71"/>
      <c r="T84" s="72"/>
      <c r="CY84" s="1004"/>
    </row>
    <row r="85" spans="18:103" x14ac:dyDescent="0.2">
      <c r="R85" s="72"/>
      <c r="S85" s="71"/>
      <c r="T85" s="72"/>
      <c r="CY85" s="1004"/>
    </row>
    <row r="86" spans="18:103" x14ac:dyDescent="0.2">
      <c r="R86" s="72"/>
      <c r="S86" s="71"/>
      <c r="T86" s="72"/>
      <c r="CY86" s="1004"/>
    </row>
    <row r="87" spans="18:103" x14ac:dyDescent="0.2">
      <c r="R87" s="72"/>
      <c r="S87" s="72"/>
      <c r="T87" s="72"/>
      <c r="CY87" s="1004"/>
    </row>
    <row r="88" spans="18:103" x14ac:dyDescent="0.2">
      <c r="R88" s="72"/>
      <c r="S88" s="71"/>
      <c r="T88" s="72"/>
      <c r="CY88" s="1004"/>
    </row>
    <row r="89" spans="18:103" x14ac:dyDescent="0.2">
      <c r="R89" s="72"/>
      <c r="S89" s="71"/>
      <c r="T89" s="72"/>
      <c r="CY89" s="1004"/>
    </row>
    <row r="90" spans="18:103" x14ac:dyDescent="0.2">
      <c r="R90" s="72"/>
      <c r="S90" s="71"/>
      <c r="T90" s="72"/>
      <c r="CY90" s="1004"/>
    </row>
    <row r="91" spans="18:103" x14ac:dyDescent="0.2">
      <c r="R91" s="72"/>
      <c r="S91" s="71"/>
      <c r="T91" s="72"/>
      <c r="CY91" s="1004"/>
    </row>
    <row r="92" spans="18:103" x14ac:dyDescent="0.2">
      <c r="R92" s="72"/>
      <c r="S92" s="71"/>
      <c r="T92" s="72"/>
      <c r="CY92" s="1004"/>
    </row>
    <row r="93" spans="18:103" x14ac:dyDescent="0.2">
      <c r="R93" s="72"/>
      <c r="S93" s="71"/>
      <c r="T93" s="72"/>
      <c r="CY93" s="1004"/>
    </row>
    <row r="94" spans="18:103" x14ac:dyDescent="0.2">
      <c r="R94" s="72"/>
      <c r="S94" s="71"/>
      <c r="T94" s="72"/>
      <c r="CY94" s="1004"/>
    </row>
    <row r="95" spans="18:103" x14ac:dyDescent="0.2">
      <c r="R95" s="72"/>
      <c r="S95" s="71"/>
      <c r="T95" s="72"/>
      <c r="CY95" s="1004"/>
    </row>
    <row r="96" spans="18:103" x14ac:dyDescent="0.2">
      <c r="R96" s="72"/>
      <c r="S96" s="72"/>
      <c r="T96" s="72"/>
      <c r="CY96" s="1004"/>
    </row>
    <row r="97" spans="18:103" x14ac:dyDescent="0.2">
      <c r="R97" s="72"/>
      <c r="S97" s="71"/>
      <c r="T97" s="72"/>
      <c r="CY97" s="1004"/>
    </row>
    <row r="98" spans="18:103" x14ac:dyDescent="0.2">
      <c r="R98" s="72"/>
      <c r="S98" s="71"/>
      <c r="T98" s="72"/>
      <c r="CY98" s="1004"/>
    </row>
    <row r="99" spans="18:103" x14ac:dyDescent="0.2">
      <c r="R99" s="72"/>
      <c r="S99" s="71"/>
      <c r="T99" s="72"/>
      <c r="CY99" s="1004"/>
    </row>
    <row r="100" spans="18:103" x14ac:dyDescent="0.2">
      <c r="R100" s="72"/>
      <c r="S100" s="71"/>
      <c r="T100" s="72"/>
      <c r="CY100" s="1004"/>
    </row>
    <row r="101" spans="18:103" x14ac:dyDescent="0.2">
      <c r="R101" s="72"/>
      <c r="S101" s="71"/>
      <c r="T101" s="72"/>
      <c r="CY101" s="1004"/>
    </row>
    <row r="102" spans="18:103" x14ac:dyDescent="0.2">
      <c r="R102" s="72"/>
      <c r="S102" s="71"/>
      <c r="T102" s="72"/>
      <c r="CY102" s="1004"/>
    </row>
    <row r="103" spans="18:103" x14ac:dyDescent="0.2">
      <c r="R103" s="72"/>
      <c r="S103" s="71"/>
      <c r="T103" s="72"/>
      <c r="CY103" s="1004"/>
    </row>
    <row r="104" spans="18:103" x14ac:dyDescent="0.2">
      <c r="R104" s="72"/>
      <c r="S104" s="71"/>
      <c r="T104" s="72"/>
      <c r="CY104" s="1004"/>
    </row>
    <row r="105" spans="18:103" x14ac:dyDescent="0.2">
      <c r="R105" s="72"/>
      <c r="S105" s="72"/>
      <c r="T105" s="72"/>
      <c r="CY105" s="1004"/>
    </row>
    <row r="106" spans="18:103" x14ac:dyDescent="0.2">
      <c r="R106" s="72"/>
      <c r="S106" s="71"/>
      <c r="T106" s="72"/>
      <c r="CY106" s="1004"/>
    </row>
    <row r="107" spans="18:103" x14ac:dyDescent="0.2">
      <c r="R107" s="72"/>
      <c r="S107" s="71"/>
      <c r="T107" s="72"/>
      <c r="CY107" s="1004"/>
    </row>
    <row r="108" spans="18:103" x14ac:dyDescent="0.2">
      <c r="R108" s="72"/>
      <c r="S108" s="71"/>
      <c r="T108" s="72"/>
      <c r="CY108" s="1004"/>
    </row>
    <row r="109" spans="18:103" x14ac:dyDescent="0.2">
      <c r="R109" s="72"/>
      <c r="S109" s="71"/>
      <c r="T109" s="72"/>
      <c r="CY109" s="1004"/>
    </row>
    <row r="110" spans="18:103" x14ac:dyDescent="0.2">
      <c r="R110" s="72"/>
      <c r="S110" s="71"/>
      <c r="T110" s="72"/>
      <c r="CY110" s="1004"/>
    </row>
    <row r="111" spans="18:103" x14ac:dyDescent="0.2">
      <c r="R111" s="72"/>
      <c r="S111" s="71"/>
      <c r="T111" s="72"/>
      <c r="CY111" s="1004"/>
    </row>
    <row r="112" spans="18:103" x14ac:dyDescent="0.2">
      <c r="R112" s="72"/>
      <c r="S112" s="71"/>
      <c r="T112" s="72"/>
      <c r="CY112" s="1004"/>
    </row>
    <row r="113" spans="18:103" x14ac:dyDescent="0.2">
      <c r="R113" s="72"/>
      <c r="S113" s="71"/>
      <c r="T113" s="72"/>
      <c r="CY113" s="1004"/>
    </row>
    <row r="114" spans="18:103" x14ac:dyDescent="0.2">
      <c r="R114" s="72"/>
      <c r="S114" s="72"/>
      <c r="T114" s="72"/>
      <c r="CY114" s="1004"/>
    </row>
    <row r="115" spans="18:103" x14ac:dyDescent="0.2">
      <c r="R115" s="72"/>
      <c r="S115" s="71"/>
      <c r="T115" s="72"/>
      <c r="CY115" s="1004"/>
    </row>
    <row r="116" spans="18:103" x14ac:dyDescent="0.2">
      <c r="R116" s="72"/>
      <c r="S116" s="71"/>
      <c r="T116" s="72"/>
      <c r="CY116" s="1004"/>
    </row>
    <row r="117" spans="18:103" x14ac:dyDescent="0.2">
      <c r="R117" s="72"/>
      <c r="S117" s="71"/>
      <c r="T117" s="72"/>
      <c r="CY117" s="1004"/>
    </row>
    <row r="118" spans="18:103" x14ac:dyDescent="0.2">
      <c r="R118" s="72"/>
      <c r="S118" s="71"/>
      <c r="T118" s="72"/>
      <c r="CY118" s="1004"/>
    </row>
    <row r="119" spans="18:103" x14ac:dyDescent="0.2">
      <c r="R119" s="72"/>
      <c r="S119" s="71"/>
      <c r="T119" s="72"/>
    </row>
    <row r="120" spans="18:103" x14ac:dyDescent="0.2">
      <c r="R120" s="72"/>
      <c r="S120" s="71"/>
      <c r="T120" s="72"/>
    </row>
    <row r="121" spans="18:103" x14ac:dyDescent="0.2">
      <c r="R121" s="72"/>
      <c r="S121" s="71"/>
      <c r="T121" s="72"/>
    </row>
    <row r="122" spans="18:103" x14ac:dyDescent="0.2">
      <c r="R122" s="72"/>
      <c r="S122" s="71"/>
      <c r="T122" s="72"/>
    </row>
    <row r="123" spans="18:103" x14ac:dyDescent="0.2">
      <c r="R123" s="72"/>
      <c r="S123" s="72"/>
      <c r="T123" s="72"/>
    </row>
    <row r="124" spans="18:103" x14ac:dyDescent="0.2">
      <c r="R124" s="72"/>
      <c r="S124" s="71"/>
      <c r="T124" s="72"/>
    </row>
    <row r="125" spans="18:103" x14ac:dyDescent="0.2">
      <c r="R125" s="72"/>
      <c r="S125" s="71"/>
      <c r="T125" s="72"/>
    </row>
    <row r="126" spans="18:103" x14ac:dyDescent="0.2">
      <c r="R126" s="76"/>
      <c r="T126" s="76"/>
    </row>
    <row r="127" spans="18:103" x14ac:dyDescent="0.2">
      <c r="R127" s="76"/>
      <c r="T127" s="76"/>
    </row>
    <row r="128" spans="18:103" x14ac:dyDescent="0.2">
      <c r="R128" s="76"/>
      <c r="T128" s="76"/>
    </row>
    <row r="129" spans="18:20" x14ac:dyDescent="0.2">
      <c r="R129" s="76"/>
      <c r="T129" s="76"/>
    </row>
    <row r="130" spans="18:20" x14ac:dyDescent="0.2">
      <c r="R130" s="76"/>
      <c r="T130" s="76"/>
    </row>
    <row r="131" spans="18:20" x14ac:dyDescent="0.2">
      <c r="R131" s="76"/>
      <c r="T131" s="76"/>
    </row>
  </sheetData>
  <dataConsolidate/>
  <mergeCells count="114">
    <mergeCell ref="B4:J4"/>
    <mergeCell ref="K4:O4"/>
    <mergeCell ref="B5:J5"/>
    <mergeCell ref="K5:O5"/>
    <mergeCell ref="B6:J6"/>
    <mergeCell ref="K6:O6"/>
    <mergeCell ref="B1:J1"/>
    <mergeCell ref="K1:O1"/>
    <mergeCell ref="B2:J2"/>
    <mergeCell ref="K2:O2"/>
    <mergeCell ref="B3:J3"/>
    <mergeCell ref="K3:O3"/>
    <mergeCell ref="B7:O7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N8"/>
    <mergeCell ref="O8:O9"/>
    <mergeCell ref="W8:AQ8"/>
    <mergeCell ref="AS8:BM8"/>
    <mergeCell ref="BO8:CI8"/>
    <mergeCell ref="Q9:Q10"/>
    <mergeCell ref="R9:R10"/>
    <mergeCell ref="S9:U9"/>
    <mergeCell ref="W9:W10"/>
    <mergeCell ref="AJ9:AK9"/>
    <mergeCell ref="AL9:AM9"/>
    <mergeCell ref="AN9:AO9"/>
    <mergeCell ref="AP9:AQ9"/>
    <mergeCell ref="AS9:AS10"/>
    <mergeCell ref="AT9:AU9"/>
    <mergeCell ref="X9:Y9"/>
    <mergeCell ref="Z9:AA9"/>
    <mergeCell ref="AB9:AC9"/>
    <mergeCell ref="AD9:AE9"/>
    <mergeCell ref="AF9:AG9"/>
    <mergeCell ref="AH9:AI9"/>
    <mergeCell ref="BL9:BM9"/>
    <mergeCell ref="BO9:BO10"/>
    <mergeCell ref="BP9:BQ9"/>
    <mergeCell ref="BR9:BS9"/>
    <mergeCell ref="AV9:AW9"/>
    <mergeCell ref="BB9:BC9"/>
    <mergeCell ref="BD9:BE9"/>
    <mergeCell ref="BF9:BG9"/>
    <mergeCell ref="AF34:AG34"/>
    <mergeCell ref="AH34:AI34"/>
    <mergeCell ref="AJ34:AK34"/>
    <mergeCell ref="AL34:AM34"/>
    <mergeCell ref="AN34:AO34"/>
    <mergeCell ref="AP34:AQ34"/>
    <mergeCell ref="CF9:CG9"/>
    <mergeCell ref="CH9:CI9"/>
    <mergeCell ref="B10:O10"/>
    <mergeCell ref="B12:O12"/>
    <mergeCell ref="B34:D34"/>
    <mergeCell ref="I34:O36"/>
    <mergeCell ref="X34:Y34"/>
    <mergeCell ref="Z34:AA34"/>
    <mergeCell ref="AB34:AC34"/>
    <mergeCell ref="AD34:AE34"/>
    <mergeCell ref="BT9:BU9"/>
    <mergeCell ref="BV9:BW9"/>
    <mergeCell ref="BX9:BY9"/>
    <mergeCell ref="BZ9:CA9"/>
    <mergeCell ref="CB9:CC9"/>
    <mergeCell ref="CD9:CE9"/>
    <mergeCell ref="BH9:BI9"/>
    <mergeCell ref="BJ9:BK9"/>
    <mergeCell ref="CF34:CG34"/>
    <mergeCell ref="CH34:CI34"/>
    <mergeCell ref="B35:D35"/>
    <mergeCell ref="B36:D36"/>
    <mergeCell ref="AX9:AY9"/>
    <mergeCell ref="AZ9:BA9"/>
    <mergeCell ref="B39:O39"/>
    <mergeCell ref="B45:C45"/>
    <mergeCell ref="BT34:BU34"/>
    <mergeCell ref="BV34:BW34"/>
    <mergeCell ref="BX34:BY34"/>
    <mergeCell ref="BZ34:CA34"/>
    <mergeCell ref="CB34:CC34"/>
    <mergeCell ref="CD34:CE34"/>
    <mergeCell ref="BF34:BG34"/>
    <mergeCell ref="BH34:BI34"/>
    <mergeCell ref="BJ34:BK34"/>
    <mergeCell ref="BL34:BM34"/>
    <mergeCell ref="BP34:BQ34"/>
    <mergeCell ref="BR34:BS34"/>
    <mergeCell ref="AT34:AU34"/>
    <mergeCell ref="AV34:AW34"/>
    <mergeCell ref="AX34:AY34"/>
    <mergeCell ref="AZ34:BA34"/>
    <mergeCell ref="BB34:BC34"/>
    <mergeCell ref="BD34:BE34"/>
    <mergeCell ref="B52:B53"/>
    <mergeCell ref="C52:C53"/>
    <mergeCell ref="B54:B55"/>
    <mergeCell ref="C54:C55"/>
    <mergeCell ref="B56:B57"/>
    <mergeCell ref="C56:C57"/>
    <mergeCell ref="B46:B47"/>
    <mergeCell ref="C46:C47"/>
    <mergeCell ref="B48:B49"/>
    <mergeCell ref="C48:C49"/>
    <mergeCell ref="B50:B51"/>
    <mergeCell ref="C50:C51"/>
  </mergeCells>
  <conditionalFormatting sqref="K1">
    <cfRule type="expression" dxfId="76" priority="55" stopIfTrue="1">
      <formula>OR(#REF!&lt;&gt;"",#REF!&lt;&gt;"")</formula>
    </cfRule>
  </conditionalFormatting>
  <conditionalFormatting sqref="H11">
    <cfRule type="expression" dxfId="75" priority="56" stopIfTrue="1">
      <formula>FIND("УЗО",#REF!)</formula>
    </cfRule>
  </conditionalFormatting>
  <conditionalFormatting sqref="J11">
    <cfRule type="expression" dxfId="74" priority="71" stopIfTrue="1">
      <formula>FIND("SD",#REF!)</formula>
    </cfRule>
  </conditionalFormatting>
  <conditionalFormatting sqref="K11">
    <cfRule type="expression" dxfId="73" priority="86" stopIfTrue="1">
      <formula>FIND("MX",#REF!)</formula>
    </cfRule>
  </conditionalFormatting>
  <conditionalFormatting sqref="D11">
    <cfRule type="expression" dxfId="72" priority="101">
      <formula>FIND("!Несоответствие выключателя и номинального тока",#REF!)</formula>
    </cfRule>
  </conditionalFormatting>
  <conditionalFormatting sqref="B11">
    <cfRule type="expression" dxfId="71" priority="102">
      <formula>FIND("модульный",#REF!)</formula>
    </cfRule>
    <cfRule type="expression" dxfId="70" priority="103">
      <formula>OR(ISNUMBER(FIND("выберите",#REF!)),ISNUMBER(FIND("C60H-DC",#REF!)))</formula>
    </cfRule>
  </conditionalFormatting>
  <conditionalFormatting sqref="K3:O3">
    <cfRule type="expression" dxfId="69" priority="104">
      <formula>SEARCH("заземл",#REF!)</formula>
    </cfRule>
  </conditionalFormatting>
  <conditionalFormatting sqref="M11">
    <cfRule type="expression" dxfId="68" priority="105">
      <formula>FIND("сечение",#REF!)</formula>
    </cfRule>
    <cfRule type="expression" dxfId="67" priority="106">
      <formula>AND(M11&lt;&gt;"-",FIND("графах кабел",#REF!))</formula>
    </cfRule>
  </conditionalFormatting>
  <conditionalFormatting sqref="C11">
    <cfRule type="expression" dxfId="66" priority="107">
      <formula>FIND("полюс",#REF!)</formula>
    </cfRule>
  </conditionalFormatting>
  <conditionalFormatting sqref="L11">
    <cfRule type="expression" dxfId="65" priority="108">
      <formula>AND($L11&lt;&gt;"-",FIND("графах кабел",#REF!))</formula>
    </cfRule>
    <cfRule type="expression" dxfId="64" priority="109">
      <formula>FIND("Марка",#REF!)</formula>
    </cfRule>
  </conditionalFormatting>
  <conditionalFormatting sqref="O11">
    <cfRule type="expression" dxfId="63" priority="110">
      <formula>FIND("количество аппаратов",#REF!)</formula>
    </cfRule>
  </conditionalFormatting>
  <conditionalFormatting sqref="N11">
    <cfRule type="expression" dxfId="62" priority="111">
      <formula>AND($N11&lt;&gt;"-",FIND("графах кабел",#REF!))</formula>
    </cfRule>
    <cfRule type="expression" dxfId="61" priority="112">
      <formula>OR(ISNUMBER(AND(N11="-",FIND("кабел",#REF!))),FIND("место ввода",#REF!))</formula>
    </cfRule>
  </conditionalFormatting>
  <conditionalFormatting sqref="E11">
    <cfRule type="expression" dxfId="60" priority="113">
      <formula>OR(ISNUMBER(FIND("кривой",#REF!)),ISNUMBER(FIND("расцепителя",#REF!)))</formula>
    </cfRule>
  </conditionalFormatting>
  <conditionalFormatting sqref="H13">
    <cfRule type="expression" dxfId="59" priority="1" stopIfTrue="1">
      <formula>FIND("УЗО",#REF!)</formula>
    </cfRule>
  </conditionalFormatting>
  <conditionalFormatting sqref="H14">
    <cfRule type="expression" dxfId="58" priority="2" stopIfTrue="1">
      <formula>FIND("УЗО",#REF!)</formula>
    </cfRule>
  </conditionalFormatting>
  <conditionalFormatting sqref="H15">
    <cfRule type="expression" dxfId="57" priority="3" stopIfTrue="1">
      <formula>FIND("УЗО",#REF!)</formula>
    </cfRule>
  </conditionalFormatting>
  <conditionalFormatting sqref="H16">
    <cfRule type="expression" dxfId="56" priority="4" stopIfTrue="1">
      <formula>FIND("УЗО",#REF!)</formula>
    </cfRule>
  </conditionalFormatting>
  <conditionalFormatting sqref="H17">
    <cfRule type="expression" dxfId="55" priority="5" stopIfTrue="1">
      <formula>FIND("УЗО",#REF!)</formula>
    </cfRule>
  </conditionalFormatting>
  <conditionalFormatting sqref="H18">
    <cfRule type="expression" dxfId="54" priority="6" stopIfTrue="1">
      <formula>FIND("УЗО",#REF!)</formula>
    </cfRule>
  </conditionalFormatting>
  <conditionalFormatting sqref="H19">
    <cfRule type="expression" dxfId="53" priority="7" stopIfTrue="1">
      <formula>FIND("УЗО",#REF!)</formula>
    </cfRule>
  </conditionalFormatting>
  <conditionalFormatting sqref="H20">
    <cfRule type="expression" dxfId="52" priority="8" stopIfTrue="1">
      <formula>FIND("УЗО",#REF!)</formula>
    </cfRule>
  </conditionalFormatting>
  <conditionalFormatting sqref="H21">
    <cfRule type="expression" dxfId="51" priority="9" stopIfTrue="1">
      <formula>FIND("УЗО",#REF!)</formula>
    </cfRule>
  </conditionalFormatting>
  <conditionalFormatting sqref="H22">
    <cfRule type="expression" dxfId="50" priority="10" stopIfTrue="1">
      <formula>FIND("УЗО",#REF!)</formula>
    </cfRule>
  </conditionalFormatting>
  <conditionalFormatting sqref="H23">
    <cfRule type="expression" dxfId="49" priority="11" stopIfTrue="1">
      <formula>FIND("УЗО",#REF!)</formula>
    </cfRule>
  </conditionalFormatting>
  <conditionalFormatting sqref="H24">
    <cfRule type="expression" dxfId="48" priority="12" stopIfTrue="1">
      <formula>FIND("УЗО",#REF!)</formula>
    </cfRule>
  </conditionalFormatting>
  <conditionalFormatting sqref="H25">
    <cfRule type="expression" dxfId="47" priority="13" stopIfTrue="1">
      <formula>FIND("УЗО",#REF!)</formula>
    </cfRule>
  </conditionalFormatting>
  <conditionalFormatting sqref="H26:H32">
    <cfRule type="expression" dxfId="46" priority="14" stopIfTrue="1">
      <formula>FIND("УЗО",#REF!)</formula>
    </cfRule>
  </conditionalFormatting>
  <conditionalFormatting sqref="J13">
    <cfRule type="expression" dxfId="45" priority="15" stopIfTrue="1">
      <formula>FIND("SD",#REF!)</formula>
    </cfRule>
  </conditionalFormatting>
  <conditionalFormatting sqref="J14">
    <cfRule type="expression" dxfId="44" priority="16" stopIfTrue="1">
      <formula>FIND("SD",#REF!)</formula>
    </cfRule>
  </conditionalFormatting>
  <conditionalFormatting sqref="J15">
    <cfRule type="expression" dxfId="43" priority="17" stopIfTrue="1">
      <formula>FIND("SD",#REF!)</formula>
    </cfRule>
  </conditionalFormatting>
  <conditionalFormatting sqref="J16">
    <cfRule type="expression" dxfId="42" priority="18" stopIfTrue="1">
      <formula>FIND("SD",#REF!)</formula>
    </cfRule>
  </conditionalFormatting>
  <conditionalFormatting sqref="J17">
    <cfRule type="expression" dxfId="41" priority="19" stopIfTrue="1">
      <formula>FIND("SD",#REF!)</formula>
    </cfRule>
  </conditionalFormatting>
  <conditionalFormatting sqref="J18">
    <cfRule type="expression" dxfId="40" priority="20" stopIfTrue="1">
      <formula>FIND("SD",#REF!)</formula>
    </cfRule>
  </conditionalFormatting>
  <conditionalFormatting sqref="J19">
    <cfRule type="expression" dxfId="39" priority="21" stopIfTrue="1">
      <formula>FIND("SD",#REF!)</formula>
    </cfRule>
  </conditionalFormatting>
  <conditionalFormatting sqref="J20">
    <cfRule type="expression" dxfId="38" priority="22" stopIfTrue="1">
      <formula>FIND("SD",#REF!)</formula>
    </cfRule>
  </conditionalFormatting>
  <conditionalFormatting sqref="J21">
    <cfRule type="expression" dxfId="37" priority="23" stopIfTrue="1">
      <formula>FIND("SD",#REF!)</formula>
    </cfRule>
  </conditionalFormatting>
  <conditionalFormatting sqref="J22">
    <cfRule type="expression" dxfId="36" priority="24" stopIfTrue="1">
      <formula>FIND("SD",#REF!)</formula>
    </cfRule>
  </conditionalFormatting>
  <conditionalFormatting sqref="J23">
    <cfRule type="expression" dxfId="35" priority="25" stopIfTrue="1">
      <formula>FIND("SD",#REF!)</formula>
    </cfRule>
  </conditionalFormatting>
  <conditionalFormatting sqref="J24">
    <cfRule type="expression" dxfId="34" priority="26" stopIfTrue="1">
      <formula>FIND("SD",#REF!)</formula>
    </cfRule>
  </conditionalFormatting>
  <conditionalFormatting sqref="J25">
    <cfRule type="expression" dxfId="33" priority="27" stopIfTrue="1">
      <formula>FIND("SD",#REF!)</formula>
    </cfRule>
  </conditionalFormatting>
  <conditionalFormatting sqref="J26:J32">
    <cfRule type="expression" dxfId="32" priority="28" stopIfTrue="1">
      <formula>FIND("SD",#REF!)</formula>
    </cfRule>
  </conditionalFormatting>
  <conditionalFormatting sqref="K13">
    <cfRule type="expression" dxfId="31" priority="29" stopIfTrue="1">
      <formula>FIND("MX",#REF!)</formula>
    </cfRule>
  </conditionalFormatting>
  <conditionalFormatting sqref="K14">
    <cfRule type="expression" dxfId="30" priority="30" stopIfTrue="1">
      <formula>FIND("MX",#REF!)</formula>
    </cfRule>
  </conditionalFormatting>
  <conditionalFormatting sqref="K15">
    <cfRule type="expression" dxfId="29" priority="31" stopIfTrue="1">
      <formula>FIND("MX",#REF!)</formula>
    </cfRule>
  </conditionalFormatting>
  <conditionalFormatting sqref="K16">
    <cfRule type="expression" dxfId="28" priority="32" stopIfTrue="1">
      <formula>FIND("MX",#REF!)</formula>
    </cfRule>
  </conditionalFormatting>
  <conditionalFormatting sqref="K17">
    <cfRule type="expression" dxfId="27" priority="33" stopIfTrue="1">
      <formula>FIND("MX",#REF!)</formula>
    </cfRule>
  </conditionalFormatting>
  <conditionalFormatting sqref="K18">
    <cfRule type="expression" dxfId="26" priority="34" stopIfTrue="1">
      <formula>FIND("MX",#REF!)</formula>
    </cfRule>
  </conditionalFormatting>
  <conditionalFormatting sqref="K19">
    <cfRule type="expression" dxfId="25" priority="35" stopIfTrue="1">
      <formula>FIND("MX",#REF!)</formula>
    </cfRule>
  </conditionalFormatting>
  <conditionalFormatting sqref="K20">
    <cfRule type="expression" dxfId="24" priority="36" stopIfTrue="1">
      <formula>FIND("MX",#REF!)</formula>
    </cfRule>
  </conditionalFormatting>
  <conditionalFormatting sqref="K21">
    <cfRule type="expression" dxfId="23" priority="37" stopIfTrue="1">
      <formula>FIND("MX",#REF!)</formula>
    </cfRule>
  </conditionalFormatting>
  <conditionalFormatting sqref="K22">
    <cfRule type="expression" dxfId="22" priority="38" stopIfTrue="1">
      <formula>FIND("MX",#REF!)</formula>
    </cfRule>
  </conditionalFormatting>
  <conditionalFormatting sqref="K23">
    <cfRule type="expression" dxfId="21" priority="39" stopIfTrue="1">
      <formula>FIND("MX",#REF!)</formula>
    </cfRule>
  </conditionalFormatting>
  <conditionalFormatting sqref="K24">
    <cfRule type="expression" dxfId="20" priority="40" stopIfTrue="1">
      <formula>FIND("MX",#REF!)</formula>
    </cfRule>
  </conditionalFormatting>
  <conditionalFormatting sqref="K25">
    <cfRule type="expression" dxfId="19" priority="41" stopIfTrue="1">
      <formula>FIND("MX",#REF!)</formula>
    </cfRule>
  </conditionalFormatting>
  <conditionalFormatting sqref="K26:K32">
    <cfRule type="expression" dxfId="18" priority="42" stopIfTrue="1">
      <formula>FIND("MX",#REF!)</formula>
    </cfRule>
  </conditionalFormatting>
  <conditionalFormatting sqref="D13:D32">
    <cfRule type="expression" dxfId="17" priority="43">
      <formula>FIND("!Несоответствие выключателя и номинального тока",#REF!)</formula>
    </cfRule>
  </conditionalFormatting>
  <conditionalFormatting sqref="B13:B32">
    <cfRule type="expression" dxfId="16" priority="44">
      <formula>FIND("модульный",#REF!)</formula>
    </cfRule>
    <cfRule type="expression" dxfId="15" priority="45">
      <formula>OR(ISNUMBER(FIND("выберите",#REF!)),ISNUMBER(FIND("C60H-DC",#REF!)))</formula>
    </cfRule>
  </conditionalFormatting>
  <conditionalFormatting sqref="M13:M32">
    <cfRule type="expression" dxfId="14" priority="46">
      <formula>FIND("сечение",#REF!)</formula>
    </cfRule>
    <cfRule type="expression" dxfId="13" priority="47">
      <formula>AND(M13&lt;&gt;"-",FIND("графах кабел",#REF!))</formula>
    </cfRule>
  </conditionalFormatting>
  <conditionalFormatting sqref="C13:C32">
    <cfRule type="expression" dxfId="12" priority="48">
      <formula>FIND("полюс",#REF!)</formula>
    </cfRule>
  </conditionalFormatting>
  <conditionalFormatting sqref="L13:L32">
    <cfRule type="expression" dxfId="11" priority="49">
      <formula>AND($L13&lt;&gt;"-",FIND("графах кабел",#REF!))</formula>
    </cfRule>
    <cfRule type="expression" dxfId="10" priority="50">
      <formula>FIND("Марка",#REF!)</formula>
    </cfRule>
  </conditionalFormatting>
  <conditionalFormatting sqref="O13:O32">
    <cfRule type="expression" dxfId="9" priority="51">
      <formula>FIND("количество аппаратов",#REF!)</formula>
    </cfRule>
  </conditionalFormatting>
  <conditionalFormatting sqref="N13:N32">
    <cfRule type="expression" dxfId="8" priority="52">
      <formula>AND($N13&lt;&gt;"-",FIND("графах кабел",#REF!))</formula>
    </cfRule>
    <cfRule type="expression" dxfId="7" priority="53">
      <formula>OR(ISNUMBER(AND(N13="-",FIND("кабел",#REF!))),FIND("место ввода",#REF!))</formula>
    </cfRule>
  </conditionalFormatting>
  <conditionalFormatting sqref="E13:E32">
    <cfRule type="expression" dxfId="6" priority="54">
      <formula>OR(ISNUMBER(FIND("кривой",#REF!)),ISNUMBER(FIND("расцепителя",#REF!)))</formula>
    </cfRule>
  </conditionalFormatting>
  <dataValidations count="104">
    <dataValidation type="list" allowBlank="1" showInputMessage="1" showErrorMessage="1" sqref="K3">
      <formula1>Система_заземления</formula1>
    </dataValidation>
    <dataValidation allowBlank="1" showInputMessage="1" showErrorMessage="1" promptTitle="Выберите схему главных цепей" sqref="Y2"/>
    <dataValidation type="list" allowBlank="1" showErrorMessage="1" prompt="Укажите кол-во полюсов" sqref="C11 C13">
      <formula1>Полюс1</formula1>
    </dataValidation>
    <dataValidation type="list" allowBlank="1" showErrorMessage="1" prompt="Укажите кол-во полюсов" sqref="C14">
      <formula1>Полюс2</formula1>
    </dataValidation>
    <dataValidation type="list" allowBlank="1" showErrorMessage="1" prompt="Укажите кол-во полюсов" sqref="C16">
      <formula1>Полюс4</formula1>
    </dataValidation>
    <dataValidation type="list" allowBlank="1" showErrorMessage="1" prompt="Укажите кол-во полюсов" sqref="C17">
      <formula1>Полюс5</formula1>
    </dataValidation>
    <dataValidation type="list" allowBlank="1" showErrorMessage="1" prompt="Укажите кол-во полюсов" sqref="C18">
      <formula1>Полюс6</formula1>
    </dataValidation>
    <dataValidation type="list" allowBlank="1" showErrorMessage="1" prompt="Укажите кол-во полюсов" sqref="C19">
      <formula1>Полюс7</formula1>
    </dataValidation>
    <dataValidation type="list" allowBlank="1" showErrorMessage="1" prompt="Укажите кол-во полюсов" sqref="C20">
      <formula1>Полюс8</formula1>
    </dataValidation>
    <dataValidation type="list" allowBlank="1" showErrorMessage="1" prompt="Укажите кол-во полюсов" sqref="C21">
      <formula1>Полюс9</formula1>
    </dataValidation>
    <dataValidation type="list" allowBlank="1" showErrorMessage="1" prompt="Укажите кол-во полюсов" sqref="C22">
      <formula1>Полюс10</formula1>
    </dataValidation>
    <dataValidation type="list" allowBlank="1" showErrorMessage="1" prompt="Укажите кол-во полюсов" sqref="C23">
      <formula1>Полюс11</formula1>
    </dataValidation>
    <dataValidation type="list" allowBlank="1" showErrorMessage="1" prompt="Укажите кол-во полюсов" sqref="C24">
      <formula1>Полюс12</formula1>
    </dataValidation>
    <dataValidation type="list" allowBlank="1" showErrorMessage="1" prompt="Укажите кол-во полюсов" sqref="C25">
      <formula1>Полюс13</formula1>
    </dataValidation>
    <dataValidation type="list" allowBlank="1" showErrorMessage="1" prompt="Укажите кол-во полюсов" sqref="C26:C32">
      <formula1>Полюс14</formula1>
    </dataValidation>
    <dataValidation type="list" allowBlank="1" showErrorMessage="1" prompt="Укажите номинальный ток вводного выключателя/НКУ" sqref="F14">
      <formula1>Ir_2</formula1>
    </dataValidation>
    <dataValidation type="list" allowBlank="1" showErrorMessage="1" prompt="Укажите номинальный ток вводного выключателя/НКУ" sqref="F16">
      <formula1>Ir_4</formula1>
    </dataValidation>
    <dataValidation type="list" allowBlank="1" showErrorMessage="1" prompt="Укажите номинальный ток вводного выключателя/НКУ" sqref="F17">
      <formula1>Ir_5</formula1>
    </dataValidation>
    <dataValidation type="list" allowBlank="1" showErrorMessage="1" prompt="Укажите номинальный ток вводного выключателя/НКУ" sqref="F18">
      <formula1>Ir_6</formula1>
    </dataValidation>
    <dataValidation type="list" allowBlank="1" showErrorMessage="1" prompt="Укажите номинальный ток вводного выключателя/НКУ" sqref="F19">
      <formula1>Ir_7</formula1>
    </dataValidation>
    <dataValidation type="list" allowBlank="1" showErrorMessage="1" prompt="Укажите номинальный ток вводного выключателя/НКУ" sqref="F20">
      <formula1>Ir_8</formula1>
    </dataValidation>
    <dataValidation type="list" allowBlank="1" showErrorMessage="1" prompt="Укажите номинальный ток вводного выключателя/НКУ" sqref="F21">
      <formula1>Ir_9</formula1>
    </dataValidation>
    <dataValidation type="list" allowBlank="1" showErrorMessage="1" prompt="Укажите номинальный ток вводного выключателя/НКУ" sqref="F22">
      <formula1>Ir_10</formula1>
    </dataValidation>
    <dataValidation type="list" allowBlank="1" showErrorMessage="1" prompt="Укажите номинальный ток вводного выключателя/НКУ" sqref="F23">
      <formula1>Ir_11</formula1>
    </dataValidation>
    <dataValidation type="list" allowBlank="1" showErrorMessage="1" prompt="Укажите номинальный ток вводного выключателя/НКУ" sqref="F24">
      <formula1>Ir_12</formula1>
    </dataValidation>
    <dataValidation type="list" allowBlank="1" showErrorMessage="1" prompt="Укажите номинальный ток вводного выключателя/НКУ" sqref="F25">
      <formula1>Ir_13</formula1>
    </dataValidation>
    <dataValidation type="list" allowBlank="1" showErrorMessage="1" prompt="Укажите номинальный ток вводного выключателя/НКУ" sqref="F26:F32">
      <formula1>Ir_14</formula1>
    </dataValidation>
    <dataValidation type="list" allowBlank="1" showErrorMessage="1" prompt="Укажите номинальный ток вводного выключателя/НКУ" sqref="G11 G13">
      <formula1>Im_1</formula1>
    </dataValidation>
    <dataValidation type="list" allowBlank="1" showErrorMessage="1" prompt="Укажите номинальный ток вводного выключателя/НКУ" sqref="G14">
      <formula1>Im_2</formula1>
    </dataValidation>
    <dataValidation type="list" allowBlank="1" showErrorMessage="1" prompt="Укажите номинальный ток вводного выключателя/НКУ" sqref="G26:G32">
      <formula1>Im_14</formula1>
    </dataValidation>
    <dataValidation type="list" allowBlank="1" showErrorMessage="1" prompt="Укажите номинальный ток вводного выключателя/НКУ" sqref="G25">
      <formula1>Im_13</formula1>
    </dataValidation>
    <dataValidation type="list" allowBlank="1" showErrorMessage="1" prompt="Укажите номинальный ток вводного выключателя/НКУ" sqref="G24">
      <formula1>Im_12</formula1>
    </dataValidation>
    <dataValidation type="list" allowBlank="1" showErrorMessage="1" prompt="Укажите номинальный ток вводного выключателя/НКУ" sqref="G23">
      <formula1>Im_11</formula1>
    </dataValidation>
    <dataValidation type="list" allowBlank="1" showErrorMessage="1" prompt="Укажите номинальный ток вводного выключателя/НКУ" sqref="G22">
      <formula1>Im_10</formula1>
    </dataValidation>
    <dataValidation type="list" allowBlank="1" showErrorMessage="1" prompt="Укажите номинальный ток вводного выключателя/НКУ" sqref="G21">
      <formula1>Im_9</formula1>
    </dataValidation>
    <dataValidation type="list" allowBlank="1" showErrorMessage="1" prompt="Укажите номинальный ток вводного выключателя/НКУ" sqref="G20">
      <formula1>Im_8</formula1>
    </dataValidation>
    <dataValidation type="list" allowBlank="1" showErrorMessage="1" prompt="Укажите номинальный ток вводного выключателя/НКУ" sqref="G19">
      <formula1>Im_7</formula1>
    </dataValidation>
    <dataValidation type="list" allowBlank="1" showErrorMessage="1" prompt="Укажите номинальный ток вводного выключателя/НКУ" sqref="G18">
      <formula1>Im_6</formula1>
    </dataValidation>
    <dataValidation type="list" allowBlank="1" showErrorMessage="1" prompt="Укажите номинальный ток вводного выключателя/НКУ" sqref="G17">
      <formula1>Im_5</formula1>
    </dataValidation>
    <dataValidation type="list" allowBlank="1" showErrorMessage="1" prompt="Укажите номинальный ток вводного выключателя/НКУ" sqref="G16">
      <formula1>Im_4</formula1>
    </dataValidation>
    <dataValidation type="list" allowBlank="1" showErrorMessage="1" prompt="Укажите тип УЗО/ ток мА" sqref="H11 H13">
      <formula1>Id_1</formula1>
    </dataValidation>
    <dataValidation type="list" allowBlank="1" showErrorMessage="1" prompt="Укажите тип УЗО/ ток мА" sqref="H14">
      <formula1>Id_2</formula1>
    </dataValidation>
    <dataValidation type="list" allowBlank="1" showErrorMessage="1" prompt="Укажите тип УЗО/ ток мА" sqref="H16">
      <formula1>Id_4</formula1>
    </dataValidation>
    <dataValidation type="list" allowBlank="1" showErrorMessage="1" prompt="Укажите тип УЗО/ ток мА" sqref="H17">
      <formula1>Id_5</formula1>
    </dataValidation>
    <dataValidation type="list" allowBlank="1" showErrorMessage="1" prompt="Укажите тип УЗО/ ток мА" sqref="H19">
      <formula1>Id_7</formula1>
    </dataValidation>
    <dataValidation type="list" allowBlank="1" showErrorMessage="1" prompt="Укажите тип УЗО/ ток мА" sqref="H20">
      <formula1>Id_8</formula1>
    </dataValidation>
    <dataValidation type="list" allowBlank="1" showErrorMessage="1" prompt="Укажите тип УЗО/ ток мА" sqref="H21">
      <formula1>Id_9</formula1>
    </dataValidation>
    <dataValidation type="list" allowBlank="1" showErrorMessage="1" prompt="Укажите тип УЗО/ ток мА" sqref="H22">
      <formula1>Id_10</formula1>
    </dataValidation>
    <dataValidation type="list" allowBlank="1" showErrorMessage="1" prompt="Укажите тип УЗО/ ток мА" sqref="H23">
      <formula1>Id_11</formula1>
    </dataValidation>
    <dataValidation type="list" allowBlank="1" showErrorMessage="1" prompt="Укажите тип УЗО/ ток мА" sqref="H24">
      <formula1>Id_12</formula1>
    </dataValidation>
    <dataValidation type="list" allowBlank="1" showErrorMessage="1" prompt="Укажите тип УЗО/ ток мА" sqref="H25">
      <formula1>Id_13</formula1>
    </dataValidation>
    <dataValidation type="list" allowBlank="1" showErrorMessage="1" prompt="Укажите тип УЗО/ ток мА" sqref="H26:H32">
      <formula1>Id_14</formula1>
    </dataValidation>
    <dataValidation type="list" allowBlank="1" showErrorMessage="1" prompt="Укажите место подвода вводного кабеля" sqref="N11 N13:N32">
      <formula1>Место_ввода</formula1>
    </dataValidation>
    <dataValidation type="list" allowBlank="1" showInputMessage="1" showErrorMessage="1" sqref="I11 I13:I32">
      <formula1>Выбор_да_нет</formula1>
    </dataValidation>
    <dataValidation type="list" allowBlank="1" showErrorMessage="1" prompt="Выберите вариант" sqref="K6">
      <formula1>Маркировка</formula1>
    </dataValidation>
    <dataValidation type="list" allowBlank="1" showErrorMessage="1" prompt="Укажите номинальный ток вводного выключателя/НКУ" sqref="F11 F13">
      <formula1>Ir_1</formula1>
    </dataValidation>
    <dataValidation type="whole" allowBlank="1" showInputMessage="1" showErrorMessage="1" sqref="O11 O13:O32">
      <formula1>1</formula1>
      <formula2>100</formula2>
    </dataValidation>
    <dataValidation type="list" allowBlank="1" showErrorMessage="1" prompt="Укажите кол-во полюсов" sqref="C15">
      <formula1>Полюс3</formula1>
    </dataValidation>
    <dataValidation type="list" allowBlank="1" showErrorMessage="1" prompt="Укажите тип УЗО/ ток мА" sqref="H15">
      <formula1>Id_3</formula1>
    </dataValidation>
    <dataValidation type="list" allowBlank="1" showErrorMessage="1" prompt="Укажите номинальный ток вводного выключателя/НКУ" sqref="G15">
      <formula1>Im_3</formula1>
    </dataValidation>
    <dataValidation type="list" allowBlank="1" showErrorMessage="1" prompt="Укажите номинальный ток вводного выключателя/НКУ" sqref="F15">
      <formula1>Ir_3</formula1>
    </dataValidation>
    <dataValidation type="list" allowBlank="1" showErrorMessage="1" prompt="Укажите тип УЗО/ ток мА" sqref="H18">
      <formula1>Id_6</formula1>
    </dataValidation>
    <dataValidation type="list" allowBlank="1" showErrorMessage="1" prompt="Укажите номинальный ток вводного выключателя/НКУ" sqref="D11 D13">
      <formula1>In_1</formula1>
    </dataValidation>
    <dataValidation type="list" allowBlank="1" showErrorMessage="1" prompt="Укажите номинальный ток вводного выключателя/НКУ" sqref="D14">
      <formula1>In_2</formula1>
    </dataValidation>
    <dataValidation type="list" allowBlank="1" showErrorMessage="1" prompt="Укажите номинальный ток вводного выключателя/НКУ" sqref="D15">
      <formula1>In_3</formula1>
    </dataValidation>
    <dataValidation type="list" allowBlank="1" showErrorMessage="1" prompt="Укажите номинальный ток вводного выключателя/НКУ" sqref="D16">
      <formula1>In_4</formula1>
    </dataValidation>
    <dataValidation type="list" allowBlank="1" showErrorMessage="1" prompt="Укажите номинальный ток вводного выключателя/НКУ" sqref="D17">
      <formula1>In_5</formula1>
    </dataValidation>
    <dataValidation type="list" allowBlank="1" showErrorMessage="1" prompt="Укажите номинальный ток вводного выключателя/НКУ" sqref="D18">
      <formula1>In_6</formula1>
    </dataValidation>
    <dataValidation type="list" allowBlank="1" showErrorMessage="1" prompt="Укажите номинальный ток вводного выключателя/НКУ" sqref="D19">
      <formula1>In_7</formula1>
    </dataValidation>
    <dataValidation type="list" allowBlank="1" showErrorMessage="1" prompt="Укажите номинальный ток вводного выключателя/НКУ" sqref="D20">
      <formula1>In_8</formula1>
    </dataValidation>
    <dataValidation type="list" allowBlank="1" showErrorMessage="1" prompt="Укажите номинальный ток вводного выключателя/НКУ" sqref="D21">
      <formula1>In_9</formula1>
    </dataValidation>
    <dataValidation type="list" allowBlank="1" showErrorMessage="1" prompt="Укажите номинальный ток вводного выключателя/НКУ" sqref="D22">
      <formula1>In_10</formula1>
    </dataValidation>
    <dataValidation type="list" allowBlank="1" showErrorMessage="1" prompt="Укажите номинальный ток вводного выключателя/НКУ" sqref="D23">
      <formula1>In_11</formula1>
    </dataValidation>
    <dataValidation type="list" allowBlank="1" showErrorMessage="1" prompt="Укажите номинальный ток вводного выключателя/НКУ" sqref="D24">
      <formula1>In_12</formula1>
    </dataValidation>
    <dataValidation type="list" allowBlank="1" showErrorMessage="1" prompt="Укажите номинальный ток вводного выключателя/НКУ" sqref="D25">
      <formula1>In_13</formula1>
    </dataValidation>
    <dataValidation type="list" allowBlank="1" showErrorMessage="1" prompt="Укажите номинальный ток вводного выключателя/НКУ" sqref="D26:D32">
      <formula1>In_14</formula1>
    </dataValidation>
    <dataValidation type="list" allowBlank="1" showInputMessage="1" showErrorMessage="1" sqref="J14:K14">
      <formula1>Выбор2</formula1>
    </dataValidation>
    <dataValidation type="list" allowBlank="1" showInputMessage="1" showErrorMessage="1" sqref="J15:K15">
      <formula1>Выбор3</formula1>
    </dataValidation>
    <dataValidation type="list" allowBlank="1" showInputMessage="1" showErrorMessage="1" sqref="J16:K16">
      <formula1>Выбор4</formula1>
    </dataValidation>
    <dataValidation type="list" allowBlank="1" showInputMessage="1" showErrorMessage="1" sqref="J17:K17">
      <formula1>Выбор5</formula1>
    </dataValidation>
    <dataValidation type="list" allowBlank="1" showInputMessage="1" showErrorMessage="1" sqref="J18:K18">
      <formula1>Выбор6</formula1>
    </dataValidation>
    <dataValidation type="list" allowBlank="1" showInputMessage="1" showErrorMessage="1" sqref="J19:K19">
      <formula1>Выбор7</formula1>
    </dataValidation>
    <dataValidation type="list" allowBlank="1" showInputMessage="1" showErrorMessage="1" sqref="J20:K20">
      <formula1>Выбор8</formula1>
    </dataValidation>
    <dataValidation type="list" allowBlank="1" showInputMessage="1" showErrorMessage="1" sqref="J21:K21">
      <formula1>Выбор9</formula1>
    </dataValidation>
    <dataValidation type="list" allowBlank="1" showInputMessage="1" showErrorMessage="1" sqref="J22:K22">
      <formula1>Выбор10</formula1>
    </dataValidation>
    <dataValidation type="list" allowBlank="1" showInputMessage="1" showErrorMessage="1" sqref="J23:K23">
      <formula1>Выбор11</formula1>
    </dataValidation>
    <dataValidation type="list" allowBlank="1" showInputMessage="1" showErrorMessage="1" sqref="J24:K24">
      <formula1>Выбор12</formula1>
    </dataValidation>
    <dataValidation type="list" allowBlank="1" showInputMessage="1" showErrorMessage="1" sqref="J25:K25">
      <formula1>Выбор13</formula1>
    </dataValidation>
    <dataValidation type="list" allowBlank="1" showInputMessage="1" showErrorMessage="1" sqref="J26:K32">
      <formula1>Выбор14</formula1>
    </dataValidation>
    <dataValidation type="list" allowBlank="1" showErrorMessage="1" prompt="Укажите тип УЗО/ ток мА" sqref="J11:K11 J13:K13">
      <formula1>Выбор1</formula1>
    </dataValidation>
    <dataValidation type="list" allowBlank="1" showInputMessage="1" showErrorMessage="1" sqref="M11 M13">
      <formula1>Размер_кабеля_1</formula1>
    </dataValidation>
    <dataValidation type="list" allowBlank="1" showInputMessage="1" showErrorMessage="1" sqref="M14">
      <formula1>Размер_кабеля_2</formula1>
    </dataValidation>
    <dataValidation type="list" allowBlank="1" showInputMessage="1" showErrorMessage="1" sqref="M15">
      <formula1>Размер_кабеля_3</formula1>
    </dataValidation>
    <dataValidation type="list" allowBlank="1" showInputMessage="1" showErrorMessage="1" sqref="M16">
      <formula1>Размер_кабеля_4</formula1>
    </dataValidation>
    <dataValidation type="list" allowBlank="1" showInputMessage="1" showErrorMessage="1" sqref="M17">
      <formula1>Размер_кабеля_5</formula1>
    </dataValidation>
    <dataValidation type="list" allowBlank="1" showInputMessage="1" showErrorMessage="1" sqref="M18">
      <formula1>Размер_кабеля_6</formula1>
    </dataValidation>
    <dataValidation type="list" allowBlank="1" showInputMessage="1" showErrorMessage="1" sqref="M19">
      <formula1>Размер_кабеля_7</formula1>
    </dataValidation>
    <dataValidation type="list" allowBlank="1" showInputMessage="1" showErrorMessage="1" sqref="M20">
      <formula1>Размер_кабеля_8</formula1>
    </dataValidation>
    <dataValidation type="list" allowBlank="1" showInputMessage="1" showErrorMessage="1" sqref="M21">
      <formula1>Размер_кабеля_9</formula1>
    </dataValidation>
    <dataValidation type="list" allowBlank="1" showInputMessage="1" showErrorMessage="1" sqref="M26:M32">
      <formula1>Размер_кабеля_14</formula1>
    </dataValidation>
    <dataValidation type="list" allowBlank="1" showInputMessage="1" showErrorMessage="1" sqref="M25">
      <formula1>Размер_кабеля_13</formula1>
    </dataValidation>
    <dataValidation type="list" allowBlank="1" showInputMessage="1" showErrorMessage="1" sqref="M24">
      <formula1>Размер_кабеля_12</formula1>
    </dataValidation>
    <dataValidation type="list" allowBlank="1" showInputMessage="1" showErrorMessage="1" sqref="M23">
      <formula1>Размер_кабеля_11</formula1>
    </dataValidation>
    <dataValidation type="list" allowBlank="1" showInputMessage="1" showErrorMessage="1" sqref="M22">
      <formula1>Размер_кабеля_10</formula1>
    </dataValidation>
  </dataValidations>
  <pageMargins left="0.59055118110236215" right="0.39370078740157483" top="0.39370078740157483" bottom="0.39370078740157483" header="0.39370078740157483" footer="0.39370078740157483"/>
  <pageSetup paperSize="9" scale="50" orientation="portrait" blackAndWhite="1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11</vt:i4>
      </vt:variant>
    </vt:vector>
  </HeadingPairs>
  <TitlesOfParts>
    <vt:vector size="24" baseType="lpstr">
      <vt:lpstr>Бланк</vt:lpstr>
      <vt:lpstr>Габариты</vt:lpstr>
      <vt:lpstr>Проверки</vt:lpstr>
      <vt:lpstr>D</vt:lpstr>
      <vt:lpstr>Список кабелей</vt:lpstr>
      <vt:lpstr>Справка</vt:lpstr>
      <vt:lpstr>Список версий</vt:lpstr>
      <vt:lpstr>Бланк LS</vt:lpstr>
      <vt:lpstr>Бланк (вручную)</vt:lpstr>
      <vt:lpstr>Замена SE на LS</vt:lpstr>
      <vt:lpstr>Внешний вид</vt:lpstr>
      <vt:lpstr>Климат. исполнение</vt:lpstr>
      <vt:lpstr>Расположение сальников сверху</vt:lpstr>
      <vt:lpstr>Выбор_да_нет</vt:lpstr>
      <vt:lpstr>Исполнение_главной_схемы</vt:lpstr>
      <vt:lpstr>Маркировка</vt:lpstr>
      <vt:lpstr>Место_ввода</vt:lpstr>
      <vt:lpstr>Бланк!Область_печати</vt:lpstr>
      <vt:lpstr>'Бланк (вручную)'!Область_печати</vt:lpstr>
      <vt:lpstr>'Бланк LS'!Область_печати</vt:lpstr>
      <vt:lpstr>Система_заземления</vt:lpstr>
      <vt:lpstr>Способ_определения_габаритных_размеров</vt:lpstr>
      <vt:lpstr>Степень_защиты</vt:lpstr>
      <vt:lpstr>Тип_НКУ</vt:lpstr>
    </vt:vector>
  </TitlesOfParts>
  <Company>progress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Smirnov</dc:creator>
  <cp:lastModifiedBy>sandomirsky</cp:lastModifiedBy>
  <cp:lastPrinted>2021-06-11T09:33:03Z</cp:lastPrinted>
  <dcterms:created xsi:type="dcterms:W3CDTF">2018-07-20T09:04:47Z</dcterms:created>
  <dcterms:modified xsi:type="dcterms:W3CDTF">2021-06-15T07:07:56Z</dcterms:modified>
</cp:coreProperties>
</file>